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research\edubook2014oct\social return - cut\"/>
    </mc:Choice>
  </mc:AlternateContent>
  <bookViews>
    <workbookView xWindow="480" yWindow="45" windowWidth="15180" windowHeight="11760"/>
  </bookViews>
  <sheets>
    <sheet name="Meta" sheetId="4" r:id="rId1"/>
    <sheet name="Output" sheetId="50" r:id="rId2"/>
    <sheet name="Grade8" sheetId="1" r:id="rId3"/>
    <sheet name="Grade9" sheetId="52" r:id="rId4"/>
    <sheet name="Grade10" sheetId="53" r:id="rId5"/>
    <sheet name="Grade11" sheetId="54" r:id="rId6"/>
    <sheet name="Grade12" sheetId="55" r:id="rId7"/>
    <sheet name="Grade13" sheetId="56" r:id="rId8"/>
    <sheet name="Grade14" sheetId="57" r:id="rId9"/>
    <sheet name="Grade15" sheetId="58" r:id="rId10"/>
    <sheet name="Grade16" sheetId="59" r:id="rId11"/>
    <sheet name="Grade17" sheetId="60" r:id="rId12"/>
    <sheet name="Grade18" sheetId="61" r:id="rId13"/>
  </sheets>
  <definedNames>
    <definedName name="_edn1" localSheetId="0">Meta!$E$10</definedName>
    <definedName name="_edn1" localSheetId="1">Output!$B$10</definedName>
    <definedName name="_ednref1" localSheetId="0">Meta!$E$7</definedName>
    <definedName name="_ednref1" localSheetId="1">Output!$B$7</definedName>
    <definedName name="baseincome" localSheetId="0">Meta!$B$2</definedName>
    <definedName name="benefits" localSheetId="4">Grade10!$D$2</definedName>
    <definedName name="benefits" localSheetId="5">Grade11!$D$2</definedName>
    <definedName name="benefits" localSheetId="6">Grade12!$D$2</definedName>
    <definedName name="benefits" localSheetId="7">Grade13!$D$2</definedName>
    <definedName name="benefits" localSheetId="8">Grade14!$D$2</definedName>
    <definedName name="benefits" localSheetId="9">Grade15!$D$2</definedName>
    <definedName name="benefits" localSheetId="10">Grade16!$D$2</definedName>
    <definedName name="benefits" localSheetId="11">Grade17!$D$2</definedName>
    <definedName name="benefits" localSheetId="12">Grade18!$D$2</definedName>
    <definedName name="benefits" localSheetId="3">Grade9!$D$2</definedName>
    <definedName name="benefits">Grade8!$D$2</definedName>
    <definedName name="benrat" localSheetId="4">Grade10!$I$2</definedName>
    <definedName name="benrat" localSheetId="5">Grade11!$I$2</definedName>
    <definedName name="benrat" localSheetId="6">Grade12!$I$2</definedName>
    <definedName name="benrat" localSheetId="7">Grade13!$I$2</definedName>
    <definedName name="benrat" localSheetId="8">Grade14!$I$2</definedName>
    <definedName name="benrat" localSheetId="9">Grade15!$I$2</definedName>
    <definedName name="benrat" localSheetId="10">Grade16!$I$2</definedName>
    <definedName name="benrat" localSheetId="11">Grade17!$I$2</definedName>
    <definedName name="benrat" localSheetId="12">Grade18!$I$2</definedName>
    <definedName name="benrat" localSheetId="3">Grade9!$I$2</definedName>
    <definedName name="benrat">Grade8!$I$2</definedName>
    <definedName name="coltuition">Meta!$Q$2</definedName>
    <definedName name="compensationratio">#REF!</definedName>
    <definedName name="completionprob" localSheetId="4">Grade10!$H$2</definedName>
    <definedName name="completionprob" localSheetId="5">Grade11!$H$2</definedName>
    <definedName name="completionprob" localSheetId="6">Grade12!$H$2</definedName>
    <definedName name="completionprob" localSheetId="7">Grade13!$H$2</definedName>
    <definedName name="completionprob" localSheetId="8">Grade14!$H$2</definedName>
    <definedName name="completionprob" localSheetId="9">Grade15!$H$2</definedName>
    <definedName name="completionprob" localSheetId="10">Grade16!$H$2</definedName>
    <definedName name="completionprob" localSheetId="11">Grade17!$H$2</definedName>
    <definedName name="completionprob" localSheetId="12">Grade18!$H$2</definedName>
    <definedName name="completionprob">Grade9!$H$2</definedName>
    <definedName name="comprat" localSheetId="4">Grade10!$I$2</definedName>
    <definedName name="comprat" localSheetId="5">Grade11!$I$2</definedName>
    <definedName name="comprat" localSheetId="6">Grade12!$I$2</definedName>
    <definedName name="comprat" localSheetId="7">Grade13!$I$2</definedName>
    <definedName name="comprat" localSheetId="8">Grade14!$I$2</definedName>
    <definedName name="comprat" localSheetId="9">Grade15!$I$2</definedName>
    <definedName name="comprat" localSheetId="10">Grade16!$I$2</definedName>
    <definedName name="comprat" localSheetId="11">Grade17!$I$2</definedName>
    <definedName name="comprat" localSheetId="12">Grade18!$I$2</definedName>
    <definedName name="comprat" localSheetId="3">Grade9!$I$2</definedName>
    <definedName name="comprat">Grade8!$I$2</definedName>
    <definedName name="experiencepremium" localSheetId="1">Output!#REF!</definedName>
    <definedName name="experiencepremium">Meta!$H$2</definedName>
    <definedName name="expnorm" localSheetId="4">Grade10!$G$2</definedName>
    <definedName name="expnorm" localSheetId="5">Grade11!$G$2</definedName>
    <definedName name="expnorm" localSheetId="6">Grade12!$G$2</definedName>
    <definedName name="expnorm" localSheetId="7">Grade13!$G$2</definedName>
    <definedName name="expnorm" localSheetId="8">Grade14!$G$2</definedName>
    <definedName name="expnorm" localSheetId="9">Grade15!$G$2</definedName>
    <definedName name="expnorm" localSheetId="10">Grade16!$G$2</definedName>
    <definedName name="expnorm" localSheetId="11">Grade17!$G$2</definedName>
    <definedName name="expnorm" localSheetId="12">Grade18!$G$2</definedName>
    <definedName name="expnorm" localSheetId="3">Grade9!$G$2</definedName>
    <definedName name="expnorm">Grade8!$G$2</definedName>
    <definedName name="expnorm8" localSheetId="4">Grade10!$G$2</definedName>
    <definedName name="expnorm8" localSheetId="5">Grade11!$G$2</definedName>
    <definedName name="expnorm8" localSheetId="6">Grade12!$G$2</definedName>
    <definedName name="expnorm8" localSheetId="7">Grade13!$G$2</definedName>
    <definedName name="expnorm8" localSheetId="8">Grade14!$G$2</definedName>
    <definedName name="expnorm8" localSheetId="9">Grade15!$G$2</definedName>
    <definedName name="expnorm8" localSheetId="10">Grade16!$G$2</definedName>
    <definedName name="expnorm8" localSheetId="11">Grade17!$G$2</definedName>
    <definedName name="expnorm8" localSheetId="12">Grade18!$G$2</definedName>
    <definedName name="expnorm8" localSheetId="3">Grade9!$G$2</definedName>
    <definedName name="expnorm8">Grade8!$G$2</definedName>
    <definedName name="feel">Meta!$R$2</definedName>
    <definedName name="hstuition">Meta!$P$2</definedName>
    <definedName name="incomeindex" localSheetId="0">Meta!$E$2</definedName>
    <definedName name="initialbenrat" localSheetId="4">Grade10!$L$2</definedName>
    <definedName name="initialbenrat" localSheetId="5">Grade11!$L$2</definedName>
    <definedName name="initialbenrat" localSheetId="6">Grade12!$L$2</definedName>
    <definedName name="initialbenrat" localSheetId="7">Grade13!$L$2</definedName>
    <definedName name="initialbenrat" localSheetId="8">Grade14!$L$2</definedName>
    <definedName name="initialbenrat" localSheetId="9">Grade15!$L$2</definedName>
    <definedName name="initialbenrat" localSheetId="10">Grade16!$L$2</definedName>
    <definedName name="initialbenrat" localSheetId="11">Grade17!$L$2</definedName>
    <definedName name="initialbenrat" localSheetId="12">Grade18!$L$2</definedName>
    <definedName name="initialbenrat" localSheetId="3">Grade9!$L$2</definedName>
    <definedName name="initialbenrat">Grade8!$L$2</definedName>
    <definedName name="initialcompensationratio">#REF!</definedName>
    <definedName name="initialcomprat">#REF!</definedName>
    <definedName name="initialpart" localSheetId="4">Grade10!$L$2</definedName>
    <definedName name="initialpart" localSheetId="5">Grade11!$L$2</definedName>
    <definedName name="initialpart" localSheetId="6">Grade12!$L$2</definedName>
    <definedName name="initialpart" localSheetId="7">Grade13!$L$2</definedName>
    <definedName name="initialpart" localSheetId="8">Grade14!$L$2</definedName>
    <definedName name="initialpart" localSheetId="9">Grade15!$L$2</definedName>
    <definedName name="initialpart" localSheetId="10">Grade16!$L$2</definedName>
    <definedName name="initialpart" localSheetId="11">Grade17!$L$2</definedName>
    <definedName name="initialpart" localSheetId="12">Grade18!$L$2</definedName>
    <definedName name="initialpart">Grade9!$L$2</definedName>
    <definedName name="initialspart" localSheetId="4">Grade10!$J$2</definedName>
    <definedName name="initialspart" localSheetId="5">Grade11!$J$2</definedName>
    <definedName name="initialspart" localSheetId="6">Grade12!$J$2</definedName>
    <definedName name="initialspart" localSheetId="7">Grade13!$J$2</definedName>
    <definedName name="initialspart" localSheetId="8">Grade14!$J$2</definedName>
    <definedName name="initialspart" localSheetId="9">Grade15!$J$2</definedName>
    <definedName name="initialspart" localSheetId="10">Grade16!$J$2</definedName>
    <definedName name="initialspart" localSheetId="11">Grade17!$J$2</definedName>
    <definedName name="initialspart" localSheetId="12">Grade18!$J$2</definedName>
    <definedName name="initialspart">Grade9!$J$2</definedName>
    <definedName name="initialunempprob" localSheetId="4">Grade10!$K$2</definedName>
    <definedName name="initialunempprob" localSheetId="5">Grade11!$K$2</definedName>
    <definedName name="initialunempprob" localSheetId="6">Grade12!$K$2</definedName>
    <definedName name="initialunempprob" localSheetId="7">Grade13!$K$2</definedName>
    <definedName name="initialunempprob" localSheetId="8">Grade14!$K$2</definedName>
    <definedName name="initialunempprob" localSheetId="9">Grade15!$K$2</definedName>
    <definedName name="initialunempprob" localSheetId="10">Grade16!$K$2</definedName>
    <definedName name="initialunempprob" localSheetId="11">Grade17!$K$2</definedName>
    <definedName name="initialunempprob" localSheetId="12">Grade18!$K$2</definedName>
    <definedName name="initialunempprob" localSheetId="3">Grade9!$K$2</definedName>
    <definedName name="initialunempprob">Grade8!$K$2</definedName>
    <definedName name="nptrans">Meta!$S$2</definedName>
    <definedName name="part10">Meta!$F$4</definedName>
    <definedName name="part11">Meta!$F$5</definedName>
    <definedName name="part12">Meta!$F$6</definedName>
    <definedName name="part13">Meta!$F$7</definedName>
    <definedName name="part14">Meta!$F$8</definedName>
    <definedName name="part15">Meta!$F$9</definedName>
    <definedName name="part16">Meta!$F$10</definedName>
    <definedName name="part17">Meta!$F$11</definedName>
    <definedName name="part18">Meta!$F$12</definedName>
    <definedName name="part8">Meta!$F$2</definedName>
    <definedName name="part9">Meta!$F$3</definedName>
    <definedName name="pecuniaryreturn">#REF!</definedName>
    <definedName name="pretaxincome" localSheetId="4">Grade10!$C$2</definedName>
    <definedName name="pretaxincome" localSheetId="5">Grade11!$C$2</definedName>
    <definedName name="pretaxincome" localSheetId="6">Grade12!$C$2</definedName>
    <definedName name="pretaxincome" localSheetId="7">Grade13!$C$2</definedName>
    <definedName name="pretaxincome" localSheetId="8">Grade14!$C$2</definedName>
    <definedName name="pretaxincome" localSheetId="9">Grade15!$C$2</definedName>
    <definedName name="pretaxincome" localSheetId="10">Grade16!$C$2</definedName>
    <definedName name="pretaxincome" localSheetId="11">Grade17!$C$2</definedName>
    <definedName name="pretaxincome" localSheetId="12">Grade18!$C$2</definedName>
    <definedName name="pretaxincome" localSheetId="3">Grade9!$C$2</definedName>
    <definedName name="pretaxincome">Grade8!$C$2</definedName>
    <definedName name="pretaxincome8" localSheetId="4">Grade10!$C$2</definedName>
    <definedName name="pretaxincome8" localSheetId="5">Grade11!$C$2</definedName>
    <definedName name="pretaxincome8" localSheetId="6">Grade12!$C$2</definedName>
    <definedName name="pretaxincome8" localSheetId="7">Grade13!$C$2</definedName>
    <definedName name="pretaxincome8" localSheetId="8">Grade14!$C$2</definedName>
    <definedName name="pretaxincome8" localSheetId="9">Grade15!$C$2</definedName>
    <definedName name="pretaxincome8" localSheetId="10">Grade16!$C$2</definedName>
    <definedName name="pretaxincome8" localSheetId="11">Grade17!$C$2</definedName>
    <definedName name="pretaxincome8" localSheetId="12">Grade18!$C$2</definedName>
    <definedName name="pretaxincome8" localSheetId="3">Grade9!$C$2</definedName>
    <definedName name="pretaxincome8">Grade8!$C$2</definedName>
    <definedName name="pretaxincomey8" localSheetId="4">Grade10!$C$2</definedName>
    <definedName name="pretaxincomey8" localSheetId="5">Grade11!$C$2</definedName>
    <definedName name="pretaxincomey8" localSheetId="6">Grade12!$C$2</definedName>
    <definedName name="pretaxincomey8" localSheetId="7">Grade13!$C$2</definedName>
    <definedName name="pretaxincomey8" localSheetId="8">Grade14!$C$2</definedName>
    <definedName name="pretaxincomey8" localSheetId="9">Grade15!$C$2</definedName>
    <definedName name="pretaxincomey8" localSheetId="10">Grade16!$C$2</definedName>
    <definedName name="pretaxincomey8" localSheetId="11">Grade17!$C$2</definedName>
    <definedName name="pretaxincomey8" localSheetId="12">Grade18!$C$2</definedName>
    <definedName name="pretaxincomey8" localSheetId="3">Grade9!$C$2</definedName>
    <definedName name="pretaxincomey8">Grade8!$C$2</definedName>
    <definedName name="return">#REF!</definedName>
    <definedName name="returntoeducation">#REF!</definedName>
    <definedName name="returntoexperience" localSheetId="1">Output!#REF!</definedName>
    <definedName name="returntoexperience">Meta!$H$2</definedName>
    <definedName name="sbenefits" localSheetId="4">Grade10!$O$2</definedName>
    <definedName name="sbenefits" localSheetId="5">Grade11!$O$2</definedName>
    <definedName name="sbenefits" localSheetId="6">Grade12!$O$2</definedName>
    <definedName name="sbenefits" localSheetId="7">Grade13!$O$2</definedName>
    <definedName name="sbenefits" localSheetId="8">Grade14!$O$2</definedName>
    <definedName name="sbenefits" localSheetId="9">Grade15!$O$2</definedName>
    <definedName name="sbenefits" localSheetId="10">Grade16!$O$2</definedName>
    <definedName name="sbenefits" localSheetId="11">Grade17!$O$2</definedName>
    <definedName name="sbenefits" localSheetId="12">Grade18!$O$2</definedName>
    <definedName name="sbenefits" localSheetId="3">Grade9!$O$2</definedName>
    <definedName name="sbenefits">Grade8!$O$2</definedName>
    <definedName name="scrimecost" localSheetId="4">Grade10!$R$2</definedName>
    <definedName name="scrimecost" localSheetId="5">Grade11!$R$2</definedName>
    <definedName name="scrimecost" localSheetId="6">Grade12!$R$2</definedName>
    <definedName name="scrimecost" localSheetId="7">Grade13!$R$2</definedName>
    <definedName name="scrimecost" localSheetId="8">Grade14!$R$2</definedName>
    <definedName name="scrimecost" localSheetId="9">Grade15!$R$2</definedName>
    <definedName name="scrimecost" localSheetId="10">Grade16!$R$2</definedName>
    <definedName name="scrimecost" localSheetId="11">Grade17!$R$2</definedName>
    <definedName name="scrimecost" localSheetId="12">Grade18!$R$2</definedName>
    <definedName name="scrimecost" localSheetId="3">Grade9!$R$2</definedName>
    <definedName name="scrimecost">Grade8!$R$2</definedName>
    <definedName name="sincome" localSheetId="4">Grade10!$N$2</definedName>
    <definedName name="sincome" localSheetId="5">Grade11!$N$2</definedName>
    <definedName name="sincome" localSheetId="6">Grade12!$N$2</definedName>
    <definedName name="sincome" localSheetId="7">Grade13!$N$2</definedName>
    <definedName name="sincome" localSheetId="8">Grade14!$N$2</definedName>
    <definedName name="sincome" localSheetId="9">Grade15!$N$2</definedName>
    <definedName name="sincome" localSheetId="10">Grade16!$N$2</definedName>
    <definedName name="sincome" localSheetId="11">Grade17!$N$2</definedName>
    <definedName name="sincome" localSheetId="12">Grade18!$N$2</definedName>
    <definedName name="sincome" localSheetId="3">Grade9!$N$2</definedName>
    <definedName name="sincome">Grade8!$N$2</definedName>
    <definedName name="spart" localSheetId="4">Grade10!$Q$2</definedName>
    <definedName name="spart" localSheetId="5">Grade11!$Q$2</definedName>
    <definedName name="spart" localSheetId="6">Grade12!$Q$2</definedName>
    <definedName name="spart" localSheetId="7">Grade13!$Q$2</definedName>
    <definedName name="spart" localSheetId="8">Grade14!$Q$2</definedName>
    <definedName name="spart" localSheetId="9">Grade15!$Q$2</definedName>
    <definedName name="spart" localSheetId="10">Grade16!$Q$2</definedName>
    <definedName name="spart" localSheetId="11">Grade17!$Q$2</definedName>
    <definedName name="spart" localSheetId="12">Grade18!$Q$2</definedName>
    <definedName name="spart" localSheetId="3">Grade9!$Q$2</definedName>
    <definedName name="spart">Grade8!$Q$2</definedName>
    <definedName name="sreturn" localSheetId="4">Grade10!$T$2</definedName>
    <definedName name="sreturn" localSheetId="5">Grade11!$T$2</definedName>
    <definedName name="sreturn" localSheetId="6">Grade12!$T$2</definedName>
    <definedName name="sreturn" localSheetId="7">Grade13!$T$2</definedName>
    <definedName name="sreturn" localSheetId="8">Grade14!$T$2</definedName>
    <definedName name="sreturn" localSheetId="9">Grade15!$T$2</definedName>
    <definedName name="sreturn" localSheetId="10">Grade16!$T$2</definedName>
    <definedName name="sreturn" localSheetId="11">Grade17!$T$2</definedName>
    <definedName name="sreturn" localSheetId="12">Grade18!$T$2</definedName>
    <definedName name="sreturn">Grade9!$T$2</definedName>
    <definedName name="startage" localSheetId="4">Grade10!$B$2</definedName>
    <definedName name="startage" localSheetId="5">Grade11!$B$2</definedName>
    <definedName name="startage" localSheetId="6">Grade12!$B$2</definedName>
    <definedName name="startage" localSheetId="7">Grade13!$B$2</definedName>
    <definedName name="startage" localSheetId="8">Grade14!$B$2</definedName>
    <definedName name="startage" localSheetId="9">Grade15!$B$2</definedName>
    <definedName name="startage" localSheetId="10">Grade16!$B$2</definedName>
    <definedName name="startage" localSheetId="11">Grade17!$B$2</definedName>
    <definedName name="startage" localSheetId="12">Grade18!$B$2</definedName>
    <definedName name="startage" localSheetId="3">Grade9!$B$2</definedName>
    <definedName name="startage">Grade8!$B$2</definedName>
    <definedName name="sunemp" localSheetId="4">Grade10!$P$2</definedName>
    <definedName name="sunemp" localSheetId="5">Grade11!$P$2</definedName>
    <definedName name="sunemp" localSheetId="6">Grade12!$P$2</definedName>
    <definedName name="sunemp" localSheetId="7">Grade13!$P$2</definedName>
    <definedName name="sunemp" localSheetId="8">Grade14!$P$2</definedName>
    <definedName name="sunemp" localSheetId="9">Grade15!$P$2</definedName>
    <definedName name="sunemp" localSheetId="10">Grade16!$P$2</definedName>
    <definedName name="sunemp" localSheetId="11">Grade17!$P$2</definedName>
    <definedName name="sunemp" localSheetId="12">Grade18!$P$2</definedName>
    <definedName name="sunemp" localSheetId="3">Grade9!$P$2</definedName>
    <definedName name="sunemp">Grade8!$P$2</definedName>
    <definedName name="ttd">#REF!</definedName>
    <definedName name="unempprob" localSheetId="4">Grade10!$E$2</definedName>
    <definedName name="unempprob" localSheetId="5">Grade11!$E$2</definedName>
    <definedName name="unempprob" localSheetId="6">Grade12!$E$2</definedName>
    <definedName name="unempprob" localSheetId="7">Grade13!$E$2</definedName>
    <definedName name="unempprob" localSheetId="8">Grade14!$E$2</definedName>
    <definedName name="unempprob" localSheetId="9">Grade15!$E$2</definedName>
    <definedName name="unempprob" localSheetId="10">Grade16!$E$2</definedName>
    <definedName name="unempprob" localSheetId="11">Grade17!$E$2</definedName>
    <definedName name="unempprob" localSheetId="12">Grade18!$E$2</definedName>
    <definedName name="unempprob" localSheetId="3">Grade9!$E$2</definedName>
    <definedName name="unempprob">Grade8!$E$2</definedName>
    <definedName name="unempprob8" localSheetId="4">Grade10!$E$2</definedName>
    <definedName name="unempprob8" localSheetId="5">Grade11!$E$2</definedName>
    <definedName name="unempprob8" localSheetId="6">Grade12!$E$2</definedName>
    <definedName name="unempprob8" localSheetId="7">Grade13!$E$2</definedName>
    <definedName name="unempprob8" localSheetId="8">Grade14!$E$2</definedName>
    <definedName name="unempprob8" localSheetId="9">Grade15!$E$2</definedName>
    <definedName name="unempprob8" localSheetId="10">Grade16!$E$2</definedName>
    <definedName name="unempprob8" localSheetId="11">Grade17!$E$2</definedName>
    <definedName name="unempprob8" localSheetId="12">Grade18!$E$2</definedName>
    <definedName name="unempprob8" localSheetId="3">Grade9!$E$2</definedName>
    <definedName name="unempprob8">Grade8!$E$2</definedName>
    <definedName name="unempproby8" localSheetId="4">Grade10!$E$2</definedName>
    <definedName name="unempproby8" localSheetId="5">Grade11!$E$2</definedName>
    <definedName name="unempproby8" localSheetId="6">Grade12!$E$2</definedName>
    <definedName name="unempproby8" localSheetId="7">Grade13!$E$2</definedName>
    <definedName name="unempproby8" localSheetId="8">Grade14!$E$2</definedName>
    <definedName name="unempproby8" localSheetId="9">Grade15!$E$2</definedName>
    <definedName name="unempproby8" localSheetId="10">Grade16!$E$2</definedName>
    <definedName name="unempproby8" localSheetId="11">Grade17!$E$2</definedName>
    <definedName name="unempproby8" localSheetId="12">Grade18!$E$2</definedName>
    <definedName name="unempproby8" localSheetId="3">Grade9!$E$2</definedName>
    <definedName name="unempproby8">Grade8!$E$2</definedName>
  </definedNames>
  <calcPr calcId="162913"/>
</workbook>
</file>

<file path=xl/calcChain.xml><?xml version="1.0" encoding="utf-8"?>
<calcChain xmlns="http://schemas.openxmlformats.org/spreadsheetml/2006/main">
  <c r="R14" i="61" l="1"/>
  <c r="N57" i="61"/>
  <c r="N58" i="61"/>
  <c r="N59" i="61"/>
  <c r="N60" i="61"/>
  <c r="N61" i="61"/>
  <c r="N62" i="61"/>
  <c r="N63" i="61"/>
  <c r="N64" i="61"/>
  <c r="N65" i="61"/>
  <c r="N66" i="61"/>
  <c r="N67" i="61"/>
  <c r="N68" i="61"/>
  <c r="N69" i="61"/>
  <c r="R2" i="61"/>
  <c r="M19" i="61"/>
  <c r="Q2" i="61"/>
  <c r="P2" i="61"/>
  <c r="O2" i="61"/>
  <c r="N2" i="61"/>
  <c r="K2" i="61"/>
  <c r="J2" i="61"/>
  <c r="H2" i="61"/>
  <c r="F2" i="61"/>
  <c r="E2" i="61"/>
  <c r="D2" i="61"/>
  <c r="C2" i="61"/>
  <c r="B2" i="61"/>
  <c r="R13" i="60"/>
  <c r="N57" i="60"/>
  <c r="N58" i="60"/>
  <c r="N59" i="60"/>
  <c r="N60" i="60"/>
  <c r="N61" i="60"/>
  <c r="N62" i="60"/>
  <c r="N63" i="60"/>
  <c r="N64" i="60"/>
  <c r="N65" i="60"/>
  <c r="N66" i="60"/>
  <c r="N67" i="60"/>
  <c r="N68" i="60"/>
  <c r="N69" i="60"/>
  <c r="R2" i="60"/>
  <c r="M17" i="60"/>
  <c r="Q2" i="60"/>
  <c r="P2" i="60"/>
  <c r="O2" i="60"/>
  <c r="N2" i="60"/>
  <c r="K2" i="60"/>
  <c r="J2" i="60"/>
  <c r="H2" i="60"/>
  <c r="F2" i="60"/>
  <c r="E2" i="60"/>
  <c r="D2" i="60"/>
  <c r="C2" i="60"/>
  <c r="B2" i="60"/>
  <c r="B22" i="60"/>
  <c r="R12" i="59"/>
  <c r="N57" i="59"/>
  <c r="N58" i="59"/>
  <c r="N59" i="59"/>
  <c r="N60" i="59"/>
  <c r="N61" i="59"/>
  <c r="N62" i="59"/>
  <c r="N63" i="59"/>
  <c r="N64" i="59"/>
  <c r="N65" i="59"/>
  <c r="N66" i="59"/>
  <c r="N67" i="59"/>
  <c r="N68" i="59"/>
  <c r="N69" i="59"/>
  <c r="R2" i="59"/>
  <c r="Q2" i="59"/>
  <c r="P2" i="59"/>
  <c r="O2" i="59"/>
  <c r="N2" i="59"/>
  <c r="K2" i="59"/>
  <c r="J2" i="59"/>
  <c r="H2" i="59"/>
  <c r="F2" i="59"/>
  <c r="E2" i="59"/>
  <c r="D2" i="59"/>
  <c r="C2" i="59"/>
  <c r="B2" i="59"/>
  <c r="B31" i="59"/>
  <c r="R11" i="58"/>
  <c r="N57" i="58"/>
  <c r="N58" i="58"/>
  <c r="N59" i="58"/>
  <c r="N60" i="58"/>
  <c r="N61" i="58"/>
  <c r="N62" i="58"/>
  <c r="N63" i="58"/>
  <c r="N64" i="58"/>
  <c r="N65" i="58"/>
  <c r="N66" i="58"/>
  <c r="N67" i="58"/>
  <c r="N68" i="58"/>
  <c r="N69" i="58"/>
  <c r="R2" i="58"/>
  <c r="Q2" i="58"/>
  <c r="P2" i="58"/>
  <c r="O2" i="58"/>
  <c r="N2" i="58"/>
  <c r="K2" i="58"/>
  <c r="J2" i="58"/>
  <c r="H2" i="58"/>
  <c r="F2" i="58"/>
  <c r="E2" i="58"/>
  <c r="D2" i="58"/>
  <c r="C2" i="58"/>
  <c r="B2" i="58"/>
  <c r="R10" i="57"/>
  <c r="N57" i="57"/>
  <c r="N58" i="57"/>
  <c r="N59" i="57"/>
  <c r="N60" i="57"/>
  <c r="N61" i="57"/>
  <c r="N62" i="57"/>
  <c r="N63" i="57"/>
  <c r="N64" i="57"/>
  <c r="N65" i="57"/>
  <c r="N66" i="57"/>
  <c r="N67" i="57"/>
  <c r="N68" i="57"/>
  <c r="N69" i="57"/>
  <c r="R2" i="57"/>
  <c r="Q2" i="57"/>
  <c r="P2" i="57"/>
  <c r="O2" i="57"/>
  <c r="N2" i="57"/>
  <c r="K2" i="57"/>
  <c r="J2" i="57"/>
  <c r="H2" i="57"/>
  <c r="F2" i="57"/>
  <c r="E2" i="57"/>
  <c r="D2" i="57"/>
  <c r="C2" i="57"/>
  <c r="B2" i="57"/>
  <c r="B15" i="57"/>
  <c r="R9" i="56"/>
  <c r="N57" i="56"/>
  <c r="N58" i="56"/>
  <c r="N59" i="56"/>
  <c r="N60" i="56"/>
  <c r="N61" i="56"/>
  <c r="N62" i="56"/>
  <c r="N63" i="56"/>
  <c r="N64" i="56"/>
  <c r="N65" i="56"/>
  <c r="N66" i="56"/>
  <c r="N67" i="56"/>
  <c r="N68" i="56"/>
  <c r="N69" i="56"/>
  <c r="R2" i="56"/>
  <c r="M53" i="56"/>
  <c r="Q2" i="56"/>
  <c r="P2" i="56"/>
  <c r="O2" i="56"/>
  <c r="N2" i="56"/>
  <c r="K2" i="56"/>
  <c r="J2" i="56"/>
  <c r="H2" i="56"/>
  <c r="F2" i="56"/>
  <c r="E2" i="56"/>
  <c r="D2" i="56"/>
  <c r="C2" i="56"/>
  <c r="B2" i="56"/>
  <c r="B56" i="56" s="1"/>
  <c r="R8" i="55"/>
  <c r="N57" i="55"/>
  <c r="N58" i="55"/>
  <c r="N59" i="55"/>
  <c r="N60" i="55"/>
  <c r="N61" i="55"/>
  <c r="N62" i="55"/>
  <c r="N63" i="55"/>
  <c r="N64" i="55"/>
  <c r="N65" i="55"/>
  <c r="N66" i="55"/>
  <c r="N67" i="55"/>
  <c r="N68" i="55"/>
  <c r="N69" i="55"/>
  <c r="R2" i="55"/>
  <c r="M18" i="55" s="1"/>
  <c r="Q2" i="55"/>
  <c r="P2" i="55"/>
  <c r="O2" i="55"/>
  <c r="N2" i="55"/>
  <c r="K2" i="55"/>
  <c r="J2" i="55"/>
  <c r="H2" i="55"/>
  <c r="F2" i="55"/>
  <c r="E2" i="55"/>
  <c r="D2" i="55"/>
  <c r="C2" i="55"/>
  <c r="B2" i="55"/>
  <c r="B36" i="55"/>
  <c r="R7" i="54"/>
  <c r="R6" i="53"/>
  <c r="N57" i="54"/>
  <c r="N58" i="54"/>
  <c r="N59" i="54"/>
  <c r="N60" i="54"/>
  <c r="N61" i="54"/>
  <c r="N62" i="54"/>
  <c r="N63" i="54"/>
  <c r="N64" i="54"/>
  <c r="N65" i="54"/>
  <c r="N66" i="54"/>
  <c r="N67" i="54"/>
  <c r="N68" i="54"/>
  <c r="N69" i="54"/>
  <c r="R2" i="54"/>
  <c r="M61" i="54"/>
  <c r="Q2" i="54"/>
  <c r="P2" i="54"/>
  <c r="O2" i="54"/>
  <c r="N2" i="54"/>
  <c r="K2" i="54"/>
  <c r="J2" i="54"/>
  <c r="H2" i="54"/>
  <c r="F2" i="54"/>
  <c r="E2" i="54"/>
  <c r="D2" i="54"/>
  <c r="C2" i="54"/>
  <c r="B2" i="54"/>
  <c r="B48" i="54" s="1"/>
  <c r="C48" i="54" s="1"/>
  <c r="D48" i="54" s="1"/>
  <c r="N57" i="53"/>
  <c r="N58" i="53"/>
  <c r="N59" i="53"/>
  <c r="N60" i="53"/>
  <c r="N61" i="53"/>
  <c r="N62" i="53"/>
  <c r="N63" i="53"/>
  <c r="N64" i="53"/>
  <c r="N65" i="53"/>
  <c r="N66" i="53"/>
  <c r="N67" i="53"/>
  <c r="N68" i="53"/>
  <c r="N69" i="53"/>
  <c r="R2" i="53"/>
  <c r="M21" i="53"/>
  <c r="Q2" i="53"/>
  <c r="P2" i="53"/>
  <c r="O2" i="53"/>
  <c r="N2" i="53"/>
  <c r="K2" i="53"/>
  <c r="J2" i="53"/>
  <c r="H2" i="53"/>
  <c r="F2" i="53"/>
  <c r="E2" i="53"/>
  <c r="D2" i="53"/>
  <c r="C2" i="53"/>
  <c r="B2" i="53"/>
  <c r="N57" i="52"/>
  <c r="N58" i="52"/>
  <c r="N59" i="52"/>
  <c r="N60" i="52"/>
  <c r="N61" i="52"/>
  <c r="N62" i="52"/>
  <c r="N63" i="52"/>
  <c r="N64" i="52"/>
  <c r="N65" i="52"/>
  <c r="N66" i="52"/>
  <c r="N67" i="52"/>
  <c r="N68" i="52"/>
  <c r="N69" i="52"/>
  <c r="J2" i="52"/>
  <c r="Q2" i="52"/>
  <c r="R5" i="52"/>
  <c r="R2" i="52"/>
  <c r="P2" i="52"/>
  <c r="O2" i="52"/>
  <c r="N2" i="52"/>
  <c r="H2" i="52"/>
  <c r="F2" i="52"/>
  <c r="E2" i="52"/>
  <c r="D2" i="52"/>
  <c r="C2" i="52"/>
  <c r="B2" i="52"/>
  <c r="B6" i="52"/>
  <c r="K2" i="52"/>
  <c r="R2" i="1"/>
  <c r="S2" i="4"/>
  <c r="F2" i="1"/>
  <c r="E2" i="1"/>
  <c r="Q2" i="1"/>
  <c r="P2" i="1"/>
  <c r="O2" i="1"/>
  <c r="N2" i="1"/>
  <c r="D2" i="1"/>
  <c r="C2" i="1"/>
  <c r="B7" i="50"/>
  <c r="B3" i="50"/>
  <c r="K3" i="50" s="1"/>
  <c r="B4" i="50"/>
  <c r="N4" i="50"/>
  <c r="B5" i="50"/>
  <c r="B6" i="50"/>
  <c r="B8" i="50"/>
  <c r="B9" i="50"/>
  <c r="Q10" i="50" s="1"/>
  <c r="B10" i="50"/>
  <c r="B11" i="50"/>
  <c r="B12" i="50"/>
  <c r="B2" i="50"/>
  <c r="M2" i="4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B2" i="1"/>
  <c r="K2" i="1"/>
  <c r="H2" i="1"/>
  <c r="M15" i="61"/>
  <c r="O15" i="61" s="1"/>
  <c r="M23" i="61"/>
  <c r="B47" i="61"/>
  <c r="B35" i="61"/>
  <c r="M55" i="61"/>
  <c r="O55" i="61" s="1"/>
  <c r="M47" i="61"/>
  <c r="M39" i="61"/>
  <c r="M31" i="61"/>
  <c r="M60" i="61"/>
  <c r="O60" i="61" s="1"/>
  <c r="S60" i="61" s="1"/>
  <c r="M26" i="59"/>
  <c r="B19" i="59"/>
  <c r="B23" i="59"/>
  <c r="B27" i="59"/>
  <c r="B52" i="59"/>
  <c r="B51" i="59"/>
  <c r="B50" i="59"/>
  <c r="B49" i="59"/>
  <c r="B48" i="59"/>
  <c r="B47" i="59"/>
  <c r="B46" i="59"/>
  <c r="B45" i="59"/>
  <c r="B44" i="59"/>
  <c r="B43" i="59"/>
  <c r="B42" i="59"/>
  <c r="B41" i="59"/>
  <c r="B40" i="59"/>
  <c r="B39" i="59"/>
  <c r="B38" i="59"/>
  <c r="B37" i="59"/>
  <c r="B36" i="59"/>
  <c r="B35" i="59"/>
  <c r="B34" i="59"/>
  <c r="B33" i="59"/>
  <c r="B32" i="59"/>
  <c r="B56" i="59"/>
  <c r="B55" i="59"/>
  <c r="B54" i="59"/>
  <c r="B53" i="59"/>
  <c r="B13" i="59"/>
  <c r="B15" i="59"/>
  <c r="B16" i="59"/>
  <c r="B20" i="59"/>
  <c r="B24" i="59"/>
  <c r="B28" i="59"/>
  <c r="M66" i="59"/>
  <c r="O66" i="60" s="1"/>
  <c r="M63" i="59"/>
  <c r="M54" i="59"/>
  <c r="M50" i="59"/>
  <c r="M46" i="59"/>
  <c r="M42" i="59"/>
  <c r="M69" i="59"/>
  <c r="M20" i="59"/>
  <c r="B21" i="59"/>
  <c r="B25" i="59"/>
  <c r="M28" i="59"/>
  <c r="B29" i="59"/>
  <c r="M37" i="59"/>
  <c r="B14" i="59"/>
  <c r="B17" i="59"/>
  <c r="B18" i="59"/>
  <c r="B22" i="59"/>
  <c r="B26" i="59"/>
  <c r="B30" i="59"/>
  <c r="M53" i="58"/>
  <c r="M20" i="57"/>
  <c r="O20" i="57" s="1"/>
  <c r="B17" i="57"/>
  <c r="B30" i="57"/>
  <c r="M17" i="56"/>
  <c r="M46" i="56"/>
  <c r="M31" i="56"/>
  <c r="B31" i="56"/>
  <c r="M28" i="54"/>
  <c r="M16" i="53"/>
  <c r="M68" i="53"/>
  <c r="M33" i="53"/>
  <c r="M50" i="53"/>
  <c r="M42" i="53"/>
  <c r="M55" i="53"/>
  <c r="M23" i="53"/>
  <c r="B49" i="53"/>
  <c r="B41" i="53"/>
  <c r="B33" i="53"/>
  <c r="B25" i="53"/>
  <c r="B17" i="53"/>
  <c r="B48" i="52"/>
  <c r="B15" i="52"/>
  <c r="B32" i="52"/>
  <c r="B7" i="52"/>
  <c r="B14" i="52"/>
  <c r="B10" i="52"/>
  <c r="B23" i="52"/>
  <c r="B54" i="52"/>
  <c r="B50" i="52"/>
  <c r="B46" i="52"/>
  <c r="B42" i="52"/>
  <c r="B38" i="52"/>
  <c r="B34" i="52"/>
  <c r="B30" i="52"/>
  <c r="B53" i="52"/>
  <c r="B49" i="52"/>
  <c r="B45" i="52"/>
  <c r="B41" i="52"/>
  <c r="B37" i="52"/>
  <c r="B33" i="52"/>
  <c r="B29" i="52"/>
  <c r="B55" i="52"/>
  <c r="B47" i="52"/>
  <c r="B39" i="52"/>
  <c r="B31" i="52"/>
  <c r="B24" i="52"/>
  <c r="B20" i="52"/>
  <c r="B16" i="52"/>
  <c r="B12" i="52"/>
  <c r="B52" i="52"/>
  <c r="B44" i="52"/>
  <c r="B36" i="52"/>
  <c r="B28" i="52"/>
  <c r="B25" i="52"/>
  <c r="B21" i="52"/>
  <c r="B17" i="52"/>
  <c r="B13" i="52"/>
  <c r="B56" i="52"/>
  <c r="B40" i="52"/>
  <c r="B27" i="52"/>
  <c r="B19" i="52"/>
  <c r="B8" i="52"/>
  <c r="B51" i="52"/>
  <c r="B35" i="52"/>
  <c r="B26" i="52"/>
  <c r="B18" i="52"/>
  <c r="B9" i="52"/>
  <c r="B11" i="52"/>
  <c r="B22" i="52"/>
  <c r="B43" i="52"/>
  <c r="M17" i="53"/>
  <c r="M11" i="53"/>
  <c r="M20" i="53"/>
  <c r="M65" i="53"/>
  <c r="M36" i="53"/>
  <c r="M53" i="53"/>
  <c r="O53" i="54" s="1"/>
  <c r="M45" i="53"/>
  <c r="M32" i="53"/>
  <c r="M10" i="53"/>
  <c r="M24" i="53"/>
  <c r="M61" i="53"/>
  <c r="M35" i="53"/>
  <c r="M52" i="53"/>
  <c r="M44" i="53"/>
  <c r="M31" i="53"/>
  <c r="M15" i="53"/>
  <c r="M14" i="53"/>
  <c r="M18" i="53"/>
  <c r="M57" i="53"/>
  <c r="M34" i="53"/>
  <c r="M51" i="53"/>
  <c r="M43" i="53"/>
  <c r="M30" i="53"/>
  <c r="M19" i="53"/>
  <c r="M67" i="55"/>
  <c r="M27" i="55"/>
  <c r="M63" i="55"/>
  <c r="M26" i="55"/>
  <c r="M53" i="55"/>
  <c r="M19" i="55"/>
  <c r="M66" i="1"/>
  <c r="M50" i="1"/>
  <c r="M34" i="1"/>
  <c r="M18" i="1"/>
  <c r="M65" i="1"/>
  <c r="M49" i="1"/>
  <c r="M33" i="1"/>
  <c r="M17" i="1"/>
  <c r="M5" i="1"/>
  <c r="M56" i="1"/>
  <c r="M40" i="1"/>
  <c r="M24" i="1"/>
  <c r="M28" i="61"/>
  <c r="M36" i="61"/>
  <c r="M44" i="61"/>
  <c r="M52" i="61"/>
  <c r="M58" i="61"/>
  <c r="M26" i="61"/>
  <c r="M18" i="61"/>
  <c r="M68" i="61"/>
  <c r="M32" i="61"/>
  <c r="M40" i="61"/>
  <c r="M48" i="61"/>
  <c r="M56" i="61"/>
  <c r="M22" i="61"/>
  <c r="M14" i="61"/>
  <c r="M61" i="61"/>
  <c r="M35" i="61"/>
  <c r="M43" i="61"/>
  <c r="M51" i="61"/>
  <c r="M67" i="61"/>
  <c r="M27" i="61"/>
  <c r="N9" i="50"/>
  <c r="M66" i="56"/>
  <c r="M61" i="56"/>
  <c r="B29" i="60"/>
  <c r="M37" i="55"/>
  <c r="M42" i="55"/>
  <c r="M43" i="55"/>
  <c r="O43" i="56" s="1"/>
  <c r="M8" i="53"/>
  <c r="M47" i="53"/>
  <c r="M38" i="53"/>
  <c r="M12" i="53"/>
  <c r="M7" i="53"/>
  <c r="M48" i="53"/>
  <c r="M60" i="53"/>
  <c r="M27" i="53"/>
  <c r="M41" i="53"/>
  <c r="M67" i="53"/>
  <c r="M66" i="53"/>
  <c r="M13" i="53"/>
  <c r="O13" i="54" s="1"/>
  <c r="B28" i="53"/>
  <c r="B44" i="53"/>
  <c r="M56" i="53"/>
  <c r="M54" i="53"/>
  <c r="M69" i="53"/>
  <c r="M28" i="53"/>
  <c r="B17" i="55"/>
  <c r="M66" i="55"/>
  <c r="M13" i="55"/>
  <c r="M12" i="55"/>
  <c r="M39" i="53"/>
  <c r="M59" i="53"/>
  <c r="M58" i="53"/>
  <c r="M25" i="53"/>
  <c r="M40" i="53"/>
  <c r="M63" i="53"/>
  <c r="M62" i="53"/>
  <c r="M6" i="53"/>
  <c r="M49" i="53"/>
  <c r="M64" i="53"/>
  <c r="M26" i="53"/>
  <c r="M29" i="53"/>
  <c r="B18" i="53"/>
  <c r="B34" i="53"/>
  <c r="B50" i="53"/>
  <c r="M9" i="53"/>
  <c r="M46" i="53"/>
  <c r="M37" i="53"/>
  <c r="M22" i="53"/>
  <c r="M53" i="54"/>
  <c r="B48" i="60"/>
  <c r="B11" i="53"/>
  <c r="M13" i="59"/>
  <c r="B9" i="53"/>
  <c r="M25" i="55"/>
  <c r="M41" i="55"/>
  <c r="M59" i="55"/>
  <c r="O59" i="55" s="1"/>
  <c r="S59" i="55" s="1"/>
  <c r="M14" i="55"/>
  <c r="M30" i="55"/>
  <c r="M46" i="55"/>
  <c r="M68" i="55"/>
  <c r="M9" i="55"/>
  <c r="M31" i="55"/>
  <c r="M47" i="55"/>
  <c r="M57" i="55"/>
  <c r="O57" i="55" s="1"/>
  <c r="S57" i="55" s="1"/>
  <c r="M8" i="55"/>
  <c r="M32" i="54"/>
  <c r="O32" i="54" s="1"/>
  <c r="M64" i="54"/>
  <c r="B33" i="54"/>
  <c r="M18" i="56"/>
  <c r="B46" i="58"/>
  <c r="B35" i="58"/>
  <c r="B50" i="58"/>
  <c r="B26" i="58"/>
  <c r="M15" i="58"/>
  <c r="M58" i="58"/>
  <c r="M30" i="58"/>
  <c r="B45" i="55"/>
  <c r="B32" i="55"/>
  <c r="B13" i="55"/>
  <c r="B41" i="55"/>
  <c r="B28" i="55"/>
  <c r="B9" i="55"/>
  <c r="B53" i="55"/>
  <c r="B20" i="55"/>
  <c r="B24" i="55"/>
  <c r="M29" i="55"/>
  <c r="M45" i="55"/>
  <c r="M64" i="55"/>
  <c r="M10" i="55"/>
  <c r="M34" i="55"/>
  <c r="M50" i="55"/>
  <c r="M69" i="55"/>
  <c r="M21" i="55"/>
  <c r="M35" i="55"/>
  <c r="M51" i="55"/>
  <c r="M58" i="55"/>
  <c r="O58" i="56" s="1"/>
  <c r="S58" i="56" s="1"/>
  <c r="M12" i="54"/>
  <c r="O12" i="55" s="1"/>
  <c r="B49" i="55"/>
  <c r="B10" i="54"/>
  <c r="B30" i="54"/>
  <c r="M67" i="54"/>
  <c r="M51" i="54"/>
  <c r="M43" i="54"/>
  <c r="M38" i="54"/>
  <c r="M30" i="54"/>
  <c r="M26" i="54"/>
  <c r="M18" i="54"/>
  <c r="M10" i="54"/>
  <c r="M59" i="54"/>
  <c r="M49" i="54"/>
  <c r="M41" i="54"/>
  <c r="M36" i="54"/>
  <c r="M39" i="54"/>
  <c r="M24" i="54"/>
  <c r="M16" i="54"/>
  <c r="M8" i="54"/>
  <c r="M55" i="54"/>
  <c r="O55" i="54" s="1"/>
  <c r="M47" i="54"/>
  <c r="M69" i="54"/>
  <c r="M34" i="54"/>
  <c r="O34" i="54" s="1"/>
  <c r="M66" i="54"/>
  <c r="M22" i="54"/>
  <c r="O22" i="54"/>
  <c r="M14" i="54"/>
  <c r="M28" i="55"/>
  <c r="M56" i="55"/>
  <c r="M44" i="55"/>
  <c r="M33" i="55"/>
  <c r="M49" i="55"/>
  <c r="M65" i="55"/>
  <c r="M22" i="55"/>
  <c r="O22" i="55" s="1"/>
  <c r="M38" i="55"/>
  <c r="M54" i="55"/>
  <c r="M17" i="55"/>
  <c r="O17" i="56"/>
  <c r="M23" i="55"/>
  <c r="M39" i="55"/>
  <c r="M55" i="55"/>
  <c r="M16" i="55"/>
  <c r="M60" i="55"/>
  <c r="M20" i="54"/>
  <c r="M45" i="54"/>
  <c r="O45" i="54" s="1"/>
  <c r="M36" i="55"/>
  <c r="B51" i="1"/>
  <c r="M49" i="52"/>
  <c r="O49" i="53" s="1"/>
  <c r="M52" i="52"/>
  <c r="B18" i="56"/>
  <c r="B14" i="56"/>
  <c r="B52" i="56"/>
  <c r="B35" i="56"/>
  <c r="B40" i="56"/>
  <c r="B48" i="56"/>
  <c r="B39" i="56"/>
  <c r="B44" i="56"/>
  <c r="M11" i="56"/>
  <c r="M63" i="56"/>
  <c r="M50" i="56"/>
  <c r="M43" i="56"/>
  <c r="M38" i="56"/>
  <c r="M30" i="56"/>
  <c r="M20" i="56"/>
  <c r="M59" i="56"/>
  <c r="M49" i="56"/>
  <c r="M42" i="56"/>
  <c r="M35" i="56"/>
  <c r="O35" i="56" s="1"/>
  <c r="M60" i="56"/>
  <c r="M26" i="56"/>
  <c r="M65" i="56"/>
  <c r="O65" i="56" s="1"/>
  <c r="M54" i="56"/>
  <c r="O54" i="56" s="1"/>
  <c r="M47" i="56"/>
  <c r="M39" i="56"/>
  <c r="O39" i="56" s="1"/>
  <c r="M34" i="56"/>
  <c r="M12" i="56"/>
  <c r="M28" i="56"/>
  <c r="M23" i="59"/>
  <c r="O53" i="55"/>
  <c r="B12" i="57"/>
  <c r="B34" i="57"/>
  <c r="B21" i="57"/>
  <c r="M29" i="59"/>
  <c r="B49" i="57"/>
  <c r="B38" i="57"/>
  <c r="B48" i="57"/>
  <c r="B26" i="57"/>
  <c r="B47" i="57"/>
  <c r="Q9" i="50"/>
  <c r="B16" i="60"/>
  <c r="B20" i="60"/>
  <c r="B43" i="60"/>
  <c r="B39" i="60"/>
  <c r="B35" i="60"/>
  <c r="B31" i="60"/>
  <c r="B27" i="60"/>
  <c r="B55" i="60"/>
  <c r="B47" i="60"/>
  <c r="B52" i="60"/>
  <c r="B44" i="60"/>
  <c r="B17" i="60"/>
  <c r="B21" i="60"/>
  <c r="B42" i="60"/>
  <c r="B38" i="60"/>
  <c r="B34" i="60"/>
  <c r="B30" i="60"/>
  <c r="B26" i="60"/>
  <c r="B53" i="60"/>
  <c r="B45" i="60"/>
  <c r="B50" i="60"/>
  <c r="B19" i="60"/>
  <c r="B40" i="60"/>
  <c r="B32" i="60"/>
  <c r="B24" i="60"/>
  <c r="B54" i="60"/>
  <c r="B15" i="60"/>
  <c r="B23" i="60"/>
  <c r="B36" i="60"/>
  <c r="B28" i="60"/>
  <c r="B49" i="60"/>
  <c r="B46" i="60"/>
  <c r="B18" i="60"/>
  <c r="B33" i="60"/>
  <c r="B56" i="60"/>
  <c r="B41" i="60"/>
  <c r="B25" i="60"/>
  <c r="B14" i="60"/>
  <c r="B37" i="60"/>
  <c r="B51" i="60"/>
  <c r="M56" i="60"/>
  <c r="M22" i="60"/>
  <c r="M26" i="60"/>
  <c r="O26" i="61" s="1"/>
  <c r="M62" i="60"/>
  <c r="M33" i="60"/>
  <c r="O33" i="61" s="1"/>
  <c r="M47" i="60"/>
  <c r="O47" i="61" s="1"/>
  <c r="B50" i="57"/>
  <c r="B40" i="57"/>
  <c r="B20" i="57"/>
  <c r="B16" i="57"/>
  <c r="B44" i="57"/>
  <c r="B37" i="57"/>
  <c r="B33" i="57"/>
  <c r="B29" i="57"/>
  <c r="B25" i="57"/>
  <c r="B45" i="57"/>
  <c r="B14" i="57"/>
  <c r="B11" i="57"/>
  <c r="B56" i="57"/>
  <c r="B23" i="57"/>
  <c r="B19" i="57"/>
  <c r="B55" i="57"/>
  <c r="B42" i="57"/>
  <c r="B36" i="57"/>
  <c r="B32" i="57"/>
  <c r="B28" i="57"/>
  <c r="B24" i="57"/>
  <c r="B43" i="57"/>
  <c r="B54" i="57"/>
  <c r="B13" i="57"/>
  <c r="B22" i="57"/>
  <c r="B51" i="57"/>
  <c r="B35" i="57"/>
  <c r="B27" i="57"/>
  <c r="B41" i="57"/>
  <c r="B52" i="57"/>
  <c r="B18" i="57"/>
  <c r="B39" i="57"/>
  <c r="B31" i="57"/>
  <c r="B53" i="57"/>
  <c r="B46" i="57"/>
  <c r="B50" i="1"/>
  <c r="B24" i="1"/>
  <c r="B49" i="1"/>
  <c r="B44" i="1"/>
  <c r="B31" i="1"/>
  <c r="I9" i="4"/>
  <c r="G2" i="58" s="1"/>
  <c r="M55" i="1"/>
  <c r="M26" i="52"/>
  <c r="O26" i="53" s="1"/>
  <c r="M64" i="52"/>
  <c r="M41" i="52"/>
  <c r="M13" i="52"/>
  <c r="M50" i="52"/>
  <c r="O50" i="53" s="1"/>
  <c r="B38" i="54"/>
  <c r="B11" i="54"/>
  <c r="B55" i="54"/>
  <c r="B9" i="54"/>
  <c r="M60" i="54"/>
  <c r="O60" i="55" s="1"/>
  <c r="M56" i="54"/>
  <c r="M52" i="54"/>
  <c r="M48" i="54"/>
  <c r="M44" i="54"/>
  <c r="M40" i="54"/>
  <c r="M57" i="54"/>
  <c r="M35" i="54"/>
  <c r="M31" i="54"/>
  <c r="M62" i="54"/>
  <c r="O62" i="54" s="1"/>
  <c r="S62" i="54" s="1"/>
  <c r="M27" i="54"/>
  <c r="M23" i="54"/>
  <c r="M19" i="54"/>
  <c r="M15" i="54"/>
  <c r="M11" i="54"/>
  <c r="M7" i="54"/>
  <c r="M68" i="54"/>
  <c r="M63" i="54"/>
  <c r="M54" i="54"/>
  <c r="M50" i="54"/>
  <c r="O50" i="54" s="1"/>
  <c r="M46" i="54"/>
  <c r="O46" i="54" s="1"/>
  <c r="M42" i="54"/>
  <c r="O42" i="54" s="1"/>
  <c r="M65" i="54"/>
  <c r="M37" i="54"/>
  <c r="O37" i="55" s="1"/>
  <c r="M33" i="54"/>
  <c r="M29" i="54"/>
  <c r="O29" i="55" s="1"/>
  <c r="M58" i="54"/>
  <c r="M25" i="54"/>
  <c r="O25" i="55" s="1"/>
  <c r="M21" i="54"/>
  <c r="M17" i="54"/>
  <c r="M13" i="54"/>
  <c r="O13" i="55" s="1"/>
  <c r="M9" i="54"/>
  <c r="B55" i="55"/>
  <c r="B51" i="55"/>
  <c r="B47" i="55"/>
  <c r="B43" i="55"/>
  <c r="B22" i="55"/>
  <c r="B38" i="55"/>
  <c r="B34" i="55"/>
  <c r="B30" i="55"/>
  <c r="B26" i="55"/>
  <c r="B19" i="55"/>
  <c r="B15" i="55"/>
  <c r="B11" i="55"/>
  <c r="B54" i="55"/>
  <c r="B50" i="55"/>
  <c r="B46" i="55"/>
  <c r="B42" i="55"/>
  <c r="B21" i="55"/>
  <c r="B37" i="55"/>
  <c r="B33" i="55"/>
  <c r="B29" i="55"/>
  <c r="B25" i="55"/>
  <c r="B18" i="55"/>
  <c r="B14" i="55"/>
  <c r="B10" i="55"/>
  <c r="B56" i="55"/>
  <c r="B48" i="55"/>
  <c r="B40" i="55"/>
  <c r="B35" i="55"/>
  <c r="B27" i="55"/>
  <c r="B16" i="55"/>
  <c r="B52" i="55"/>
  <c r="B44" i="55"/>
  <c r="B39" i="55"/>
  <c r="B31" i="55"/>
  <c r="B23" i="55"/>
  <c r="B12" i="55"/>
  <c r="M11" i="55"/>
  <c r="O11" i="56" s="1"/>
  <c r="M62" i="55"/>
  <c r="M48" i="55"/>
  <c r="M24" i="55"/>
  <c r="O24" i="55" s="1"/>
  <c r="M61" i="55"/>
  <c r="M40" i="55"/>
  <c r="M20" i="55"/>
  <c r="M15" i="55"/>
  <c r="M32" i="55"/>
  <c r="M52" i="55"/>
  <c r="K12" i="50"/>
  <c r="K11" i="50"/>
  <c r="B19" i="61"/>
  <c r="B46" i="61"/>
  <c r="M16" i="61"/>
  <c r="M20" i="61"/>
  <c r="M24" i="61"/>
  <c r="M64" i="61"/>
  <c r="M66" i="61"/>
  <c r="M63" i="61"/>
  <c r="M54" i="61"/>
  <c r="M50" i="61"/>
  <c r="M46" i="61"/>
  <c r="M42" i="61"/>
  <c r="O42" i="61" s="1"/>
  <c r="M38" i="61"/>
  <c r="M34" i="61"/>
  <c r="M30" i="61"/>
  <c r="M65" i="61"/>
  <c r="O65" i="61" s="1"/>
  <c r="S65" i="61" s="1"/>
  <c r="M17" i="61"/>
  <c r="M21" i="61"/>
  <c r="M25" i="61"/>
  <c r="M62" i="61"/>
  <c r="M59" i="61"/>
  <c r="M53" i="61"/>
  <c r="M49" i="61"/>
  <c r="M45" i="61"/>
  <c r="M41" i="61"/>
  <c r="M37" i="61"/>
  <c r="M33" i="61"/>
  <c r="M29" i="61"/>
  <c r="M57" i="61"/>
  <c r="M69" i="61"/>
  <c r="M29" i="56"/>
  <c r="M23" i="56"/>
  <c r="O23" i="56" s="1"/>
  <c r="M10" i="56"/>
  <c r="M57" i="56"/>
  <c r="M56" i="56"/>
  <c r="M52" i="56"/>
  <c r="M48" i="56"/>
  <c r="M45" i="56"/>
  <c r="M41" i="56"/>
  <c r="M62" i="56"/>
  <c r="M37" i="56"/>
  <c r="M33" i="56"/>
  <c r="M68" i="56"/>
  <c r="M14" i="56"/>
  <c r="O14" i="56" s="1"/>
  <c r="M22" i="56"/>
  <c r="M25" i="56"/>
  <c r="O25" i="56" s="1"/>
  <c r="M13" i="56"/>
  <c r="O13" i="56" s="1"/>
  <c r="M69" i="56"/>
  <c r="M67" i="56"/>
  <c r="M55" i="56"/>
  <c r="M51" i="56"/>
  <c r="M44" i="56"/>
  <c r="M40" i="56"/>
  <c r="M58" i="56"/>
  <c r="M36" i="56"/>
  <c r="M32" i="56"/>
  <c r="M64" i="56"/>
  <c r="M16" i="56"/>
  <c r="M24" i="56"/>
  <c r="K6" i="50"/>
  <c r="O26" i="56"/>
  <c r="B40" i="58"/>
  <c r="B36" i="58"/>
  <c r="B32" i="58"/>
  <c r="B55" i="58"/>
  <c r="B51" i="58"/>
  <c r="B47" i="58"/>
  <c r="B12" i="58"/>
  <c r="B16" i="58"/>
  <c r="B20" i="58"/>
  <c r="B24" i="58"/>
  <c r="B29" i="58"/>
  <c r="B42" i="58"/>
  <c r="B38" i="58"/>
  <c r="B34" i="58"/>
  <c r="B30" i="58"/>
  <c r="B53" i="58"/>
  <c r="B49" i="58"/>
  <c r="B45" i="58"/>
  <c r="B14" i="58"/>
  <c r="B18" i="58"/>
  <c r="B22" i="58"/>
  <c r="B27" i="58"/>
  <c r="B41" i="58"/>
  <c r="B37" i="58"/>
  <c r="B33" i="58"/>
  <c r="B56" i="58"/>
  <c r="B52" i="58"/>
  <c r="B48" i="58"/>
  <c r="B44" i="58"/>
  <c r="B15" i="58"/>
  <c r="B19" i="58"/>
  <c r="B23" i="58"/>
  <c r="B28" i="58"/>
  <c r="B25" i="58"/>
  <c r="B43" i="58"/>
  <c r="B54" i="58"/>
  <c r="B17" i="58"/>
  <c r="B31" i="58"/>
  <c r="B13" i="58"/>
  <c r="B21" i="58"/>
  <c r="B39" i="58"/>
  <c r="M24" i="60"/>
  <c r="M61" i="60"/>
  <c r="B42" i="56"/>
  <c r="B27" i="56"/>
  <c r="B23" i="56"/>
  <c r="B12" i="56"/>
  <c r="B29" i="56"/>
  <c r="B24" i="56"/>
  <c r="B20" i="56"/>
  <c r="B16" i="56"/>
  <c r="B13" i="56"/>
  <c r="B26" i="56"/>
  <c r="B19" i="56"/>
  <c r="B25" i="56"/>
  <c r="B53" i="56"/>
  <c r="B49" i="56"/>
  <c r="B45" i="56"/>
  <c r="B30" i="56"/>
  <c r="B34" i="56"/>
  <c r="B38" i="56"/>
  <c r="B17" i="56"/>
  <c r="B55" i="56"/>
  <c r="B51" i="56"/>
  <c r="B47" i="56"/>
  <c r="B10" i="56"/>
  <c r="B32" i="56"/>
  <c r="B36" i="56"/>
  <c r="B41" i="56"/>
  <c r="B28" i="56"/>
  <c r="B21" i="56"/>
  <c r="B15" i="56"/>
  <c r="B22" i="56"/>
  <c r="B54" i="56"/>
  <c r="B50" i="56"/>
  <c r="B46" i="56"/>
  <c r="B11" i="56"/>
  <c r="B33" i="56"/>
  <c r="B37" i="56"/>
  <c r="B43" i="56"/>
  <c r="I5" i="4"/>
  <c r="G2" i="54" s="1"/>
  <c r="I11" i="4"/>
  <c r="G2" i="60" s="1"/>
  <c r="K8" i="50"/>
  <c r="M16" i="60"/>
  <c r="M59" i="60"/>
  <c r="M54" i="60"/>
  <c r="M52" i="60"/>
  <c r="M45" i="60"/>
  <c r="M43" i="60"/>
  <c r="O43" i="61" s="1"/>
  <c r="M37" i="60"/>
  <c r="M34" i="60"/>
  <c r="M30" i="60"/>
  <c r="M21" i="60"/>
  <c r="O21" i="61" s="1"/>
  <c r="M18" i="60"/>
  <c r="O18" i="61" s="1"/>
  <c r="M13" i="60"/>
  <c r="M58" i="60"/>
  <c r="O58" i="61" s="1"/>
  <c r="M60" i="60"/>
  <c r="M63" i="60"/>
  <c r="M55" i="60"/>
  <c r="M50" i="60"/>
  <c r="M48" i="60"/>
  <c r="M57" i="60"/>
  <c r="O57" i="61" s="1"/>
  <c r="S57" i="61" s="1"/>
  <c r="M35" i="60"/>
  <c r="M32" i="60"/>
  <c r="M27" i="60"/>
  <c r="M15" i="60"/>
  <c r="M14" i="60"/>
  <c r="M66" i="60"/>
  <c r="M68" i="60"/>
  <c r="M67" i="60"/>
  <c r="O67" i="61" s="1"/>
  <c r="S67" i="61" s="1"/>
  <c r="M53" i="60"/>
  <c r="O53" i="61" s="1"/>
  <c r="M44" i="60"/>
  <c r="M69" i="60"/>
  <c r="M31" i="60"/>
  <c r="M65" i="60"/>
  <c r="M41" i="60"/>
  <c r="M39" i="60"/>
  <c r="M20" i="60"/>
  <c r="M64" i="60"/>
  <c r="M51" i="60"/>
  <c r="O51" i="61" s="1"/>
  <c r="M46" i="60"/>
  <c r="M38" i="60"/>
  <c r="M29" i="60"/>
  <c r="M23" i="60"/>
  <c r="O23" i="61" s="1"/>
  <c r="M40" i="60"/>
  <c r="M19" i="60"/>
  <c r="M49" i="60"/>
  <c r="O49" i="61" s="1"/>
  <c r="M36" i="60"/>
  <c r="O36" i="61" s="1"/>
  <c r="M28" i="60"/>
  <c r="O28" i="60" s="1"/>
  <c r="M25" i="60"/>
  <c r="M42" i="60"/>
  <c r="B27" i="61"/>
  <c r="B23" i="61"/>
  <c r="B56" i="61"/>
  <c r="B48" i="61"/>
  <c r="B40" i="61"/>
  <c r="B49" i="61"/>
  <c r="B41" i="61"/>
  <c r="B36" i="61"/>
  <c r="B32" i="61"/>
  <c r="B18" i="61"/>
  <c r="B22" i="61"/>
  <c r="B28" i="61"/>
  <c r="B24" i="61"/>
  <c r="B50" i="61"/>
  <c r="B42" i="61"/>
  <c r="B51" i="61"/>
  <c r="B43" i="61"/>
  <c r="B37" i="61"/>
  <c r="B33" i="61"/>
  <c r="B17" i="61"/>
  <c r="B21" i="61"/>
  <c r="B25" i="61"/>
  <c r="B52" i="61"/>
  <c r="B53" i="61"/>
  <c r="B38" i="61"/>
  <c r="B16" i="61"/>
  <c r="B31" i="61"/>
  <c r="B30" i="61"/>
  <c r="B44" i="61"/>
  <c r="B45" i="61"/>
  <c r="B34" i="61"/>
  <c r="B20" i="61"/>
  <c r="B26" i="61"/>
  <c r="B54" i="61"/>
  <c r="B55" i="61"/>
  <c r="B39" i="61"/>
  <c r="B15" i="61"/>
  <c r="B29" i="61"/>
  <c r="N10" i="50"/>
  <c r="N8" i="50"/>
  <c r="M35" i="1"/>
  <c r="M19" i="1"/>
  <c r="M8" i="1"/>
  <c r="M25" i="59"/>
  <c r="M36" i="59"/>
  <c r="B29" i="1"/>
  <c r="B7" i="1"/>
  <c r="B32" i="1"/>
  <c r="B46" i="1"/>
  <c r="B5" i="1"/>
  <c r="B27" i="1"/>
  <c r="B34" i="1"/>
  <c r="M21" i="56"/>
  <c r="K4" i="50"/>
  <c r="M19" i="56"/>
  <c r="M15" i="56"/>
  <c r="M27" i="56"/>
  <c r="M9" i="56"/>
  <c r="O10" i="56"/>
  <c r="O21" i="56"/>
  <c r="O38" i="54"/>
  <c r="O38" i="56"/>
  <c r="O39" i="55"/>
  <c r="O34" i="55"/>
  <c r="O60" i="56"/>
  <c r="O58" i="54"/>
  <c r="O14" i="55"/>
  <c r="O47" i="56"/>
  <c r="O55" i="55"/>
  <c r="O67" i="54"/>
  <c r="O67" i="55"/>
  <c r="S67" i="55" s="1"/>
  <c r="O42" i="56"/>
  <c r="O34" i="56"/>
  <c r="O60" i="54"/>
  <c r="O28" i="56"/>
  <c r="O59" i="56"/>
  <c r="O48" i="55"/>
  <c r="O42" i="55"/>
  <c r="O37" i="56"/>
  <c r="O32" i="55"/>
  <c r="O27" i="54"/>
  <c r="O16" i="61"/>
  <c r="O48" i="54"/>
  <c r="O55" i="56"/>
  <c r="O48" i="56"/>
  <c r="O54" i="54"/>
  <c r="O54" i="55"/>
  <c r="O57" i="54"/>
  <c r="O29" i="56"/>
  <c r="O31" i="54"/>
  <c r="O67" i="56"/>
  <c r="O63" i="55"/>
  <c r="S63" i="55" s="1"/>
  <c r="O62" i="61"/>
  <c r="S62" i="61" s="1"/>
  <c r="O15" i="54"/>
  <c r="O29" i="54"/>
  <c r="O36" i="60"/>
  <c r="O63" i="61"/>
  <c r="O54" i="61"/>
  <c r="O54" i="60"/>
  <c r="O28" i="61"/>
  <c r="O40" i="61"/>
  <c r="O46" i="61"/>
  <c r="O46" i="60"/>
  <c r="O48" i="61"/>
  <c r="H20" i="60"/>
  <c r="H33" i="60"/>
  <c r="C11" i="54"/>
  <c r="D11" i="54" s="1"/>
  <c r="E11" i="54" s="1"/>
  <c r="F11" i="54" s="1"/>
  <c r="G11" i="54" s="1"/>
  <c r="C38" i="54"/>
  <c r="D38" i="54" s="1"/>
  <c r="C10" i="54"/>
  <c r="D10" i="54" s="1"/>
  <c r="E10" i="54" s="1"/>
  <c r="F10" i="54" s="1"/>
  <c r="C30" i="54"/>
  <c r="D30" i="54" s="1"/>
  <c r="C33" i="54"/>
  <c r="D33" i="54" s="1"/>
  <c r="E33" i="54" s="1"/>
  <c r="F33" i="54" s="1"/>
  <c r="C55" i="54"/>
  <c r="D55" i="54" s="1"/>
  <c r="E55" i="54" s="1"/>
  <c r="F55" i="54" s="1"/>
  <c r="G55" i="54" s="1"/>
  <c r="C9" i="54"/>
  <c r="D9" i="54" s="1"/>
  <c r="E9" i="54" s="1"/>
  <c r="F9" i="54" s="1"/>
  <c r="G9" i="54" s="1"/>
  <c r="O61" i="61"/>
  <c r="S61" i="61" s="1"/>
  <c r="H43" i="58"/>
  <c r="O42" i="60"/>
  <c r="O64" i="61"/>
  <c r="S64" i="61" s="1"/>
  <c r="O34" i="61"/>
  <c r="O29" i="60"/>
  <c r="O27" i="56"/>
  <c r="O23" i="60"/>
  <c r="O41" i="61"/>
  <c r="O44" i="61"/>
  <c r="O66" i="61"/>
  <c r="S66" i="61" s="1"/>
  <c r="S66" i="60"/>
  <c r="O50" i="61"/>
  <c r="O30" i="61"/>
  <c r="O45" i="61"/>
  <c r="H53" i="58"/>
  <c r="H42" i="58"/>
  <c r="E48" i="54"/>
  <c r="F48" i="54" s="1"/>
  <c r="G48" i="54" s="1"/>
  <c r="O25" i="60"/>
  <c r="O25" i="61"/>
  <c r="O9" i="54"/>
  <c r="O9" i="55"/>
  <c r="O41" i="54"/>
  <c r="O30" i="56"/>
  <c r="O30" i="55"/>
  <c r="O50" i="52"/>
  <c r="O32" i="61"/>
  <c r="O21" i="54"/>
  <c r="O21" i="55"/>
  <c r="O10" i="54"/>
  <c r="O10" i="55"/>
  <c r="O12" i="56"/>
  <c r="O56" i="54"/>
  <c r="M62" i="1"/>
  <c r="M46" i="1"/>
  <c r="M30" i="1"/>
  <c r="M14" i="1"/>
  <c r="M61" i="1"/>
  <c r="M45" i="1"/>
  <c r="M29" i="1"/>
  <c r="M13" i="1"/>
  <c r="O13" i="52" s="1"/>
  <c r="M68" i="1"/>
  <c r="M52" i="1"/>
  <c r="M36" i="1"/>
  <c r="M20" i="1"/>
  <c r="M51" i="1"/>
  <c r="M31" i="1"/>
  <c r="M43" i="1"/>
  <c r="M58" i="1"/>
  <c r="M42" i="1"/>
  <c r="M26" i="1"/>
  <c r="O26" i="52"/>
  <c r="M10" i="1"/>
  <c r="M57" i="1"/>
  <c r="M41" i="1"/>
  <c r="M25" i="1"/>
  <c r="O25" i="52" s="1"/>
  <c r="M9" i="1"/>
  <c r="M64" i="1"/>
  <c r="O64" i="52" s="1"/>
  <c r="S64" i="52" s="1"/>
  <c r="M48" i="1"/>
  <c r="M32" i="1"/>
  <c r="O32" i="52" s="1"/>
  <c r="M16" i="1"/>
  <c r="M11" i="1"/>
  <c r="M63" i="1"/>
  <c r="M47" i="1"/>
  <c r="M15" i="1"/>
  <c r="M67" i="1"/>
  <c r="M54" i="1"/>
  <c r="M38" i="1"/>
  <c r="M22" i="1"/>
  <c r="M6" i="1"/>
  <c r="M53" i="1"/>
  <c r="M37" i="1"/>
  <c r="M21" i="1"/>
  <c r="M69" i="1"/>
  <c r="M60" i="1"/>
  <c r="M44" i="1"/>
  <c r="M28" i="1"/>
  <c r="M12" i="1"/>
  <c r="M27" i="1"/>
  <c r="M23" i="1"/>
  <c r="M7" i="1"/>
  <c r="M59" i="1"/>
  <c r="M39" i="1"/>
  <c r="M69" i="52"/>
  <c r="M60" i="52"/>
  <c r="M38" i="52"/>
  <c r="O38" i="53" s="1"/>
  <c r="M51" i="52"/>
  <c r="M14" i="52"/>
  <c r="O14" i="53" s="1"/>
  <c r="M42" i="52"/>
  <c r="M48" i="52"/>
  <c r="M57" i="52"/>
  <c r="O57" i="53"/>
  <c r="S57" i="53" s="1"/>
  <c r="M30" i="52"/>
  <c r="M37" i="52"/>
  <c r="O37" i="53" s="1"/>
  <c r="M16" i="52"/>
  <c r="O16" i="53" s="1"/>
  <c r="M39" i="52"/>
  <c r="O39" i="53" s="1"/>
  <c r="M35" i="52"/>
  <c r="M46" i="52"/>
  <c r="O46" i="53" s="1"/>
  <c r="M6" i="52"/>
  <c r="M43" i="52"/>
  <c r="O43" i="53" s="1"/>
  <c r="M58" i="52"/>
  <c r="O58" i="53" s="1"/>
  <c r="S58" i="53" s="1"/>
  <c r="M11" i="52"/>
  <c r="O11" i="53" s="1"/>
  <c r="M7" i="52"/>
  <c r="O7" i="53" s="1"/>
  <c r="M17" i="52"/>
  <c r="M54" i="52"/>
  <c r="O54" i="53" s="1"/>
  <c r="M59" i="52"/>
  <c r="M19" i="52"/>
  <c r="O19" i="53" s="1"/>
  <c r="M20" i="52"/>
  <c r="O20" i="53" s="1"/>
  <c r="M32" i="52"/>
  <c r="O32" i="53" s="1"/>
  <c r="M27" i="52"/>
  <c r="O27" i="53"/>
  <c r="M24" i="52"/>
  <c r="O24" i="53" s="1"/>
  <c r="O18" i="56"/>
  <c r="O18" i="55"/>
  <c r="S59" i="56"/>
  <c r="M41" i="58"/>
  <c r="M44" i="58"/>
  <c r="M35" i="58"/>
  <c r="M29" i="58"/>
  <c r="O29" i="59"/>
  <c r="M57" i="58"/>
  <c r="M63" i="58"/>
  <c r="O63" i="59" s="1"/>
  <c r="S63" i="59" s="1"/>
  <c r="M12" i="58"/>
  <c r="M28" i="58"/>
  <c r="O28" i="59" s="1"/>
  <c r="M42" i="58"/>
  <c r="O42" i="59" s="1"/>
  <c r="M20" i="58"/>
  <c r="M60" i="59"/>
  <c r="O60" i="60" s="1"/>
  <c r="S60" i="60" s="1"/>
  <c r="M34" i="59"/>
  <c r="O34" i="60" s="1"/>
  <c r="M30" i="59"/>
  <c r="O30" i="60" s="1"/>
  <c r="M62" i="59"/>
  <c r="O62" i="60" s="1"/>
  <c r="S62" i="60" s="1"/>
  <c r="M59" i="59"/>
  <c r="O59" i="60"/>
  <c r="S59" i="60" s="1"/>
  <c r="M53" i="59"/>
  <c r="M49" i="59"/>
  <c r="O49" i="60" s="1"/>
  <c r="M45" i="59"/>
  <c r="O45" i="60" s="1"/>
  <c r="M41" i="59"/>
  <c r="O41" i="60" s="1"/>
  <c r="M65" i="59"/>
  <c r="O65" i="60" s="1"/>
  <c r="S65" i="60" s="1"/>
  <c r="M19" i="59"/>
  <c r="O19" i="60" s="1"/>
  <c r="M38" i="59"/>
  <c r="O38" i="60" s="1"/>
  <c r="M18" i="59"/>
  <c r="O18" i="60" s="1"/>
  <c r="M14" i="59"/>
  <c r="O14" i="60"/>
  <c r="M58" i="59"/>
  <c r="O58" i="60" s="1"/>
  <c r="S58" i="60" s="1"/>
  <c r="M56" i="59"/>
  <c r="O56" i="60" s="1"/>
  <c r="M52" i="59"/>
  <c r="O52" i="60" s="1"/>
  <c r="M48" i="59"/>
  <c r="O48" i="60" s="1"/>
  <c r="M44" i="59"/>
  <c r="O44" i="60" s="1"/>
  <c r="M40" i="59"/>
  <c r="O40" i="60" s="1"/>
  <c r="M61" i="59"/>
  <c r="O61" i="60" s="1"/>
  <c r="S61" i="60" s="1"/>
  <c r="M24" i="59"/>
  <c r="O24" i="60" s="1"/>
  <c r="M33" i="59"/>
  <c r="O33" i="60" s="1"/>
  <c r="M21" i="59"/>
  <c r="O21" i="60" s="1"/>
  <c r="M15" i="59"/>
  <c r="O15" i="59" s="1"/>
  <c r="M16" i="59"/>
  <c r="O16" i="60"/>
  <c r="M27" i="59"/>
  <c r="O27" i="60" s="1"/>
  <c r="M31" i="59"/>
  <c r="O31" i="60" s="1"/>
  <c r="M22" i="59"/>
  <c r="O22" i="60" s="1"/>
  <c r="M67" i="59"/>
  <c r="O67" i="60" s="1"/>
  <c r="S67" i="60" s="1"/>
  <c r="M55" i="59"/>
  <c r="O55" i="60" s="1"/>
  <c r="M51" i="59"/>
  <c r="M47" i="59"/>
  <c r="O47" i="60"/>
  <c r="M43" i="59"/>
  <c r="O43" i="60" s="1"/>
  <c r="M39" i="59"/>
  <c r="M57" i="59"/>
  <c r="O57" i="60" s="1"/>
  <c r="S57" i="60" s="1"/>
  <c r="M35" i="59"/>
  <c r="O35" i="60" s="1"/>
  <c r="M64" i="59"/>
  <c r="O64" i="60" s="1"/>
  <c r="S64" i="60" s="1"/>
  <c r="M32" i="59"/>
  <c r="O32" i="60" s="1"/>
  <c r="M12" i="59"/>
  <c r="M17" i="59"/>
  <c r="O62" i="56"/>
  <c r="S62" i="56" s="1"/>
  <c r="O62" i="55"/>
  <c r="S62" i="55"/>
  <c r="O52" i="52"/>
  <c r="O52" i="53"/>
  <c r="O26" i="55"/>
  <c r="O26" i="54"/>
  <c r="O30" i="59"/>
  <c r="O49" i="52"/>
  <c r="O69" i="54"/>
  <c r="S69" i="54" s="1"/>
  <c r="O69" i="55"/>
  <c r="S69" i="55" s="1"/>
  <c r="O58" i="59"/>
  <c r="S58" i="59" s="1"/>
  <c r="O40" i="56"/>
  <c r="O38" i="61"/>
  <c r="O32" i="56"/>
  <c r="O25" i="54"/>
  <c r="O29" i="61"/>
  <c r="O22" i="61"/>
  <c r="O16" i="54"/>
  <c r="M30" i="57"/>
  <c r="O30" i="57" s="1"/>
  <c r="M16" i="57"/>
  <c r="M32" i="57"/>
  <c r="M62" i="57"/>
  <c r="O62" i="57" s="1"/>
  <c r="S62" i="57" s="1"/>
  <c r="M60" i="57"/>
  <c r="O60" i="57" s="1"/>
  <c r="S60" i="57" s="1"/>
  <c r="M56" i="57"/>
  <c r="M52" i="57"/>
  <c r="O52" i="57" s="1"/>
  <c r="M48" i="57"/>
  <c r="O48" i="57" s="1"/>
  <c r="M44" i="57"/>
  <c r="O44" i="57" s="1"/>
  <c r="M40" i="57"/>
  <c r="O40" i="57" s="1"/>
  <c r="M69" i="57"/>
  <c r="M38" i="57"/>
  <c r="O38" i="58" s="1"/>
  <c r="M29" i="57"/>
  <c r="O29" i="57" s="1"/>
  <c r="M37" i="57"/>
  <c r="M24" i="57"/>
  <c r="O24" i="57" s="1"/>
  <c r="M68" i="57"/>
  <c r="O68" i="57" s="1"/>
  <c r="S68" i="57" s="1"/>
  <c r="M63" i="57"/>
  <c r="O63" i="58" s="1"/>
  <c r="S63" i="58" s="1"/>
  <c r="M54" i="57"/>
  <c r="M50" i="57"/>
  <c r="M46" i="57"/>
  <c r="M42" i="57"/>
  <c r="M65" i="57"/>
  <c r="O65" i="57" s="1"/>
  <c r="S65" i="57" s="1"/>
  <c r="M27" i="57"/>
  <c r="M12" i="57"/>
  <c r="M28" i="57"/>
  <c r="M66" i="57"/>
  <c r="M64" i="57"/>
  <c r="O64" i="57" s="1"/>
  <c r="S64" i="57" s="1"/>
  <c r="M59" i="57"/>
  <c r="M53" i="57"/>
  <c r="O53" i="58" s="1"/>
  <c r="M49" i="57"/>
  <c r="O49" i="57" s="1"/>
  <c r="M45" i="57"/>
  <c r="M41" i="57"/>
  <c r="M61" i="57"/>
  <c r="O61" i="57" s="1"/>
  <c r="S61" i="57" s="1"/>
  <c r="M33" i="57"/>
  <c r="M11" i="57"/>
  <c r="O11" i="57" s="1"/>
  <c r="M18" i="57"/>
  <c r="M10" i="57"/>
  <c r="M51" i="57"/>
  <c r="M39" i="57"/>
  <c r="M19" i="57"/>
  <c r="M15" i="57"/>
  <c r="O15" i="58" s="1"/>
  <c r="M31" i="57"/>
  <c r="M26" i="57"/>
  <c r="M58" i="57"/>
  <c r="M47" i="57"/>
  <c r="M14" i="57"/>
  <c r="M25" i="57"/>
  <c r="M17" i="57"/>
  <c r="M13" i="57"/>
  <c r="M55" i="57"/>
  <c r="M57" i="57"/>
  <c r="M35" i="57"/>
  <c r="M21" i="57"/>
  <c r="M34" i="57"/>
  <c r="M67" i="57"/>
  <c r="M23" i="57"/>
  <c r="M36" i="57"/>
  <c r="M43" i="57"/>
  <c r="M22" i="57"/>
  <c r="O15" i="60"/>
  <c r="O64" i="56"/>
  <c r="S64" i="56"/>
  <c r="O55" i="57"/>
  <c r="O33" i="56"/>
  <c r="O33" i="57"/>
  <c r="O30" i="53"/>
  <c r="O14" i="52"/>
  <c r="O52" i="56"/>
  <c r="O31" i="61"/>
  <c r="O45" i="57"/>
  <c r="O33" i="54"/>
  <c r="O33" i="55"/>
  <c r="O49" i="56"/>
  <c r="O36" i="54"/>
  <c r="O43" i="55"/>
  <c r="O43" i="54"/>
  <c r="O69" i="57"/>
  <c r="S69" i="57" s="1"/>
  <c r="O69" i="56"/>
  <c r="S69" i="56" s="1"/>
  <c r="O60" i="52"/>
  <c r="S60" i="52" s="1"/>
  <c r="O35" i="59"/>
  <c r="O20" i="54"/>
  <c r="M55" i="52"/>
  <c r="M44" i="52"/>
  <c r="O44" i="53" s="1"/>
  <c r="M47" i="52"/>
  <c r="O47" i="53" s="1"/>
  <c r="M53" i="52"/>
  <c r="O53" i="53" s="1"/>
  <c r="M63" i="52"/>
  <c r="O63" i="53" s="1"/>
  <c r="S63" i="53" s="1"/>
  <c r="M28" i="52"/>
  <c r="M12" i="52"/>
  <c r="O12" i="53" s="1"/>
  <c r="M8" i="52"/>
  <c r="M40" i="52"/>
  <c r="M67" i="52"/>
  <c r="M34" i="52"/>
  <c r="O34" i="53" s="1"/>
  <c r="M23" i="52"/>
  <c r="O23" i="53" s="1"/>
  <c r="M29" i="52"/>
  <c r="M10" i="52"/>
  <c r="M36" i="52"/>
  <c r="O36" i="53" s="1"/>
  <c r="M15" i="52"/>
  <c r="M25" i="52"/>
  <c r="M31" i="52"/>
  <c r="O31" i="53" s="1"/>
  <c r="M45" i="52"/>
  <c r="M56" i="52"/>
  <c r="M65" i="52"/>
  <c r="M18" i="52"/>
  <c r="M9" i="52"/>
  <c r="O9" i="52" s="1"/>
  <c r="M68" i="52"/>
  <c r="O68" i="52" s="1"/>
  <c r="S68" i="52" s="1"/>
  <c r="M66" i="52"/>
  <c r="M33" i="52"/>
  <c r="M62" i="52"/>
  <c r="M61" i="52"/>
  <c r="M22" i="52"/>
  <c r="O22" i="53" s="1"/>
  <c r="M21" i="52"/>
  <c r="O21" i="53"/>
  <c r="M59" i="58"/>
  <c r="O59" i="59" s="1"/>
  <c r="S59" i="59" s="1"/>
  <c r="M33" i="58"/>
  <c r="M23" i="58"/>
  <c r="O23" i="59" s="1"/>
  <c r="M48" i="58"/>
  <c r="M13" i="58"/>
  <c r="O13" i="59" s="1"/>
  <c r="M67" i="58"/>
  <c r="M51" i="58"/>
  <c r="O51" i="58" s="1"/>
  <c r="M43" i="58"/>
  <c r="O43" i="59" s="1"/>
  <c r="M27" i="58"/>
  <c r="O27" i="59" s="1"/>
  <c r="M68" i="58"/>
  <c r="M54" i="58"/>
  <c r="O54" i="59" s="1"/>
  <c r="M46" i="58"/>
  <c r="M18" i="58"/>
  <c r="O18" i="59" s="1"/>
  <c r="M17" i="58"/>
  <c r="O17" i="59" s="1"/>
  <c r="M66" i="58"/>
  <c r="O66" i="59" s="1"/>
  <c r="S66" i="59" s="1"/>
  <c r="M49" i="58"/>
  <c r="O49" i="59" s="1"/>
  <c r="M61" i="58"/>
  <c r="O61" i="59" s="1"/>
  <c r="S61" i="59" s="1"/>
  <c r="M25" i="58"/>
  <c r="O25" i="59" s="1"/>
  <c r="M22" i="58"/>
  <c r="O22" i="59" s="1"/>
  <c r="M62" i="58"/>
  <c r="O62" i="59" s="1"/>
  <c r="S62" i="59" s="1"/>
  <c r="M56" i="58"/>
  <c r="O56" i="59" s="1"/>
  <c r="M36" i="58"/>
  <c r="O36" i="59" s="1"/>
  <c r="M47" i="58"/>
  <c r="O47" i="59" s="1"/>
  <c r="M69" i="58"/>
  <c r="M19" i="58"/>
  <c r="M50" i="58"/>
  <c r="O50" i="59" s="1"/>
  <c r="M38" i="58"/>
  <c r="O38" i="59" s="1"/>
  <c r="M24" i="58"/>
  <c r="O24" i="59" s="1"/>
  <c r="M14" i="58"/>
  <c r="M64" i="58"/>
  <c r="O64" i="59" s="1"/>
  <c r="S64" i="59" s="1"/>
  <c r="M45" i="58"/>
  <c r="O45" i="59" s="1"/>
  <c r="M37" i="58"/>
  <c r="M60" i="58"/>
  <c r="M52" i="58"/>
  <c r="M40" i="58"/>
  <c r="M32" i="58"/>
  <c r="O32" i="59" s="1"/>
  <c r="M21" i="58"/>
  <c r="O21" i="59" s="1"/>
  <c r="M55" i="58"/>
  <c r="O55" i="59" s="1"/>
  <c r="M39" i="58"/>
  <c r="O39" i="59" s="1"/>
  <c r="M31" i="58"/>
  <c r="O31" i="58" s="1"/>
  <c r="O31" i="59"/>
  <c r="M11" i="58"/>
  <c r="M65" i="58"/>
  <c r="O65" i="59" s="1"/>
  <c r="S65" i="59" s="1"/>
  <c r="M34" i="58"/>
  <c r="M26" i="58"/>
  <c r="O26" i="59" s="1"/>
  <c r="M16" i="58"/>
  <c r="O16" i="59" s="1"/>
  <c r="O63" i="57"/>
  <c r="S63" i="57" s="1"/>
  <c r="O57" i="59"/>
  <c r="S57" i="59" s="1"/>
  <c r="M68" i="59"/>
  <c r="O68" i="60" s="1"/>
  <c r="S68" i="60" s="1"/>
  <c r="O44" i="59"/>
  <c r="O59" i="52"/>
  <c r="S59" i="52" s="1"/>
  <c r="O6" i="52"/>
  <c r="O11" i="52"/>
  <c r="O57" i="52"/>
  <c r="S57" i="52" s="1"/>
  <c r="O58" i="52"/>
  <c r="S58" i="52" s="1"/>
  <c r="O16" i="52"/>
  <c r="O43" i="52"/>
  <c r="O39" i="52"/>
  <c r="O54" i="52"/>
  <c r="O51" i="52"/>
  <c r="O66" i="52"/>
  <c r="S66" i="52" s="1"/>
  <c r="O66" i="53"/>
  <c r="S66" i="53" s="1"/>
  <c r="O65" i="53"/>
  <c r="S65" i="53" s="1"/>
  <c r="O65" i="52"/>
  <c r="S65" i="52" s="1"/>
  <c r="O25" i="53"/>
  <c r="O29" i="52"/>
  <c r="O29" i="53"/>
  <c r="O40" i="52"/>
  <c r="O40" i="53"/>
  <c r="O55" i="52"/>
  <c r="O55" i="53"/>
  <c r="O21" i="57"/>
  <c r="O47" i="57"/>
  <c r="O30" i="58"/>
  <c r="O31" i="52"/>
  <c r="O47" i="52"/>
  <c r="O38" i="57"/>
  <c r="O48" i="58"/>
  <c r="O62" i="58"/>
  <c r="S62" i="58" s="1"/>
  <c r="O45" i="53"/>
  <c r="O45" i="52"/>
  <c r="O34" i="52"/>
  <c r="O22" i="52"/>
  <c r="O44" i="52"/>
  <c r="O22" i="57"/>
  <c r="O67" i="57"/>
  <c r="S67" i="57" s="1"/>
  <c r="O57" i="58"/>
  <c r="S57" i="58" s="1"/>
  <c r="O57" i="57"/>
  <c r="S57" i="57" s="1"/>
  <c r="O25" i="58"/>
  <c r="O25" i="57"/>
  <c r="O26" i="58"/>
  <c r="O26" i="57"/>
  <c r="O39" i="58"/>
  <c r="O39" i="57"/>
  <c r="O45" i="58"/>
  <c r="O64" i="58"/>
  <c r="S64" i="58" s="1"/>
  <c r="O50" i="57"/>
  <c r="O50" i="58"/>
  <c r="O52" i="58"/>
  <c r="O32" i="57"/>
  <c r="O68" i="59"/>
  <c r="S68" i="59" s="1"/>
  <c r="O33" i="52"/>
  <c r="O33" i="53"/>
  <c r="O18" i="53"/>
  <c r="O18" i="52"/>
  <c r="O10" i="53"/>
  <c r="O10" i="52"/>
  <c r="O67" i="53"/>
  <c r="S67" i="53" s="1"/>
  <c r="O67" i="52"/>
  <c r="S67" i="52" s="1"/>
  <c r="O28" i="53"/>
  <c r="O28" i="52"/>
  <c r="O43" i="57"/>
  <c r="O43" i="58"/>
  <c r="O34" i="57"/>
  <c r="O55" i="58"/>
  <c r="O14" i="58"/>
  <c r="O14" i="57"/>
  <c r="O31" i="57"/>
  <c r="O51" i="57"/>
  <c r="O49" i="58"/>
  <c r="O54" i="57"/>
  <c r="O28" i="58" l="1"/>
  <c r="O28" i="57"/>
  <c r="O42" i="58"/>
  <c r="O42" i="57"/>
  <c r="O59" i="57"/>
  <c r="S59" i="57" s="1"/>
  <c r="O59" i="58"/>
  <c r="S59" i="58" s="1"/>
  <c r="O41" i="59"/>
  <c r="O17" i="53"/>
  <c r="O17" i="52"/>
  <c r="O69" i="53"/>
  <c r="S69" i="53" s="1"/>
  <c r="O69" i="52"/>
  <c r="S69" i="52" s="1"/>
  <c r="C43" i="57"/>
  <c r="D43" i="57" s="1"/>
  <c r="O54" i="58"/>
  <c r="O61" i="53"/>
  <c r="S61" i="53" s="1"/>
  <c r="O61" i="52"/>
  <c r="S61" i="52" s="1"/>
  <c r="O56" i="53"/>
  <c r="O56" i="52"/>
  <c r="O22" i="58"/>
  <c r="H41" i="59"/>
  <c r="O29" i="58"/>
  <c r="O62" i="52"/>
  <c r="S62" i="52" s="1"/>
  <c r="O62" i="53"/>
  <c r="S62" i="53" s="1"/>
  <c r="C46" i="1"/>
  <c r="D46" i="1" s="1"/>
  <c r="E46" i="1" s="1"/>
  <c r="F46" i="1" s="1"/>
  <c r="G46" i="1" s="1"/>
  <c r="O68" i="54"/>
  <c r="S68" i="54" s="1"/>
  <c r="O68" i="55"/>
  <c r="S68" i="55" s="1"/>
  <c r="O34" i="59"/>
  <c r="O37" i="59"/>
  <c r="O68" i="58"/>
  <c r="S68" i="58" s="1"/>
  <c r="O67" i="59"/>
  <c r="S67" i="59" s="1"/>
  <c r="O33" i="59"/>
  <c r="O27" i="58"/>
  <c r="O32" i="58"/>
  <c r="O20" i="58"/>
  <c r="O20" i="60"/>
  <c r="O20" i="61"/>
  <c r="B32" i="54"/>
  <c r="C32" i="54" s="1"/>
  <c r="D32" i="54" s="1"/>
  <c r="E32" i="54" s="1"/>
  <c r="F32" i="54" s="1"/>
  <c r="G32" i="54" s="1"/>
  <c r="B49" i="54"/>
  <c r="C49" i="54" s="1"/>
  <c r="D49" i="54" s="1"/>
  <c r="E49" i="54" s="1"/>
  <c r="F49" i="54" s="1"/>
  <c r="C31" i="1"/>
  <c r="D31" i="1" s="1"/>
  <c r="E31" i="1" s="1"/>
  <c r="F31" i="1" s="1"/>
  <c r="B35" i="54"/>
  <c r="C35" i="54" s="1"/>
  <c r="D35" i="54" s="1"/>
  <c r="B56" i="54"/>
  <c r="H56" i="54" s="1"/>
  <c r="B15" i="53"/>
  <c r="B10" i="53"/>
  <c r="B55" i="53"/>
  <c r="B47" i="53"/>
  <c r="B39" i="53"/>
  <c r="B31" i="53"/>
  <c r="B23" i="53"/>
  <c r="B16" i="53"/>
  <c r="C16" i="53" s="1"/>
  <c r="D16" i="53" s="1"/>
  <c r="E16" i="53" s="1"/>
  <c r="F16" i="53" s="1"/>
  <c r="G16" i="53" s="1"/>
  <c r="B32" i="53"/>
  <c r="B48" i="53"/>
  <c r="B22" i="53"/>
  <c r="B38" i="53"/>
  <c r="B54" i="53"/>
  <c r="B7" i="53"/>
  <c r="B12" i="53"/>
  <c r="B53" i="53"/>
  <c r="C53" i="53" s="1"/>
  <c r="D53" i="53" s="1"/>
  <c r="E53" i="53" s="1"/>
  <c r="F53" i="53" s="1"/>
  <c r="B45" i="53"/>
  <c r="B37" i="53"/>
  <c r="B29" i="53"/>
  <c r="B21" i="53"/>
  <c r="B20" i="53"/>
  <c r="B36" i="53"/>
  <c r="B52" i="53"/>
  <c r="B26" i="53"/>
  <c r="B42" i="53"/>
  <c r="B14" i="53"/>
  <c r="B13" i="53"/>
  <c r="B51" i="53"/>
  <c r="H51" i="53" s="1"/>
  <c r="B43" i="53"/>
  <c r="B35" i="53"/>
  <c r="B27" i="53"/>
  <c r="B19" i="53"/>
  <c r="C19" i="53" s="1"/>
  <c r="D19" i="53" s="1"/>
  <c r="B24" i="53"/>
  <c r="B40" i="53"/>
  <c r="B56" i="53"/>
  <c r="B30" i="53"/>
  <c r="C30" i="53" s="1"/>
  <c r="D30" i="53" s="1"/>
  <c r="E30" i="53" s="1"/>
  <c r="F30" i="53" s="1"/>
  <c r="B46" i="53"/>
  <c r="B8" i="53"/>
  <c r="O40" i="59"/>
  <c r="O36" i="58"/>
  <c r="O21" i="58"/>
  <c r="O13" i="58"/>
  <c r="O47" i="58"/>
  <c r="O44" i="58"/>
  <c r="O30" i="52"/>
  <c r="O7" i="52"/>
  <c r="O21" i="52"/>
  <c r="O20" i="52"/>
  <c r="O40" i="54"/>
  <c r="O40" i="55"/>
  <c r="O44" i="56"/>
  <c r="O44" i="55"/>
  <c r="O18" i="54"/>
  <c r="B54" i="1"/>
  <c r="B8" i="1"/>
  <c r="B52" i="1"/>
  <c r="B30" i="1"/>
  <c r="B55" i="1"/>
  <c r="B39" i="1"/>
  <c r="C39" i="1" s="1"/>
  <c r="D39" i="1" s="1"/>
  <c r="B20" i="1"/>
  <c r="B36" i="1"/>
  <c r="C36" i="1" s="1"/>
  <c r="D36" i="1" s="1"/>
  <c r="E36" i="1" s="1"/>
  <c r="F36" i="1" s="1"/>
  <c r="B43" i="1"/>
  <c r="B22" i="1"/>
  <c r="B42" i="1"/>
  <c r="B41" i="1"/>
  <c r="B12" i="1"/>
  <c r="B14" i="1"/>
  <c r="B17" i="1"/>
  <c r="B23" i="1"/>
  <c r="B38" i="1"/>
  <c r="B6" i="1"/>
  <c r="C6" i="1" s="1"/>
  <c r="D6" i="1" s="1"/>
  <c r="E6" i="1" s="1"/>
  <c r="F6" i="1" s="1"/>
  <c r="G6" i="1" s="1"/>
  <c r="B26" i="1"/>
  <c r="B45" i="1"/>
  <c r="B53" i="1"/>
  <c r="B19" i="1"/>
  <c r="B25" i="1"/>
  <c r="B40" i="1"/>
  <c r="C40" i="1" s="1"/>
  <c r="D40" i="1" s="1"/>
  <c r="B15" i="1"/>
  <c r="B28" i="1"/>
  <c r="B11" i="1"/>
  <c r="B56" i="1"/>
  <c r="C56" i="1" s="1"/>
  <c r="D56" i="1" s="1"/>
  <c r="E56" i="1" s="1"/>
  <c r="F56" i="1" s="1"/>
  <c r="G56" i="1" s="1"/>
  <c r="B35" i="1"/>
  <c r="B13" i="1"/>
  <c r="B10" i="1"/>
  <c r="B9" i="1"/>
  <c r="B33" i="1"/>
  <c r="B37" i="1"/>
  <c r="B16" i="1"/>
  <c r="B48" i="1"/>
  <c r="C48" i="1" s="1"/>
  <c r="D48" i="1" s="1"/>
  <c r="E48" i="1" s="1"/>
  <c r="F48" i="1" s="1"/>
  <c r="B21" i="1"/>
  <c r="B47" i="1"/>
  <c r="B18" i="1"/>
  <c r="I3" i="4"/>
  <c r="G2" i="52" s="1"/>
  <c r="I2" i="4"/>
  <c r="G2" i="1" s="1"/>
  <c r="C24" i="1" s="1"/>
  <c r="D24" i="1" s="1"/>
  <c r="E24" i="1" s="1"/>
  <c r="F24" i="1" s="1"/>
  <c r="G24" i="1" s="1"/>
  <c r="I12" i="4"/>
  <c r="G2" i="61" s="1"/>
  <c r="I10" i="4"/>
  <c r="G2" i="59" s="1"/>
  <c r="H30" i="59" s="1"/>
  <c r="I8" i="4"/>
  <c r="G2" i="57" s="1"/>
  <c r="C36" i="57" s="1"/>
  <c r="D36" i="57" s="1"/>
  <c r="E36" i="57" s="1"/>
  <c r="F36" i="57" s="1"/>
  <c r="G36" i="57" s="1"/>
  <c r="I6" i="4"/>
  <c r="G2" i="55" s="1"/>
  <c r="I4" i="4"/>
  <c r="G2" i="53" s="1"/>
  <c r="I7" i="4"/>
  <c r="G2" i="56" s="1"/>
  <c r="N5" i="50"/>
  <c r="Q5" i="50"/>
  <c r="K5" i="50"/>
  <c r="Q6" i="50"/>
  <c r="N6" i="50"/>
  <c r="K7" i="50"/>
  <c r="K9" i="50"/>
  <c r="K10" i="50"/>
  <c r="O46" i="57"/>
  <c r="O15" i="55"/>
  <c r="O15" i="56"/>
  <c r="B46" i="54"/>
  <c r="C46" i="54" s="1"/>
  <c r="D46" i="54" s="1"/>
  <c r="E46" i="54" s="1"/>
  <c r="F46" i="54" s="1"/>
  <c r="B44" i="54"/>
  <c r="C44" i="54" s="1"/>
  <c r="D44" i="54" s="1"/>
  <c r="E44" i="54" s="1"/>
  <c r="F44" i="54" s="1"/>
  <c r="B25" i="54"/>
  <c r="C25" i="54" s="1"/>
  <c r="D25" i="54" s="1"/>
  <c r="E25" i="54" s="1"/>
  <c r="F25" i="54" s="1"/>
  <c r="G25" i="54" s="1"/>
  <c r="B16" i="54"/>
  <c r="B40" i="54"/>
  <c r="C40" i="54" s="1"/>
  <c r="D40" i="54" s="1"/>
  <c r="E40" i="54" s="1"/>
  <c r="F40" i="54" s="1"/>
  <c r="G40" i="54" s="1"/>
  <c r="B31" i="54"/>
  <c r="C31" i="54" s="1"/>
  <c r="D31" i="54" s="1"/>
  <c r="E31" i="54" s="1"/>
  <c r="F31" i="54" s="1"/>
  <c r="G31" i="54" s="1"/>
  <c r="B12" i="54"/>
  <c r="C12" i="54" s="1"/>
  <c r="D12" i="54" s="1"/>
  <c r="E12" i="54" s="1"/>
  <c r="F12" i="54" s="1"/>
  <c r="B54" i="54"/>
  <c r="B51" i="54"/>
  <c r="C51" i="54" s="1"/>
  <c r="D51" i="54" s="1"/>
  <c r="E51" i="54" s="1"/>
  <c r="F51" i="54" s="1"/>
  <c r="G51" i="54" s="1"/>
  <c r="B23" i="54"/>
  <c r="C23" i="54" s="1"/>
  <c r="D23" i="54" s="1"/>
  <c r="B39" i="54"/>
  <c r="C39" i="54" s="1"/>
  <c r="D39" i="54" s="1"/>
  <c r="E39" i="54" s="1"/>
  <c r="F39" i="54" s="1"/>
  <c r="B47" i="54"/>
  <c r="B21" i="54"/>
  <c r="C21" i="54" s="1"/>
  <c r="D21" i="54" s="1"/>
  <c r="E21" i="54" s="1"/>
  <c r="F21" i="54" s="1"/>
  <c r="B28" i="54"/>
  <c r="C28" i="54" s="1"/>
  <c r="D28" i="54" s="1"/>
  <c r="E28" i="54" s="1"/>
  <c r="F28" i="54" s="1"/>
  <c r="G28" i="54" s="1"/>
  <c r="S58" i="54"/>
  <c r="S67" i="54"/>
  <c r="B27" i="54"/>
  <c r="C27" i="54" s="1"/>
  <c r="D27" i="54" s="1"/>
  <c r="E27" i="54" s="1"/>
  <c r="F27" i="54" s="1"/>
  <c r="B34" i="54"/>
  <c r="C34" i="54" s="1"/>
  <c r="D34" i="54" s="1"/>
  <c r="B52" i="54"/>
  <c r="C52" i="54" s="1"/>
  <c r="D52" i="54" s="1"/>
  <c r="E52" i="54" s="1"/>
  <c r="F52" i="54" s="1"/>
  <c r="G52" i="54" s="1"/>
  <c r="B8" i="54"/>
  <c r="C8" i="54" s="1"/>
  <c r="B22" i="54"/>
  <c r="C22" i="54" s="1"/>
  <c r="D22" i="54" s="1"/>
  <c r="E22" i="54" s="1"/>
  <c r="F22" i="54" s="1"/>
  <c r="B50" i="54"/>
  <c r="C50" i="54" s="1"/>
  <c r="D50" i="54" s="1"/>
  <c r="E50" i="54" s="1"/>
  <c r="F50" i="54" s="1"/>
  <c r="B45" i="54"/>
  <c r="C45" i="54" s="1"/>
  <c r="D45" i="54" s="1"/>
  <c r="E45" i="54" s="1"/>
  <c r="F45" i="54" s="1"/>
  <c r="B19" i="54"/>
  <c r="B26" i="54"/>
  <c r="C26" i="54" s="1"/>
  <c r="D26" i="54" s="1"/>
  <c r="E26" i="54" s="1"/>
  <c r="F26" i="54" s="1"/>
  <c r="B43" i="54"/>
  <c r="C43" i="54" s="1"/>
  <c r="D43" i="54" s="1"/>
  <c r="B17" i="54"/>
  <c r="C17" i="54" s="1"/>
  <c r="D17" i="54" s="1"/>
  <c r="B24" i="54"/>
  <c r="B20" i="54"/>
  <c r="C20" i="54" s="1"/>
  <c r="D20" i="54" s="1"/>
  <c r="E20" i="54" s="1"/>
  <c r="F20" i="54" s="1"/>
  <c r="B18" i="54"/>
  <c r="C18" i="54" s="1"/>
  <c r="D18" i="54" s="1"/>
  <c r="E18" i="54" s="1"/>
  <c r="F18" i="54" s="1"/>
  <c r="B42" i="54"/>
  <c r="C42" i="54" s="1"/>
  <c r="D42" i="54" s="1"/>
  <c r="B29" i="54"/>
  <c r="B14" i="54"/>
  <c r="C14" i="54" s="1"/>
  <c r="D14" i="54" s="1"/>
  <c r="E14" i="54" s="1"/>
  <c r="F14" i="54" s="1"/>
  <c r="B53" i="54"/>
  <c r="C53" i="54" s="1"/>
  <c r="D53" i="54" s="1"/>
  <c r="E53" i="54" s="1"/>
  <c r="F53" i="54" s="1"/>
  <c r="G53" i="54" s="1"/>
  <c r="B41" i="54"/>
  <c r="C41" i="54" s="1"/>
  <c r="D41" i="54" s="1"/>
  <c r="E41" i="54" s="1"/>
  <c r="F41" i="54" s="1"/>
  <c r="G41" i="54" s="1"/>
  <c r="B15" i="54"/>
  <c r="B36" i="54"/>
  <c r="C36" i="54" s="1"/>
  <c r="D36" i="54" s="1"/>
  <c r="E36" i="54" s="1"/>
  <c r="F36" i="54" s="1"/>
  <c r="B37" i="54"/>
  <c r="C37" i="54" s="1"/>
  <c r="D37" i="54" s="1"/>
  <c r="E37" i="54" s="1"/>
  <c r="F37" i="54" s="1"/>
  <c r="B13" i="54"/>
  <c r="C13" i="54" s="1"/>
  <c r="D13" i="54" s="1"/>
  <c r="S57" i="54"/>
  <c r="H53" i="55"/>
  <c r="H25" i="55"/>
  <c r="H10" i="55"/>
  <c r="H15" i="55"/>
  <c r="H35" i="55"/>
  <c r="H40" i="55"/>
  <c r="H47" i="55"/>
  <c r="H48" i="55"/>
  <c r="H12" i="55"/>
  <c r="H19" i="55"/>
  <c r="H22" i="57"/>
  <c r="H20" i="57"/>
  <c r="H25" i="57"/>
  <c r="H54" i="57"/>
  <c r="H39" i="57"/>
  <c r="H45" i="57"/>
  <c r="H41" i="57"/>
  <c r="H34" i="57"/>
  <c r="H15" i="57"/>
  <c r="H26" i="57"/>
  <c r="S63" i="61"/>
  <c r="S60" i="56"/>
  <c r="O27" i="61"/>
  <c r="O68" i="56"/>
  <c r="S68" i="56" s="1"/>
  <c r="O20" i="56"/>
  <c r="O58" i="55"/>
  <c r="S58" i="55" s="1"/>
  <c r="O44" i="54"/>
  <c r="S60" i="55"/>
  <c r="O13" i="53"/>
  <c r="S65" i="56"/>
  <c r="O24" i="54"/>
  <c r="O28" i="54"/>
  <c r="S58" i="61"/>
  <c r="O57" i="56"/>
  <c r="S57" i="56" s="1"/>
  <c r="O27" i="55"/>
  <c r="O28" i="55"/>
  <c r="O39" i="54"/>
  <c r="H41" i="1"/>
  <c r="C9" i="52"/>
  <c r="D9" i="52" s="1"/>
  <c r="E9" i="52" s="1"/>
  <c r="F9" i="52" s="1"/>
  <c r="G9" i="52" s="1"/>
  <c r="H14" i="53"/>
  <c r="L45" i="55"/>
  <c r="C24" i="56"/>
  <c r="D24" i="56" s="1"/>
  <c r="L33" i="57"/>
  <c r="S67" i="56"/>
  <c r="S60" i="54"/>
  <c r="O35" i="61"/>
  <c r="O61" i="55"/>
  <c r="S61" i="55" s="1"/>
  <c r="O38" i="55"/>
  <c r="O61" i="54"/>
  <c r="S61" i="54" s="1"/>
  <c r="C41" i="55"/>
  <c r="D41" i="55" s="1"/>
  <c r="E41" i="55" s="1"/>
  <c r="F41" i="55" s="1"/>
  <c r="H37" i="56"/>
  <c r="C48" i="57"/>
  <c r="D48" i="57" s="1"/>
  <c r="E48" i="57" s="1"/>
  <c r="F48" i="57" s="1"/>
  <c r="G48" i="57" s="1"/>
  <c r="H35" i="58"/>
  <c r="H18" i="59"/>
  <c r="H46" i="60"/>
  <c r="H25" i="58"/>
  <c r="H11" i="56"/>
  <c r="H40" i="56"/>
  <c r="H51" i="58"/>
  <c r="H17" i="56"/>
  <c r="H23" i="60"/>
  <c r="H25" i="60"/>
  <c r="H51" i="60"/>
  <c r="H37" i="61"/>
  <c r="H46" i="56"/>
  <c r="H34" i="58"/>
  <c r="H14" i="58"/>
  <c r="C11" i="57"/>
  <c r="C42" i="57"/>
  <c r="D42" i="57" s="1"/>
  <c r="E42" i="57" s="1"/>
  <c r="F42" i="57" s="1"/>
  <c r="G42" i="57" s="1"/>
  <c r="C42" i="55"/>
  <c r="D42" i="55" s="1"/>
  <c r="E42" i="55" s="1"/>
  <c r="F42" i="55" s="1"/>
  <c r="G42" i="55" s="1"/>
  <c r="H40" i="59"/>
  <c r="C22" i="55"/>
  <c r="D22" i="55" s="1"/>
  <c r="E22" i="55" s="1"/>
  <c r="F22" i="55" s="1"/>
  <c r="C36" i="55"/>
  <c r="D36" i="55" s="1"/>
  <c r="E36" i="55" s="1"/>
  <c r="F36" i="55" s="1"/>
  <c r="G36" i="55" s="1"/>
  <c r="H53" i="59"/>
  <c r="H17" i="59"/>
  <c r="H49" i="58"/>
  <c r="H10" i="56"/>
  <c r="H10" i="57" s="1"/>
  <c r="H21" i="60"/>
  <c r="H31" i="60"/>
  <c r="H12" i="56"/>
  <c r="H31" i="61"/>
  <c r="H15" i="58"/>
  <c r="C15" i="57"/>
  <c r="D15" i="57" s="1"/>
  <c r="E15" i="57" s="1"/>
  <c r="F15" i="57" s="1"/>
  <c r="J15" i="57" s="1"/>
  <c r="C52" i="57"/>
  <c r="D52" i="57" s="1"/>
  <c r="E52" i="57" s="1"/>
  <c r="F52" i="57" s="1"/>
  <c r="G52" i="57" s="1"/>
  <c r="C39" i="57"/>
  <c r="D39" i="57" s="1"/>
  <c r="E39" i="57" s="1"/>
  <c r="F39" i="57" s="1"/>
  <c r="G39" i="57" s="1"/>
  <c r="I39" i="57" s="1"/>
  <c r="C25" i="57"/>
  <c r="D25" i="57" s="1"/>
  <c r="E25" i="57" s="1"/>
  <c r="F25" i="57" s="1"/>
  <c r="J25" i="57" s="1"/>
  <c r="C50" i="55"/>
  <c r="D50" i="55" s="1"/>
  <c r="H25" i="59"/>
  <c r="C54" i="55"/>
  <c r="D54" i="55" s="1"/>
  <c r="E54" i="55" s="1"/>
  <c r="F54" i="55" s="1"/>
  <c r="G54" i="55" s="1"/>
  <c r="C12" i="55"/>
  <c r="D12" i="55" s="1"/>
  <c r="E12" i="55" s="1"/>
  <c r="F12" i="55" s="1"/>
  <c r="J12" i="55" s="1"/>
  <c r="H38" i="59"/>
  <c r="H32" i="59"/>
  <c r="H16" i="59"/>
  <c r="H19" i="58"/>
  <c r="H22" i="56"/>
  <c r="H56" i="56"/>
  <c r="H21" i="61"/>
  <c r="H38" i="60"/>
  <c r="H48" i="60"/>
  <c r="H24" i="58"/>
  <c r="C53" i="57"/>
  <c r="D53" i="57" s="1"/>
  <c r="E53" i="57" s="1"/>
  <c r="F53" i="57" s="1"/>
  <c r="C49" i="57"/>
  <c r="D49" i="57" s="1"/>
  <c r="E49" i="57" s="1"/>
  <c r="F49" i="57" s="1"/>
  <c r="G49" i="57" s="1"/>
  <c r="C34" i="55"/>
  <c r="D34" i="55" s="1"/>
  <c r="E34" i="55" s="1"/>
  <c r="F34" i="55" s="1"/>
  <c r="G34" i="55" s="1"/>
  <c r="H36" i="59"/>
  <c r="C56" i="55"/>
  <c r="D56" i="55" s="1"/>
  <c r="E56" i="55" s="1"/>
  <c r="F56" i="55" s="1"/>
  <c r="G56" i="55" s="1"/>
  <c r="C35" i="55"/>
  <c r="D35" i="55" s="1"/>
  <c r="E35" i="55" s="1"/>
  <c r="F35" i="55" s="1"/>
  <c r="L44" i="54"/>
  <c r="G27" i="54"/>
  <c r="L13" i="54"/>
  <c r="L46" i="53"/>
  <c r="E23" i="54"/>
  <c r="F23" i="54" s="1"/>
  <c r="G23" i="54" s="1"/>
  <c r="L9" i="54"/>
  <c r="L10" i="54"/>
  <c r="L41" i="54"/>
  <c r="L8" i="54"/>
  <c r="L8" i="55" s="1"/>
  <c r="N8" i="55" s="1"/>
  <c r="L46" i="54"/>
  <c r="L43" i="54"/>
  <c r="L42" i="54"/>
  <c r="L15" i="1"/>
  <c r="L48" i="52"/>
  <c r="L27" i="52"/>
  <c r="L41" i="52"/>
  <c r="L56" i="52"/>
  <c r="L33" i="52"/>
  <c r="L15" i="52"/>
  <c r="L49" i="52"/>
  <c r="L46" i="52"/>
  <c r="L54" i="52"/>
  <c r="L31" i="52"/>
  <c r="L42" i="52"/>
  <c r="L52" i="52"/>
  <c r="L8" i="52"/>
  <c r="L55" i="52"/>
  <c r="L31" i="1"/>
  <c r="L51" i="1"/>
  <c r="L33" i="1"/>
  <c r="L17" i="1"/>
  <c r="L48" i="1"/>
  <c r="L35" i="1"/>
  <c r="L36" i="1"/>
  <c r="L21" i="1"/>
  <c r="L39" i="1"/>
  <c r="L25" i="54"/>
  <c r="L10" i="1"/>
  <c r="L10" i="52"/>
  <c r="L30" i="52"/>
  <c r="L12" i="52"/>
  <c r="L45" i="52"/>
  <c r="L32" i="52"/>
  <c r="L25" i="52"/>
  <c r="L21" i="52"/>
  <c r="L22" i="52"/>
  <c r="L19" i="52"/>
  <c r="L20" i="52"/>
  <c r="L37" i="52"/>
  <c r="L5" i="1"/>
  <c r="L5" i="52" s="1"/>
  <c r="N5" i="52" s="1"/>
  <c r="L6" i="1"/>
  <c r="L50" i="1"/>
  <c r="L55" i="1"/>
  <c r="L16" i="1"/>
  <c r="L40" i="1"/>
  <c r="L56" i="1"/>
  <c r="L24" i="1"/>
  <c r="L11" i="1"/>
  <c r="L37" i="54"/>
  <c r="L17" i="54"/>
  <c r="L26" i="54"/>
  <c r="L27" i="54"/>
  <c r="L21" i="54"/>
  <c r="L15" i="56"/>
  <c r="L34" i="59"/>
  <c r="L29" i="53"/>
  <c r="L37" i="53"/>
  <c r="L12" i="54"/>
  <c r="L51" i="54"/>
  <c r="L35" i="54"/>
  <c r="L50" i="54"/>
  <c r="L28" i="54"/>
  <c r="L52" i="54"/>
  <c r="L49" i="54"/>
  <c r="L30" i="54"/>
  <c r="L22" i="54"/>
  <c r="L14" i="54"/>
  <c r="L54" i="53"/>
  <c r="L43" i="53"/>
  <c r="L11" i="54"/>
  <c r="L31" i="54"/>
  <c r="L23" i="54"/>
  <c r="L18" i="54"/>
  <c r="L32" i="54"/>
  <c r="L53" i="54"/>
  <c r="L22" i="60"/>
  <c r="L7" i="53"/>
  <c r="L7" i="54" s="1"/>
  <c r="N7" i="54" s="1"/>
  <c r="L16" i="53"/>
  <c r="L41" i="53"/>
  <c r="L45" i="53"/>
  <c r="L45" i="54"/>
  <c r="L34" i="54"/>
  <c r="L20" i="54"/>
  <c r="L39" i="54"/>
  <c r="L40" i="54"/>
  <c r="L38" i="54"/>
  <c r="L33" i="54"/>
  <c r="L36" i="54"/>
  <c r="L48" i="54"/>
  <c r="L55" i="54"/>
  <c r="H32" i="52"/>
  <c r="H25" i="52"/>
  <c r="H49" i="52"/>
  <c r="C17" i="55"/>
  <c r="D17" i="55" s="1"/>
  <c r="C49" i="55"/>
  <c r="D49" i="55" s="1"/>
  <c r="C53" i="55"/>
  <c r="D53" i="55" s="1"/>
  <c r="E53" i="55" s="1"/>
  <c r="F53" i="55" s="1"/>
  <c r="G53" i="55" s="1"/>
  <c r="C11" i="55"/>
  <c r="D11" i="55" s="1"/>
  <c r="C27" i="55"/>
  <c r="D27" i="55" s="1"/>
  <c r="E27" i="55" s="1"/>
  <c r="F27" i="55" s="1"/>
  <c r="G27" i="55" s="1"/>
  <c r="C21" i="55"/>
  <c r="D21" i="55" s="1"/>
  <c r="E21" i="55" s="1"/>
  <c r="F21" i="55" s="1"/>
  <c r="G21" i="55" s="1"/>
  <c r="C52" i="55"/>
  <c r="D52" i="55" s="1"/>
  <c r="C33" i="55"/>
  <c r="D33" i="55" s="1"/>
  <c r="C31" i="55"/>
  <c r="D31" i="55" s="1"/>
  <c r="E31" i="55" s="1"/>
  <c r="F31" i="55" s="1"/>
  <c r="G31" i="55" s="1"/>
  <c r="C37" i="55"/>
  <c r="D37" i="55" s="1"/>
  <c r="E37" i="55" s="1"/>
  <c r="F37" i="55" s="1"/>
  <c r="G37" i="55" s="1"/>
  <c r="C51" i="55"/>
  <c r="D51" i="55" s="1"/>
  <c r="E51" i="55" s="1"/>
  <c r="F51" i="55" s="1"/>
  <c r="G51" i="55" s="1"/>
  <c r="C13" i="55"/>
  <c r="D13" i="55" s="1"/>
  <c r="E13" i="55" s="1"/>
  <c r="F13" i="55" s="1"/>
  <c r="G13" i="55" s="1"/>
  <c r="C10" i="55"/>
  <c r="D10" i="55" s="1"/>
  <c r="C20" i="55"/>
  <c r="D20" i="55" s="1"/>
  <c r="E20" i="55" s="1"/>
  <c r="F20" i="55" s="1"/>
  <c r="G20" i="55" s="1"/>
  <c r="C32" i="55"/>
  <c r="D32" i="55" s="1"/>
  <c r="C29" i="55"/>
  <c r="D29" i="55" s="1"/>
  <c r="C39" i="55"/>
  <c r="D39" i="55" s="1"/>
  <c r="C55" i="55"/>
  <c r="D55" i="55" s="1"/>
  <c r="C44" i="55"/>
  <c r="D44" i="55" s="1"/>
  <c r="E44" i="55" s="1"/>
  <c r="F44" i="55" s="1"/>
  <c r="C23" i="55"/>
  <c r="D23" i="55" s="1"/>
  <c r="E23" i="55" s="1"/>
  <c r="F23" i="55" s="1"/>
  <c r="G23" i="55" s="1"/>
  <c r="C14" i="55"/>
  <c r="D14" i="55" s="1"/>
  <c r="E14" i="55" s="1"/>
  <c r="F14" i="55" s="1"/>
  <c r="C15" i="55"/>
  <c r="D15" i="55" s="1"/>
  <c r="E15" i="55" s="1"/>
  <c r="F15" i="55" s="1"/>
  <c r="J15" i="55" s="1"/>
  <c r="C47" i="55"/>
  <c r="D47" i="55" s="1"/>
  <c r="C48" i="55"/>
  <c r="D48" i="55" s="1"/>
  <c r="C38" i="55"/>
  <c r="D38" i="55" s="1"/>
  <c r="H21" i="56"/>
  <c r="H25" i="56"/>
  <c r="H13" i="56"/>
  <c r="H28" i="56"/>
  <c r="H19" i="56"/>
  <c r="H36" i="56"/>
  <c r="H31" i="56"/>
  <c r="H48" i="56"/>
  <c r="H39" i="56"/>
  <c r="H42" i="56"/>
  <c r="H50" i="56"/>
  <c r="H30" i="56"/>
  <c r="H51" i="56"/>
  <c r="H54" i="56"/>
  <c r="H45" i="56"/>
  <c r="H43" i="56"/>
  <c r="H35" i="56"/>
  <c r="H44" i="56"/>
  <c r="H18" i="56"/>
  <c r="H41" i="56"/>
  <c r="H26" i="56"/>
  <c r="C50" i="57"/>
  <c r="D50" i="57" s="1"/>
  <c r="E50" i="57" s="1"/>
  <c r="F50" i="57" s="1"/>
  <c r="C33" i="57"/>
  <c r="D33" i="57" s="1"/>
  <c r="E33" i="57" s="1"/>
  <c r="F33" i="57" s="1"/>
  <c r="G33" i="57" s="1"/>
  <c r="C22" i="57"/>
  <c r="D22" i="57" s="1"/>
  <c r="E22" i="57" s="1"/>
  <c r="F22" i="57" s="1"/>
  <c r="C41" i="57"/>
  <c r="D41" i="57" s="1"/>
  <c r="E41" i="57" s="1"/>
  <c r="F41" i="57" s="1"/>
  <c r="J41" i="57" s="1"/>
  <c r="C31" i="57"/>
  <c r="D31" i="57" s="1"/>
  <c r="E31" i="57" s="1"/>
  <c r="F31" i="57" s="1"/>
  <c r="C29" i="57"/>
  <c r="D29" i="57" s="1"/>
  <c r="E29" i="57" s="1"/>
  <c r="F29" i="57" s="1"/>
  <c r="C13" i="57"/>
  <c r="D13" i="57" s="1"/>
  <c r="E13" i="57" s="1"/>
  <c r="F13" i="57" s="1"/>
  <c r="G13" i="57" s="1"/>
  <c r="C54" i="57"/>
  <c r="D54" i="57" s="1"/>
  <c r="E54" i="57" s="1"/>
  <c r="F54" i="57" s="1"/>
  <c r="J54" i="57" s="1"/>
  <c r="C44" i="57"/>
  <c r="D44" i="57" s="1"/>
  <c r="C26" i="57"/>
  <c r="D26" i="57" s="1"/>
  <c r="E26" i="57" s="1"/>
  <c r="F26" i="57" s="1"/>
  <c r="C56" i="57"/>
  <c r="D56" i="57" s="1"/>
  <c r="E56" i="57" s="1"/>
  <c r="F56" i="57" s="1"/>
  <c r="C30" i="57"/>
  <c r="D30" i="57" s="1"/>
  <c r="E30" i="57" s="1"/>
  <c r="F30" i="57" s="1"/>
  <c r="G30" i="57" s="1"/>
  <c r="C51" i="57"/>
  <c r="D51" i="57" s="1"/>
  <c r="C38" i="57"/>
  <c r="D38" i="57" s="1"/>
  <c r="E38" i="57" s="1"/>
  <c r="F38" i="57" s="1"/>
  <c r="C45" i="57"/>
  <c r="D45" i="57" s="1"/>
  <c r="E45" i="57" s="1"/>
  <c r="F45" i="57" s="1"/>
  <c r="C18" i="57"/>
  <c r="D18" i="57" s="1"/>
  <c r="E18" i="57" s="1"/>
  <c r="F18" i="57" s="1"/>
  <c r="C24" i="57"/>
  <c r="D24" i="57" s="1"/>
  <c r="C37" i="57"/>
  <c r="D37" i="57" s="1"/>
  <c r="C20" i="57"/>
  <c r="D20" i="57" s="1"/>
  <c r="C35" i="57"/>
  <c r="D35" i="57" s="1"/>
  <c r="E35" i="57" s="1"/>
  <c r="F35" i="57" s="1"/>
  <c r="G35" i="57" s="1"/>
  <c r="C19" i="57"/>
  <c r="D19" i="57" s="1"/>
  <c r="E19" i="57" s="1"/>
  <c r="F19" i="57" s="1"/>
  <c r="C40" i="57"/>
  <c r="D40" i="57" s="1"/>
  <c r="E40" i="57" s="1"/>
  <c r="F40" i="57" s="1"/>
  <c r="G40" i="57" s="1"/>
  <c r="C17" i="57"/>
  <c r="D17" i="57" s="1"/>
  <c r="E17" i="57" s="1"/>
  <c r="F17" i="57" s="1"/>
  <c r="H46" i="58"/>
  <c r="H17" i="58"/>
  <c r="H28" i="58"/>
  <c r="H45" i="58"/>
  <c r="H36" i="58"/>
  <c r="H13" i="58"/>
  <c r="H37" i="58"/>
  <c r="H20" i="58"/>
  <c r="H30" i="58"/>
  <c r="H26" i="58"/>
  <c r="H50" i="58"/>
  <c r="H12" i="58"/>
  <c r="H12" i="59" s="1"/>
  <c r="H54" i="58"/>
  <c r="H27" i="58"/>
  <c r="H47" i="58"/>
  <c r="H48" i="58"/>
  <c r="H38" i="58"/>
  <c r="H56" i="58"/>
  <c r="H31" i="58"/>
  <c r="H41" i="58"/>
  <c r="H55" i="58"/>
  <c r="H28" i="59"/>
  <c r="H49" i="59"/>
  <c r="H34" i="59"/>
  <c r="H46" i="59"/>
  <c r="H19" i="59"/>
  <c r="H43" i="59"/>
  <c r="H33" i="59"/>
  <c r="H50" i="59"/>
  <c r="H20" i="59"/>
  <c r="H13" i="59"/>
  <c r="H13" i="60" s="1"/>
  <c r="H42" i="59"/>
  <c r="H35" i="59"/>
  <c r="H22" i="59"/>
  <c r="H27" i="59"/>
  <c r="H15" i="59"/>
  <c r="H23" i="59"/>
  <c r="H52" i="59"/>
  <c r="H29" i="59"/>
  <c r="H51" i="59"/>
  <c r="H26" i="59"/>
  <c r="H14" i="59"/>
  <c r="H45" i="59"/>
  <c r="H18" i="60"/>
  <c r="H14" i="60"/>
  <c r="H14" i="61" s="1"/>
  <c r="H27" i="60"/>
  <c r="H28" i="60"/>
  <c r="H53" i="60"/>
  <c r="H26" i="60"/>
  <c r="H52" i="60"/>
  <c r="H41" i="60"/>
  <c r="H16" i="60"/>
  <c r="H36" i="60"/>
  <c r="H37" i="60"/>
  <c r="H34" i="60"/>
  <c r="H40" i="60"/>
  <c r="H45" i="60"/>
  <c r="H30" i="60"/>
  <c r="H39" i="60"/>
  <c r="H15" i="60"/>
  <c r="H32" i="60"/>
  <c r="H35" i="60"/>
  <c r="H19" i="60"/>
  <c r="H26" i="61"/>
  <c r="H25" i="61"/>
  <c r="H38" i="61"/>
  <c r="H33" i="61"/>
  <c r="H16" i="61"/>
  <c r="H24" i="61"/>
  <c r="H44" i="60"/>
  <c r="H52" i="58"/>
  <c r="H27" i="56"/>
  <c r="H47" i="56"/>
  <c r="H14" i="56"/>
  <c r="H29" i="56"/>
  <c r="H40" i="58"/>
  <c r="H23" i="58"/>
  <c r="H20" i="56"/>
  <c r="H17" i="60"/>
  <c r="H24" i="60"/>
  <c r="H42" i="60"/>
  <c r="H22" i="60"/>
  <c r="H56" i="60"/>
  <c r="H21" i="58"/>
  <c r="H43" i="60"/>
  <c r="H44" i="58"/>
  <c r="H32" i="56"/>
  <c r="H15" i="56"/>
  <c r="C32" i="57"/>
  <c r="D32" i="57" s="1"/>
  <c r="E32" i="57" s="1"/>
  <c r="F32" i="57" s="1"/>
  <c r="G32" i="57" s="1"/>
  <c r="C46" i="57"/>
  <c r="D46" i="57" s="1"/>
  <c r="E46" i="57" s="1"/>
  <c r="F46" i="57" s="1"/>
  <c r="G46" i="57" s="1"/>
  <c r="C34" i="57"/>
  <c r="D34" i="57" s="1"/>
  <c r="C12" i="57"/>
  <c r="D12" i="57" s="1"/>
  <c r="E12" i="57" s="1"/>
  <c r="F12" i="57" s="1"/>
  <c r="C27" i="57"/>
  <c r="D27" i="57" s="1"/>
  <c r="E27" i="57" s="1"/>
  <c r="F27" i="57" s="1"/>
  <c r="G27" i="57" s="1"/>
  <c r="C14" i="57"/>
  <c r="D14" i="57" s="1"/>
  <c r="E14" i="57" s="1"/>
  <c r="F14" i="57" s="1"/>
  <c r="C16" i="55"/>
  <c r="D16" i="55" s="1"/>
  <c r="E16" i="55" s="1"/>
  <c r="F16" i="55" s="1"/>
  <c r="C43" i="55"/>
  <c r="D43" i="55" s="1"/>
  <c r="E43" i="55" s="1"/>
  <c r="F43" i="55" s="1"/>
  <c r="H55" i="59"/>
  <c r="H21" i="59"/>
  <c r="C25" i="55"/>
  <c r="D25" i="55" s="1"/>
  <c r="E25" i="55" s="1"/>
  <c r="F25" i="55" s="1"/>
  <c r="J25" i="55" s="1"/>
  <c r="H14" i="52"/>
  <c r="H42" i="52"/>
  <c r="H47" i="59"/>
  <c r="H47" i="61"/>
  <c r="H37" i="59"/>
  <c r="H48" i="59"/>
  <c r="H44" i="59"/>
  <c r="G12" i="55"/>
  <c r="I12" i="55" s="1"/>
  <c r="C47" i="57"/>
  <c r="D47" i="57" s="1"/>
  <c r="E47" i="57" s="1"/>
  <c r="F47" i="57" s="1"/>
  <c r="G47" i="57" s="1"/>
  <c r="H18" i="58"/>
  <c r="H39" i="58"/>
  <c r="H38" i="56"/>
  <c r="H52" i="56"/>
  <c r="H32" i="58"/>
  <c r="H51" i="61"/>
  <c r="H22" i="58"/>
  <c r="H23" i="56"/>
  <c r="H33" i="56"/>
  <c r="H55" i="60"/>
  <c r="H29" i="60"/>
  <c r="H49" i="60"/>
  <c r="H50" i="60"/>
  <c r="H54" i="60"/>
  <c r="H29" i="58"/>
  <c r="H33" i="58"/>
  <c r="H55" i="56"/>
  <c r="H53" i="56"/>
  <c r="C21" i="57"/>
  <c r="D21" i="57" s="1"/>
  <c r="C28" i="57"/>
  <c r="D28" i="57" s="1"/>
  <c r="E28" i="57" s="1"/>
  <c r="F28" i="57" s="1"/>
  <c r="C16" i="57"/>
  <c r="D16" i="57" s="1"/>
  <c r="E16" i="57" s="1"/>
  <c r="F16" i="57" s="1"/>
  <c r="G16" i="57" s="1"/>
  <c r="C30" i="55"/>
  <c r="D30" i="55" s="1"/>
  <c r="E30" i="55" s="1"/>
  <c r="F30" i="55" s="1"/>
  <c r="C40" i="55"/>
  <c r="D40" i="55" s="1"/>
  <c r="H54" i="59"/>
  <c r="H56" i="59"/>
  <c r="C26" i="55"/>
  <c r="D26" i="55" s="1"/>
  <c r="E26" i="55" s="1"/>
  <c r="F26" i="55" s="1"/>
  <c r="C45" i="55"/>
  <c r="D45" i="55" s="1"/>
  <c r="E45" i="55" s="1"/>
  <c r="F45" i="55" s="1"/>
  <c r="G45" i="55" s="1"/>
  <c r="H24" i="59"/>
  <c r="H16" i="58"/>
  <c r="H39" i="59"/>
  <c r="H31" i="59"/>
  <c r="L37" i="57"/>
  <c r="G36" i="54"/>
  <c r="L35" i="58"/>
  <c r="L21" i="59"/>
  <c r="L24" i="60"/>
  <c r="G15" i="57"/>
  <c r="I15" i="57" s="1"/>
  <c r="L54" i="59"/>
  <c r="L46" i="58"/>
  <c r="L29" i="55"/>
  <c r="L53" i="58"/>
  <c r="L31" i="60"/>
  <c r="L27" i="56"/>
  <c r="E38" i="55"/>
  <c r="F38" i="55" s="1"/>
  <c r="G38" i="55" s="1"/>
  <c r="E17" i="54"/>
  <c r="F17" i="54" s="1"/>
  <c r="G17" i="54" s="1"/>
  <c r="G39" i="54"/>
  <c r="G43" i="55"/>
  <c r="G22" i="55"/>
  <c r="E13" i="54"/>
  <c r="F13" i="54" s="1"/>
  <c r="G13" i="54" s="1"/>
  <c r="G36" i="1"/>
  <c r="G21" i="54"/>
  <c r="G33" i="54"/>
  <c r="J45" i="57"/>
  <c r="L16" i="59"/>
  <c r="L41" i="58"/>
  <c r="L46" i="60"/>
  <c r="L48" i="60"/>
  <c r="L44" i="57"/>
  <c r="L26" i="58"/>
  <c r="L47" i="55"/>
  <c r="L30" i="59"/>
  <c r="L19" i="59"/>
  <c r="L41" i="55"/>
  <c r="N41" i="55" s="1"/>
  <c r="L31" i="58"/>
  <c r="L49" i="60"/>
  <c r="L40" i="57"/>
  <c r="L37" i="55"/>
  <c r="L51" i="59"/>
  <c r="L23" i="59"/>
  <c r="L56" i="55"/>
  <c r="L19" i="58"/>
  <c r="L49" i="58"/>
  <c r="L45" i="56"/>
  <c r="N45" i="56" s="1"/>
  <c r="L21" i="60"/>
  <c r="L21" i="58"/>
  <c r="L54" i="58"/>
  <c r="L28" i="59"/>
  <c r="L24" i="55"/>
  <c r="L32" i="59"/>
  <c r="L27" i="59"/>
  <c r="L49" i="59"/>
  <c r="L36" i="59"/>
  <c r="L11" i="55"/>
  <c r="L25" i="55"/>
  <c r="L22" i="55"/>
  <c r="L20" i="55"/>
  <c r="L55" i="58"/>
  <c r="L22" i="56"/>
  <c r="L39" i="56"/>
  <c r="L48" i="56"/>
  <c r="L14" i="56"/>
  <c r="L32" i="58"/>
  <c r="L37" i="58"/>
  <c r="L10" i="56"/>
  <c r="L10" i="57" s="1"/>
  <c r="N10" i="57" s="1"/>
  <c r="L33" i="56"/>
  <c r="L36" i="60"/>
  <c r="L51" i="60"/>
  <c r="L17" i="60"/>
  <c r="L19" i="60"/>
  <c r="L25" i="60"/>
  <c r="L42" i="60"/>
  <c r="L45" i="60"/>
  <c r="L51" i="56"/>
  <c r="L45" i="58"/>
  <c r="L12" i="58"/>
  <c r="L12" i="59" s="1"/>
  <c r="N12" i="59" s="1"/>
  <c r="L42" i="57"/>
  <c r="L38" i="57"/>
  <c r="L47" i="57"/>
  <c r="L46" i="57"/>
  <c r="L19" i="57"/>
  <c r="L48" i="55"/>
  <c r="L31" i="55"/>
  <c r="N31" i="55" s="1"/>
  <c r="L17" i="59"/>
  <c r="L55" i="59"/>
  <c r="L44" i="59"/>
  <c r="L20" i="59"/>
  <c r="L25" i="59"/>
  <c r="L35" i="59"/>
  <c r="L31" i="59"/>
  <c r="L50" i="58"/>
  <c r="L21" i="55"/>
  <c r="L49" i="55"/>
  <c r="L32" i="55"/>
  <c r="L53" i="55"/>
  <c r="L16" i="58"/>
  <c r="L26" i="56"/>
  <c r="L38" i="56"/>
  <c r="L41" i="56"/>
  <c r="L11" i="56"/>
  <c r="L40" i="56"/>
  <c r="L18" i="56"/>
  <c r="L29" i="56"/>
  <c r="L36" i="56"/>
  <c r="L20" i="58"/>
  <c r="L13" i="58"/>
  <c r="L20" i="56"/>
  <c r="L34" i="60"/>
  <c r="L18" i="60"/>
  <c r="L27" i="60"/>
  <c r="L26" i="60"/>
  <c r="L54" i="60"/>
  <c r="L39" i="60"/>
  <c r="L50" i="61"/>
  <c r="L36" i="58"/>
  <c r="L28" i="58"/>
  <c r="L25" i="56"/>
  <c r="L39" i="57"/>
  <c r="L50" i="57"/>
  <c r="L14" i="57"/>
  <c r="L48" i="57"/>
  <c r="L21" i="57"/>
  <c r="L22" i="57"/>
  <c r="L36" i="57"/>
  <c r="N36" i="57" s="1"/>
  <c r="L24" i="57"/>
  <c r="L19" i="55"/>
  <c r="L47" i="59"/>
  <c r="L48" i="59"/>
  <c r="L24" i="59"/>
  <c r="L38" i="59"/>
  <c r="L35" i="55"/>
  <c r="L9" i="55"/>
  <c r="L53" i="59"/>
  <c r="L37" i="59"/>
  <c r="L50" i="59"/>
  <c r="L40" i="59"/>
  <c r="L39" i="55"/>
  <c r="L17" i="55"/>
  <c r="L55" i="55"/>
  <c r="L36" i="55"/>
  <c r="L42" i="58"/>
  <c r="L18" i="58"/>
  <c r="L52" i="58"/>
  <c r="L25" i="58"/>
  <c r="L39" i="58"/>
  <c r="N39" i="58" s="1"/>
  <c r="L24" i="56"/>
  <c r="L49" i="56"/>
  <c r="L47" i="56"/>
  <c r="L56" i="56"/>
  <c r="L24" i="61"/>
  <c r="L56" i="58"/>
  <c r="L34" i="56"/>
  <c r="L40" i="58"/>
  <c r="L23" i="58"/>
  <c r="L15" i="60"/>
  <c r="L30" i="60"/>
  <c r="L29" i="60"/>
  <c r="L41" i="60"/>
  <c r="L43" i="60"/>
  <c r="L34" i="58"/>
  <c r="L33" i="58"/>
  <c r="L16" i="56"/>
  <c r="L21" i="56"/>
  <c r="L15" i="58"/>
  <c r="L42" i="56"/>
  <c r="L13" i="57"/>
  <c r="L55" i="57"/>
  <c r="L17" i="57"/>
  <c r="L31" i="57"/>
  <c r="L16" i="57"/>
  <c r="L32" i="57"/>
  <c r="L56" i="57"/>
  <c r="L34" i="57"/>
  <c r="L38" i="55"/>
  <c r="L14" i="59"/>
  <c r="L18" i="59"/>
  <c r="L29" i="59"/>
  <c r="L22" i="59"/>
  <c r="E30" i="54"/>
  <c r="F30" i="54" s="1"/>
  <c r="G30" i="54" s="1"/>
  <c r="G26" i="54"/>
  <c r="G14" i="55"/>
  <c r="G41" i="55"/>
  <c r="G50" i="57"/>
  <c r="L27" i="55"/>
  <c r="L54" i="55"/>
  <c r="L44" i="55"/>
  <c r="N44" i="55" s="1"/>
  <c r="L42" i="55"/>
  <c r="L23" i="55"/>
  <c r="L30" i="58"/>
  <c r="L41" i="61"/>
  <c r="L51" i="58"/>
  <c r="L43" i="58"/>
  <c r="L23" i="56"/>
  <c r="L19" i="56"/>
  <c r="L17" i="56"/>
  <c r="L28" i="56"/>
  <c r="L54" i="56"/>
  <c r="L53" i="60"/>
  <c r="L52" i="60"/>
  <c r="L44" i="60"/>
  <c r="L38" i="60"/>
  <c r="L40" i="60"/>
  <c r="L37" i="60"/>
  <c r="L50" i="60"/>
  <c r="L55" i="60"/>
  <c r="L13" i="56"/>
  <c r="L47" i="58"/>
  <c r="L27" i="58"/>
  <c r="L44" i="58"/>
  <c r="L55" i="56"/>
  <c r="L37" i="56"/>
  <c r="L34" i="61"/>
  <c r="L14" i="58"/>
  <c r="L53" i="56"/>
  <c r="L15" i="57"/>
  <c r="L29" i="57"/>
  <c r="L28" i="57"/>
  <c r="L30" i="57"/>
  <c r="L41" i="57"/>
  <c r="L11" i="57"/>
  <c r="L25" i="57"/>
  <c r="L12" i="57"/>
  <c r="L35" i="57"/>
  <c r="L18" i="57"/>
  <c r="L27" i="57"/>
  <c r="L51" i="55"/>
  <c r="L50" i="55"/>
  <c r="L30" i="55"/>
  <c r="L34" i="55"/>
  <c r="L15" i="55"/>
  <c r="L33" i="55"/>
  <c r="L40" i="55"/>
  <c r="L52" i="59"/>
  <c r="L41" i="59"/>
  <c r="L43" i="59"/>
  <c r="L45" i="59"/>
  <c r="L26" i="59"/>
  <c r="L15" i="59"/>
  <c r="L46" i="59"/>
  <c r="L28" i="55"/>
  <c r="L44" i="56"/>
  <c r="L35" i="56"/>
  <c r="L31" i="56"/>
  <c r="L52" i="56"/>
  <c r="L55" i="61"/>
  <c r="L43" i="56"/>
  <c r="L38" i="58"/>
  <c r="L22" i="58"/>
  <c r="L48" i="58"/>
  <c r="L23" i="60"/>
  <c r="L47" i="60"/>
  <c r="L32" i="60"/>
  <c r="L14" i="60"/>
  <c r="L28" i="60"/>
  <c r="L35" i="60"/>
  <c r="L20" i="60"/>
  <c r="L33" i="60"/>
  <c r="L16" i="60"/>
  <c r="L56" i="60"/>
  <c r="L32" i="61"/>
  <c r="L29" i="58"/>
  <c r="L46" i="56"/>
  <c r="L17" i="61"/>
  <c r="L24" i="58"/>
  <c r="L12" i="56"/>
  <c r="L30" i="56"/>
  <c r="L32" i="56"/>
  <c r="L50" i="56"/>
  <c r="L23" i="61"/>
  <c r="L17" i="58"/>
  <c r="L49" i="57"/>
  <c r="L23" i="57"/>
  <c r="L54" i="57"/>
  <c r="L51" i="57"/>
  <c r="L20" i="57"/>
  <c r="L26" i="57"/>
  <c r="L43" i="57"/>
  <c r="L53" i="57"/>
  <c r="L45" i="57"/>
  <c r="L52" i="57"/>
  <c r="L56" i="61"/>
  <c r="L18" i="55"/>
  <c r="L16" i="55"/>
  <c r="L12" i="55"/>
  <c r="L46" i="55"/>
  <c r="N46" i="55" s="1"/>
  <c r="L14" i="55"/>
  <c r="L52" i="55"/>
  <c r="L43" i="55"/>
  <c r="L10" i="55"/>
  <c r="L42" i="59"/>
  <c r="L33" i="59"/>
  <c r="L13" i="59"/>
  <c r="L39" i="59"/>
  <c r="L56" i="59"/>
  <c r="L26" i="55"/>
  <c r="E43" i="54"/>
  <c r="F43" i="54" s="1"/>
  <c r="G43" i="54" s="1"/>
  <c r="E39" i="1"/>
  <c r="F39" i="1" s="1"/>
  <c r="G39" i="1" s="1"/>
  <c r="E44" i="57"/>
  <c r="F44" i="57" s="1"/>
  <c r="G44" i="57" s="1"/>
  <c r="E21" i="57"/>
  <c r="F21" i="57" s="1"/>
  <c r="G21" i="57" s="1"/>
  <c r="E20" i="57"/>
  <c r="F20" i="57" s="1"/>
  <c r="J20" i="57" s="1"/>
  <c r="E47" i="55"/>
  <c r="F47" i="55" s="1"/>
  <c r="J47" i="55" s="1"/>
  <c r="J53" i="55"/>
  <c r="E24" i="56"/>
  <c r="F24" i="56" s="1"/>
  <c r="G31" i="1"/>
  <c r="C27" i="56"/>
  <c r="D27" i="56" s="1"/>
  <c r="H22" i="53"/>
  <c r="E40" i="1"/>
  <c r="F40" i="1" s="1"/>
  <c r="G40" i="1" s="1"/>
  <c r="G30" i="53"/>
  <c r="H43" i="1"/>
  <c r="H45" i="1"/>
  <c r="H23" i="1"/>
  <c r="H35" i="1"/>
  <c r="H56" i="1"/>
  <c r="J56" i="1" s="1"/>
  <c r="H20" i="1"/>
  <c r="H13" i="1"/>
  <c r="H9" i="1"/>
  <c r="H27" i="1"/>
  <c r="H25" i="1"/>
  <c r="H22" i="1"/>
  <c r="H44" i="1"/>
  <c r="H50" i="1"/>
  <c r="H39" i="1"/>
  <c r="H49" i="1"/>
  <c r="H31" i="1"/>
  <c r="J31" i="1" s="1"/>
  <c r="H17" i="1"/>
  <c r="H10" i="1"/>
  <c r="H52" i="1"/>
  <c r="H38" i="1"/>
  <c r="H26" i="1"/>
  <c r="H46" i="1"/>
  <c r="J46" i="1" s="1"/>
  <c r="H7" i="1"/>
  <c r="H53" i="1"/>
  <c r="H24" i="1"/>
  <c r="I24" i="1" s="1"/>
  <c r="H6" i="1"/>
  <c r="J6" i="1" s="1"/>
  <c r="H54" i="1"/>
  <c r="H14" i="1"/>
  <c r="H28" i="1"/>
  <c r="H34" i="1"/>
  <c r="H16" i="1"/>
  <c r="H36" i="1"/>
  <c r="J36" i="1" s="1"/>
  <c r="H8" i="1"/>
  <c r="H15" i="1"/>
  <c r="H12" i="1"/>
  <c r="H42" i="1"/>
  <c r="H11" i="1"/>
  <c r="H55" i="1"/>
  <c r="H51" i="1"/>
  <c r="H29" i="1"/>
  <c r="H48" i="1"/>
  <c r="J48" i="1" s="1"/>
  <c r="H37" i="1"/>
  <c r="H30" i="1"/>
  <c r="H5" i="1"/>
  <c r="H5" i="52" s="1"/>
  <c r="H32" i="1"/>
  <c r="H18" i="1"/>
  <c r="H21" i="1"/>
  <c r="H33" i="1"/>
  <c r="H47" i="1"/>
  <c r="H40" i="1"/>
  <c r="H19" i="1"/>
  <c r="C33" i="52"/>
  <c r="D33" i="52" s="1"/>
  <c r="C24" i="52"/>
  <c r="D24" i="52" s="1"/>
  <c r="C23" i="52"/>
  <c r="D23" i="52" s="1"/>
  <c r="C14" i="52"/>
  <c r="D14" i="52" s="1"/>
  <c r="H48" i="53"/>
  <c r="H49" i="53"/>
  <c r="H40" i="53"/>
  <c r="H35" i="53"/>
  <c r="H25" i="53"/>
  <c r="H15" i="53"/>
  <c r="H52" i="53"/>
  <c r="H31" i="53"/>
  <c r="H37" i="53"/>
  <c r="H17" i="53"/>
  <c r="H8" i="53"/>
  <c r="H43" i="53"/>
  <c r="H12" i="53"/>
  <c r="H24" i="53"/>
  <c r="H54" i="53"/>
  <c r="H20" i="53"/>
  <c r="H44" i="53"/>
  <c r="H41" i="53"/>
  <c r="H23" i="53"/>
  <c r="H29" i="53"/>
  <c r="H50" i="53"/>
  <c r="H33" i="53"/>
  <c r="H18" i="53"/>
  <c r="H13" i="53"/>
  <c r="H36" i="53"/>
  <c r="H45" i="53"/>
  <c r="H9" i="53"/>
  <c r="H46" i="53"/>
  <c r="H10" i="53"/>
  <c r="H55" i="53"/>
  <c r="H32" i="53"/>
  <c r="H27" i="53"/>
  <c r="H34" i="53"/>
  <c r="H11" i="53"/>
  <c r="H16" i="53"/>
  <c r="J16" i="53" s="1"/>
  <c r="H7" i="53"/>
  <c r="H7" i="54" s="1"/>
  <c r="H28" i="53"/>
  <c r="H56" i="53"/>
  <c r="H39" i="53"/>
  <c r="H16" i="54"/>
  <c r="H44" i="54"/>
  <c r="J44" i="54" s="1"/>
  <c r="P44" i="54" s="1"/>
  <c r="H43" i="54"/>
  <c r="H40" i="54"/>
  <c r="J40" i="54" s="1"/>
  <c r="H37" i="54"/>
  <c r="J37" i="54" s="1"/>
  <c r="H30" i="54"/>
  <c r="H54" i="54"/>
  <c r="H45" i="54"/>
  <c r="J45" i="54" s="1"/>
  <c r="H17" i="54"/>
  <c r="H32" i="54"/>
  <c r="I32" i="54" s="1"/>
  <c r="H53" i="54"/>
  <c r="J53" i="54" s="1"/>
  <c r="H33" i="54"/>
  <c r="J33" i="54" s="1"/>
  <c r="H51" i="54"/>
  <c r="I51" i="54" s="1"/>
  <c r="H23" i="54"/>
  <c r="H13" i="54"/>
  <c r="H34" i="54"/>
  <c r="H49" i="54"/>
  <c r="J49" i="54" s="1"/>
  <c r="H15" i="54"/>
  <c r="H36" i="54"/>
  <c r="I36" i="54" s="1"/>
  <c r="H18" i="54"/>
  <c r="J18" i="54" s="1"/>
  <c r="H39" i="54"/>
  <c r="J39" i="54" s="1"/>
  <c r="H20" i="54"/>
  <c r="H55" i="54"/>
  <c r="J55" i="54" s="1"/>
  <c r="H47" i="54"/>
  <c r="H22" i="54"/>
  <c r="J22" i="54" s="1"/>
  <c r="H48" i="54"/>
  <c r="J48" i="54" s="1"/>
  <c r="P48" i="54" s="1"/>
  <c r="H50" i="54"/>
  <c r="J50" i="54" s="1"/>
  <c r="H27" i="54"/>
  <c r="H29" i="54"/>
  <c r="H12" i="54"/>
  <c r="J12" i="54" s="1"/>
  <c r="H42" i="54"/>
  <c r="H41" i="54"/>
  <c r="J41" i="54" s="1"/>
  <c r="H46" i="54"/>
  <c r="J46" i="54" s="1"/>
  <c r="P46" i="54" s="1"/>
  <c r="H28" i="54"/>
  <c r="I28" i="54" s="1"/>
  <c r="H8" i="54"/>
  <c r="H8" i="55" s="1"/>
  <c r="H10" i="54"/>
  <c r="J10" i="54" s="1"/>
  <c r="P10" i="54" s="1"/>
  <c r="H25" i="54"/>
  <c r="I25" i="54" s="1"/>
  <c r="H24" i="54"/>
  <c r="H52" i="54"/>
  <c r="J52" i="54" s="1"/>
  <c r="H31" i="54"/>
  <c r="J31" i="54" s="1"/>
  <c r="H11" i="54"/>
  <c r="I11" i="54" s="1"/>
  <c r="H21" i="54"/>
  <c r="J21" i="54" s="1"/>
  <c r="H26" i="54"/>
  <c r="J26" i="54" s="1"/>
  <c r="H38" i="54"/>
  <c r="C32" i="56"/>
  <c r="D32" i="56" s="1"/>
  <c r="C55" i="56"/>
  <c r="D55" i="56" s="1"/>
  <c r="C46" i="56"/>
  <c r="D46" i="56" s="1"/>
  <c r="C23" i="56"/>
  <c r="D23" i="56" s="1"/>
  <c r="C53" i="56"/>
  <c r="D53" i="56" s="1"/>
  <c r="C21" i="56"/>
  <c r="D21" i="56" s="1"/>
  <c r="C12" i="56"/>
  <c r="D12" i="56" s="1"/>
  <c r="C51" i="56"/>
  <c r="D51" i="56" s="1"/>
  <c r="C30" i="56"/>
  <c r="D30" i="56" s="1"/>
  <c r="C16" i="56"/>
  <c r="D16" i="56" s="1"/>
  <c r="C13" i="56"/>
  <c r="D13" i="56" s="1"/>
  <c r="C36" i="56"/>
  <c r="D36" i="56" s="1"/>
  <c r="C29" i="56"/>
  <c r="D29" i="56" s="1"/>
  <c r="E29" i="56" s="1"/>
  <c r="F29" i="56" s="1"/>
  <c r="C35" i="56"/>
  <c r="D35" i="56" s="1"/>
  <c r="C40" i="56"/>
  <c r="D40" i="56" s="1"/>
  <c r="C15" i="56"/>
  <c r="D15" i="56" s="1"/>
  <c r="E15" i="56" s="1"/>
  <c r="F15" i="56" s="1"/>
  <c r="C42" i="56"/>
  <c r="D42" i="56" s="1"/>
  <c r="C37" i="56"/>
  <c r="D37" i="56" s="1"/>
  <c r="E37" i="56" s="1"/>
  <c r="F37" i="56" s="1"/>
  <c r="J37" i="56" s="1"/>
  <c r="C50" i="56"/>
  <c r="D50" i="56" s="1"/>
  <c r="C25" i="56"/>
  <c r="D25" i="56" s="1"/>
  <c r="C10" i="56"/>
  <c r="C19" i="56"/>
  <c r="D19" i="56" s="1"/>
  <c r="C34" i="56"/>
  <c r="D34" i="56" s="1"/>
  <c r="C31" i="56"/>
  <c r="D31" i="56" s="1"/>
  <c r="E31" i="56" s="1"/>
  <c r="F31" i="56" s="1"/>
  <c r="C22" i="56"/>
  <c r="D22" i="56" s="1"/>
  <c r="C49" i="56"/>
  <c r="D49" i="56" s="1"/>
  <c r="C33" i="56"/>
  <c r="D33" i="56" s="1"/>
  <c r="C54" i="56"/>
  <c r="D54" i="56" s="1"/>
  <c r="C17" i="56"/>
  <c r="D17" i="56" s="1"/>
  <c r="C45" i="56"/>
  <c r="D45" i="56" s="1"/>
  <c r="C39" i="56"/>
  <c r="D39" i="56" s="1"/>
  <c r="C52" i="56"/>
  <c r="D52" i="56" s="1"/>
  <c r="C26" i="56"/>
  <c r="D26" i="56" s="1"/>
  <c r="C18" i="56"/>
  <c r="D18" i="56" s="1"/>
  <c r="C28" i="56"/>
  <c r="D28" i="56" s="1"/>
  <c r="E28" i="56" s="1"/>
  <c r="F28" i="56" s="1"/>
  <c r="J28" i="56" s="1"/>
  <c r="C44" i="56"/>
  <c r="D44" i="56" s="1"/>
  <c r="C47" i="56"/>
  <c r="D47" i="56" s="1"/>
  <c r="E47" i="56" s="1"/>
  <c r="F47" i="56" s="1"/>
  <c r="C38" i="56"/>
  <c r="D38" i="56" s="1"/>
  <c r="C43" i="56"/>
  <c r="D43" i="56" s="1"/>
  <c r="C56" i="56"/>
  <c r="D56" i="56" s="1"/>
  <c r="C14" i="56"/>
  <c r="D14" i="56" s="1"/>
  <c r="E14" i="56" s="1"/>
  <c r="F14" i="56" s="1"/>
  <c r="J14" i="56" s="1"/>
  <c r="C48" i="56"/>
  <c r="D48" i="56" s="1"/>
  <c r="C11" i="56"/>
  <c r="D11" i="56" s="1"/>
  <c r="E11" i="56" s="1"/>
  <c r="F11" i="56" s="1"/>
  <c r="C41" i="56"/>
  <c r="D41" i="56" s="1"/>
  <c r="C20" i="56"/>
  <c r="D20" i="56" s="1"/>
  <c r="C54" i="58"/>
  <c r="D54" i="58" s="1"/>
  <c r="C28" i="58"/>
  <c r="D28" i="58" s="1"/>
  <c r="C29" i="58"/>
  <c r="D29" i="58" s="1"/>
  <c r="C23" i="58"/>
  <c r="D23" i="58" s="1"/>
  <c r="E23" i="58" s="1"/>
  <c r="F23" i="58" s="1"/>
  <c r="C48" i="58"/>
  <c r="D48" i="58" s="1"/>
  <c r="E48" i="58" s="1"/>
  <c r="F48" i="58" s="1"/>
  <c r="J48" i="58" s="1"/>
  <c r="C22" i="58"/>
  <c r="D22" i="58" s="1"/>
  <c r="C49" i="58"/>
  <c r="D49" i="58" s="1"/>
  <c r="C40" i="58"/>
  <c r="D40" i="58" s="1"/>
  <c r="E40" i="58" s="1"/>
  <c r="F40" i="58" s="1"/>
  <c r="J40" i="58" s="1"/>
  <c r="C15" i="58"/>
  <c r="D15" i="58" s="1"/>
  <c r="C33" i="58"/>
  <c r="D33" i="58" s="1"/>
  <c r="C27" i="58"/>
  <c r="D27" i="58" s="1"/>
  <c r="E27" i="58" s="1"/>
  <c r="F27" i="58" s="1"/>
  <c r="J27" i="58" s="1"/>
  <c r="C34" i="58"/>
  <c r="D34" i="58" s="1"/>
  <c r="C35" i="58"/>
  <c r="D35" i="58" s="1"/>
  <c r="C50" i="58"/>
  <c r="D50" i="58" s="1"/>
  <c r="C26" i="58"/>
  <c r="D26" i="58" s="1"/>
  <c r="C17" i="58"/>
  <c r="D17" i="58" s="1"/>
  <c r="E17" i="58" s="1"/>
  <c r="F17" i="58" s="1"/>
  <c r="J17" i="58" s="1"/>
  <c r="C14" i="58"/>
  <c r="D14" i="58" s="1"/>
  <c r="C36" i="58"/>
  <c r="D36" i="58" s="1"/>
  <c r="E36" i="58" s="1"/>
  <c r="F36" i="58" s="1"/>
  <c r="C51" i="58"/>
  <c r="D51" i="58" s="1"/>
  <c r="E51" i="58" s="1"/>
  <c r="F51" i="58" s="1"/>
  <c r="C32" i="58"/>
  <c r="D32" i="58" s="1"/>
  <c r="E32" i="58" s="1"/>
  <c r="F32" i="58" s="1"/>
  <c r="J32" i="58" s="1"/>
  <c r="C12" i="58"/>
  <c r="C44" i="58"/>
  <c r="D44" i="58" s="1"/>
  <c r="E44" i="58" s="1"/>
  <c r="F44" i="58" s="1"/>
  <c r="C24" i="58"/>
  <c r="D24" i="58" s="1"/>
  <c r="E24" i="58" s="1"/>
  <c r="F24" i="58" s="1"/>
  <c r="J24" i="58" s="1"/>
  <c r="C47" i="58"/>
  <c r="D47" i="58" s="1"/>
  <c r="E47" i="58" s="1"/>
  <c r="F47" i="58" s="1"/>
  <c r="C21" i="58"/>
  <c r="D21" i="58" s="1"/>
  <c r="C37" i="58"/>
  <c r="D37" i="58" s="1"/>
  <c r="C56" i="58"/>
  <c r="D56" i="58" s="1"/>
  <c r="E56" i="58" s="1"/>
  <c r="F56" i="58" s="1"/>
  <c r="J56" i="58" s="1"/>
  <c r="C31" i="58"/>
  <c r="D31" i="58" s="1"/>
  <c r="C25" i="58"/>
  <c r="D25" i="58" s="1"/>
  <c r="C41" i="58"/>
  <c r="D41" i="58" s="1"/>
  <c r="C55" i="58"/>
  <c r="D55" i="58" s="1"/>
  <c r="C19" i="58"/>
  <c r="D19" i="58" s="1"/>
  <c r="C13" i="58"/>
  <c r="D13" i="58" s="1"/>
  <c r="E13" i="58" s="1"/>
  <c r="F13" i="58" s="1"/>
  <c r="J13" i="58" s="1"/>
  <c r="C43" i="58"/>
  <c r="D43" i="58" s="1"/>
  <c r="C39" i="58"/>
  <c r="D39" i="58" s="1"/>
  <c r="C38" i="58"/>
  <c r="D38" i="58" s="1"/>
  <c r="C18" i="58"/>
  <c r="D18" i="58" s="1"/>
  <c r="E18" i="58" s="1"/>
  <c r="F18" i="58" s="1"/>
  <c r="C45" i="58"/>
  <c r="D45" i="58" s="1"/>
  <c r="C52" i="58"/>
  <c r="D52" i="58" s="1"/>
  <c r="E52" i="58" s="1"/>
  <c r="F52" i="58" s="1"/>
  <c r="C53" i="58"/>
  <c r="D53" i="58" s="1"/>
  <c r="C42" i="58"/>
  <c r="D42" i="58" s="1"/>
  <c r="C20" i="58"/>
  <c r="D20" i="58" s="1"/>
  <c r="C30" i="58"/>
  <c r="D30" i="58" s="1"/>
  <c r="C16" i="58"/>
  <c r="D16" i="58" s="1"/>
  <c r="E16" i="58" s="1"/>
  <c r="F16" i="58" s="1"/>
  <c r="J16" i="58" s="1"/>
  <c r="C49" i="59"/>
  <c r="D49" i="59" s="1"/>
  <c r="C40" i="59"/>
  <c r="D40" i="59" s="1"/>
  <c r="C16" i="59"/>
  <c r="D16" i="59" s="1"/>
  <c r="C43" i="59"/>
  <c r="D43" i="59" s="1"/>
  <c r="C31" i="59"/>
  <c r="D31" i="59" s="1"/>
  <c r="C38" i="59"/>
  <c r="D38" i="59" s="1"/>
  <c r="E38" i="59" s="1"/>
  <c r="F38" i="59" s="1"/>
  <c r="J38" i="59" s="1"/>
  <c r="C22" i="59"/>
  <c r="D22" i="59" s="1"/>
  <c r="E22" i="59" s="1"/>
  <c r="F22" i="59" s="1"/>
  <c r="G22" i="59" s="1"/>
  <c r="I22" i="59" s="1"/>
  <c r="C54" i="59"/>
  <c r="D54" i="59" s="1"/>
  <c r="C28" i="59"/>
  <c r="D28" i="59" s="1"/>
  <c r="E28" i="59" s="1"/>
  <c r="F28" i="59" s="1"/>
  <c r="J28" i="59" s="1"/>
  <c r="C32" i="59"/>
  <c r="D32" i="59" s="1"/>
  <c r="C45" i="59"/>
  <c r="D45" i="59" s="1"/>
  <c r="E45" i="59" s="1"/>
  <c r="F45" i="59" s="1"/>
  <c r="G45" i="59" s="1"/>
  <c r="C17" i="59"/>
  <c r="D17" i="59" s="1"/>
  <c r="C37" i="59"/>
  <c r="D37" i="59" s="1"/>
  <c r="C33" i="59"/>
  <c r="D33" i="59" s="1"/>
  <c r="C14" i="59"/>
  <c r="D14" i="59" s="1"/>
  <c r="C47" i="59"/>
  <c r="D47" i="59" s="1"/>
  <c r="C46" i="59"/>
  <c r="D46" i="59" s="1"/>
  <c r="C34" i="59"/>
  <c r="D34" i="59" s="1"/>
  <c r="C48" i="59"/>
  <c r="D48" i="59" s="1"/>
  <c r="E48" i="59" s="1"/>
  <c r="F48" i="59" s="1"/>
  <c r="C24" i="59"/>
  <c r="D24" i="59" s="1"/>
  <c r="C42" i="59"/>
  <c r="D42" i="59" s="1"/>
  <c r="C23" i="59"/>
  <c r="D23" i="59" s="1"/>
  <c r="E23" i="59" s="1"/>
  <c r="F23" i="59" s="1"/>
  <c r="G23" i="59" s="1"/>
  <c r="C21" i="59"/>
  <c r="D21" i="59" s="1"/>
  <c r="C15" i="59"/>
  <c r="D15" i="59" s="1"/>
  <c r="C13" i="59"/>
  <c r="C53" i="59"/>
  <c r="D53" i="59" s="1"/>
  <c r="C30" i="59"/>
  <c r="D30" i="59" s="1"/>
  <c r="C52" i="59"/>
  <c r="D52" i="59" s="1"/>
  <c r="C26" i="59"/>
  <c r="D26" i="59" s="1"/>
  <c r="C20" i="59"/>
  <c r="D20" i="59" s="1"/>
  <c r="C35" i="59"/>
  <c r="D35" i="59" s="1"/>
  <c r="C19" i="59"/>
  <c r="D19" i="59" s="1"/>
  <c r="E19" i="59" s="1"/>
  <c r="F19" i="59" s="1"/>
  <c r="J19" i="59" s="1"/>
  <c r="C39" i="59"/>
  <c r="D39" i="59" s="1"/>
  <c r="C44" i="59"/>
  <c r="D44" i="59" s="1"/>
  <c r="C51" i="59"/>
  <c r="D51" i="59" s="1"/>
  <c r="C27" i="59"/>
  <c r="D27" i="59" s="1"/>
  <c r="E27" i="59" s="1"/>
  <c r="F27" i="59" s="1"/>
  <c r="C56" i="59"/>
  <c r="D56" i="59" s="1"/>
  <c r="C18" i="59"/>
  <c r="D18" i="59" s="1"/>
  <c r="C41" i="59"/>
  <c r="D41" i="59" s="1"/>
  <c r="C25" i="59"/>
  <c r="D25" i="59" s="1"/>
  <c r="C36" i="59"/>
  <c r="D36" i="59" s="1"/>
  <c r="C29" i="59"/>
  <c r="D29" i="59" s="1"/>
  <c r="C50" i="59"/>
  <c r="D50" i="59" s="1"/>
  <c r="C26" i="60"/>
  <c r="D26" i="60" s="1"/>
  <c r="C30" i="60"/>
  <c r="D30" i="60" s="1"/>
  <c r="E30" i="60" s="1"/>
  <c r="F30" i="60" s="1"/>
  <c r="J30" i="60" s="1"/>
  <c r="C20" i="60"/>
  <c r="D20" i="60" s="1"/>
  <c r="C31" i="60"/>
  <c r="D31" i="60" s="1"/>
  <c r="C38" i="60"/>
  <c r="D38" i="60" s="1"/>
  <c r="E38" i="60" s="1"/>
  <c r="F38" i="60" s="1"/>
  <c r="J38" i="60" s="1"/>
  <c r="C56" i="60"/>
  <c r="D56" i="60" s="1"/>
  <c r="C18" i="60"/>
  <c r="D18" i="60" s="1"/>
  <c r="C25" i="60"/>
  <c r="D25" i="60" s="1"/>
  <c r="C49" i="60"/>
  <c r="D49" i="60" s="1"/>
  <c r="C43" i="60"/>
  <c r="D43" i="60" s="1"/>
  <c r="E43" i="60" s="1"/>
  <c r="F43" i="60" s="1"/>
  <c r="J43" i="60" s="1"/>
  <c r="C50" i="60"/>
  <c r="D50" i="60" s="1"/>
  <c r="C48" i="60"/>
  <c r="D48" i="60" s="1"/>
  <c r="C32" i="60"/>
  <c r="D32" i="60" s="1"/>
  <c r="E32" i="60" s="1"/>
  <c r="F32" i="60" s="1"/>
  <c r="C51" i="60"/>
  <c r="D51" i="60" s="1"/>
  <c r="E51" i="60" s="1"/>
  <c r="F51" i="60" s="1"/>
  <c r="C41" i="60"/>
  <c r="D41" i="60" s="1"/>
  <c r="E41" i="60" s="1"/>
  <c r="F41" i="60" s="1"/>
  <c r="C29" i="60"/>
  <c r="D29" i="60" s="1"/>
  <c r="C46" i="60"/>
  <c r="D46" i="60" s="1"/>
  <c r="C47" i="60"/>
  <c r="D47" i="60" s="1"/>
  <c r="C42" i="60"/>
  <c r="D42" i="60" s="1"/>
  <c r="E42" i="60" s="1"/>
  <c r="F42" i="60" s="1"/>
  <c r="C33" i="60"/>
  <c r="D33" i="60" s="1"/>
  <c r="E33" i="60" s="1"/>
  <c r="F33" i="60" s="1"/>
  <c r="C39" i="60"/>
  <c r="D39" i="60" s="1"/>
  <c r="C55" i="60"/>
  <c r="D55" i="60" s="1"/>
  <c r="C34" i="60"/>
  <c r="D34" i="60" s="1"/>
  <c r="C45" i="60"/>
  <c r="D45" i="60" s="1"/>
  <c r="C28" i="60"/>
  <c r="D28" i="60" s="1"/>
  <c r="C15" i="60"/>
  <c r="D15" i="60" s="1"/>
  <c r="E15" i="60" s="1"/>
  <c r="F15" i="60" s="1"/>
  <c r="J15" i="60" s="1"/>
  <c r="C37" i="60"/>
  <c r="D37" i="60" s="1"/>
  <c r="C16" i="60"/>
  <c r="D16" i="60" s="1"/>
  <c r="C19" i="60"/>
  <c r="D19" i="60" s="1"/>
  <c r="C53" i="60"/>
  <c r="D53" i="60" s="1"/>
  <c r="C36" i="60"/>
  <c r="D36" i="60" s="1"/>
  <c r="E36" i="60" s="1"/>
  <c r="F36" i="60" s="1"/>
  <c r="C54" i="60"/>
  <c r="D54" i="60" s="1"/>
  <c r="C17" i="60"/>
  <c r="D17" i="60" s="1"/>
  <c r="E17" i="60" s="1"/>
  <c r="F17" i="60" s="1"/>
  <c r="C24" i="60"/>
  <c r="D24" i="60" s="1"/>
  <c r="C27" i="60"/>
  <c r="D27" i="60" s="1"/>
  <c r="E27" i="60" s="1"/>
  <c r="F27" i="60" s="1"/>
  <c r="J27" i="60" s="1"/>
  <c r="C40" i="60"/>
  <c r="D40" i="60" s="1"/>
  <c r="C35" i="60"/>
  <c r="D35" i="60" s="1"/>
  <c r="C23" i="60"/>
  <c r="D23" i="60" s="1"/>
  <c r="C21" i="60"/>
  <c r="D21" i="60" s="1"/>
  <c r="C22" i="60"/>
  <c r="D22" i="60" s="1"/>
  <c r="E22" i="60" s="1"/>
  <c r="F22" i="60" s="1"/>
  <c r="C14" i="60"/>
  <c r="C53" i="61"/>
  <c r="D53" i="61" s="1"/>
  <c r="C33" i="61"/>
  <c r="D33" i="61" s="1"/>
  <c r="C49" i="61"/>
  <c r="D49" i="61" s="1"/>
  <c r="C19" i="61"/>
  <c r="D19" i="61" s="1"/>
  <c r="C20" i="61"/>
  <c r="D20" i="61" s="1"/>
  <c r="C25" i="61"/>
  <c r="D25" i="61" s="1"/>
  <c r="E25" i="61" s="1"/>
  <c r="F25" i="61" s="1"/>
  <c r="C37" i="61"/>
  <c r="D37" i="61" s="1"/>
  <c r="C32" i="61"/>
  <c r="D32" i="61" s="1"/>
  <c r="E32" i="61" s="1"/>
  <c r="F32" i="61" s="1"/>
  <c r="C28" i="61"/>
  <c r="D28" i="61" s="1"/>
  <c r="C39" i="61"/>
  <c r="D39" i="61" s="1"/>
  <c r="C47" i="61"/>
  <c r="D47" i="61" s="1"/>
  <c r="C34" i="61"/>
  <c r="D34" i="61" s="1"/>
  <c r="C31" i="61"/>
  <c r="D31" i="61" s="1"/>
  <c r="E31" i="61" s="1"/>
  <c r="F31" i="61" s="1"/>
  <c r="C52" i="61"/>
  <c r="D52" i="61" s="1"/>
  <c r="C23" i="61"/>
  <c r="D23" i="61" s="1"/>
  <c r="E23" i="61" s="1"/>
  <c r="F23" i="61" s="1"/>
  <c r="C46" i="61"/>
  <c r="D46" i="61" s="1"/>
  <c r="C15" i="61"/>
  <c r="D15" i="61" s="1"/>
  <c r="C29" i="61"/>
  <c r="D29" i="61" s="1"/>
  <c r="C21" i="61"/>
  <c r="D21" i="61" s="1"/>
  <c r="E21" i="61" s="1"/>
  <c r="F21" i="61" s="1"/>
  <c r="C43" i="61"/>
  <c r="D43" i="61" s="1"/>
  <c r="C26" i="61"/>
  <c r="D26" i="61" s="1"/>
  <c r="E26" i="61" s="1"/>
  <c r="F26" i="61" s="1"/>
  <c r="C22" i="61"/>
  <c r="D22" i="61" s="1"/>
  <c r="C56" i="61"/>
  <c r="D56" i="61" s="1"/>
  <c r="C42" i="61"/>
  <c r="D42" i="61" s="1"/>
  <c r="C18" i="61"/>
  <c r="D18" i="61" s="1"/>
  <c r="C50" i="61"/>
  <c r="D50" i="61" s="1"/>
  <c r="C40" i="61"/>
  <c r="D40" i="61" s="1"/>
  <c r="C30" i="61"/>
  <c r="D30" i="61" s="1"/>
  <c r="C51" i="61"/>
  <c r="D51" i="61" s="1"/>
  <c r="C44" i="61"/>
  <c r="D44" i="61" s="1"/>
  <c r="E44" i="61" s="1"/>
  <c r="F44" i="61" s="1"/>
  <c r="C24" i="61"/>
  <c r="D24" i="61" s="1"/>
  <c r="C45" i="61"/>
  <c r="D45" i="61" s="1"/>
  <c r="C16" i="61"/>
  <c r="D16" i="61" s="1"/>
  <c r="E16" i="61" s="1"/>
  <c r="F16" i="61" s="1"/>
  <c r="C55" i="61"/>
  <c r="D55" i="61" s="1"/>
  <c r="E55" i="61" s="1"/>
  <c r="F55" i="61" s="1"/>
  <c r="C54" i="61"/>
  <c r="D54" i="61" s="1"/>
  <c r="C27" i="61"/>
  <c r="D27" i="61" s="1"/>
  <c r="C38" i="61"/>
  <c r="D38" i="61" s="1"/>
  <c r="C41" i="61"/>
  <c r="D41" i="61" s="1"/>
  <c r="E41" i="61" s="1"/>
  <c r="F41" i="61" s="1"/>
  <c r="C35" i="61"/>
  <c r="D35" i="61" s="1"/>
  <c r="G12" i="54"/>
  <c r="H30" i="53"/>
  <c r="J30" i="53" s="1"/>
  <c r="C48" i="61"/>
  <c r="D48" i="61" s="1"/>
  <c r="C36" i="61"/>
  <c r="D36" i="61" s="1"/>
  <c r="H9" i="54"/>
  <c r="J9" i="54" s="1"/>
  <c r="H35" i="54"/>
  <c r="H14" i="54"/>
  <c r="J14" i="54" s="1"/>
  <c r="C17" i="61"/>
  <c r="D17" i="61" s="1"/>
  <c r="E17" i="61" s="1"/>
  <c r="F17" i="61" s="1"/>
  <c r="G49" i="54"/>
  <c r="H42" i="53"/>
  <c r="C52" i="60"/>
  <c r="D52" i="60" s="1"/>
  <c r="C55" i="59"/>
  <c r="D55" i="59" s="1"/>
  <c r="C46" i="58"/>
  <c r="D46" i="58" s="1"/>
  <c r="G20" i="54"/>
  <c r="J20" i="54"/>
  <c r="E34" i="54"/>
  <c r="F34" i="54" s="1"/>
  <c r="G37" i="54"/>
  <c r="G10" i="54"/>
  <c r="G56" i="57"/>
  <c r="G50" i="54"/>
  <c r="G44" i="54"/>
  <c r="G14" i="54"/>
  <c r="J35" i="55"/>
  <c r="G35" i="55"/>
  <c r="I35" i="55" s="1"/>
  <c r="E38" i="54"/>
  <c r="F38" i="54" s="1"/>
  <c r="G38" i="54" s="1"/>
  <c r="E51" i="57"/>
  <c r="F51" i="57" s="1"/>
  <c r="G51" i="57" s="1"/>
  <c r="E34" i="57"/>
  <c r="F34" i="57" s="1"/>
  <c r="J34" i="57" s="1"/>
  <c r="E24" i="57"/>
  <c r="F24" i="57" s="1"/>
  <c r="G24" i="57" s="1"/>
  <c r="E50" i="55"/>
  <c r="F50" i="55" s="1"/>
  <c r="G50" i="55" s="1"/>
  <c r="E52" i="55"/>
  <c r="F52" i="55" s="1"/>
  <c r="G52" i="55" s="1"/>
  <c r="E35" i="54"/>
  <c r="F35" i="54" s="1"/>
  <c r="G46" i="54"/>
  <c r="G18" i="54"/>
  <c r="G48" i="1"/>
  <c r="G17" i="57"/>
  <c r="E42" i="54"/>
  <c r="F42" i="54" s="1"/>
  <c r="G22" i="54"/>
  <c r="I53" i="55"/>
  <c r="H32" i="55"/>
  <c r="H41" i="55"/>
  <c r="H20" i="55"/>
  <c r="H43" i="55"/>
  <c r="J43" i="55" s="1"/>
  <c r="H24" i="55"/>
  <c r="H11" i="55"/>
  <c r="H21" i="55"/>
  <c r="H54" i="55"/>
  <c r="H26" i="55"/>
  <c r="H42" i="55"/>
  <c r="H52" i="55"/>
  <c r="H14" i="55"/>
  <c r="H50" i="55"/>
  <c r="H36" i="55"/>
  <c r="H45" i="55"/>
  <c r="H13" i="55"/>
  <c r="H56" i="55"/>
  <c r="H17" i="55"/>
  <c r="H29" i="55"/>
  <c r="H27" i="55"/>
  <c r="J27" i="55" s="1"/>
  <c r="H55" i="55"/>
  <c r="H44" i="55"/>
  <c r="H16" i="55"/>
  <c r="H38" i="55"/>
  <c r="H49" i="55"/>
  <c r="H28" i="55"/>
  <c r="H39" i="55"/>
  <c r="H22" i="55"/>
  <c r="H23" i="55"/>
  <c r="H33" i="55"/>
  <c r="H34" i="55"/>
  <c r="H31" i="55"/>
  <c r="I31" i="55" s="1"/>
  <c r="H18" i="55"/>
  <c r="H37" i="55"/>
  <c r="H35" i="57"/>
  <c r="H18" i="57"/>
  <c r="H12" i="57"/>
  <c r="H52" i="57"/>
  <c r="J52" i="57" s="1"/>
  <c r="H49" i="57"/>
  <c r="I49" i="57" s="1"/>
  <c r="H32" i="57"/>
  <c r="I32" i="57" s="1"/>
  <c r="H36" i="57"/>
  <c r="H31" i="57"/>
  <c r="H11" i="57"/>
  <c r="H11" i="58" s="1"/>
  <c r="H33" i="57"/>
  <c r="H50" i="57"/>
  <c r="H40" i="57"/>
  <c r="H24" i="57"/>
  <c r="H13" i="57"/>
  <c r="I13" i="57" s="1"/>
  <c r="H55" i="57"/>
  <c r="H28" i="57"/>
  <c r="H21" i="57"/>
  <c r="H16" i="57"/>
  <c r="I16" i="57" s="1"/>
  <c r="H19" i="57"/>
  <c r="J19" i="57" s="1"/>
  <c r="H37" i="57"/>
  <c r="H44" i="57"/>
  <c r="H53" i="57"/>
  <c r="H38" i="57"/>
  <c r="H56" i="57"/>
  <c r="J56" i="57" s="1"/>
  <c r="H14" i="57"/>
  <c r="H46" i="57"/>
  <c r="H23" i="57"/>
  <c r="H51" i="57"/>
  <c r="H47" i="57"/>
  <c r="H48" i="57"/>
  <c r="J48" i="57" s="1"/>
  <c r="H27" i="57"/>
  <c r="H42" i="57"/>
  <c r="J42" i="57" s="1"/>
  <c r="H30" i="57"/>
  <c r="O61" i="58"/>
  <c r="S61" i="58" s="1"/>
  <c r="O65" i="58"/>
  <c r="S65" i="58" s="1"/>
  <c r="O33" i="58"/>
  <c r="O34" i="58"/>
  <c r="O27" i="57"/>
  <c r="O36" i="52"/>
  <c r="O9" i="53"/>
  <c r="O68" i="53"/>
  <c r="S68" i="53" s="1"/>
  <c r="O15" i="57"/>
  <c r="O13" i="57"/>
  <c r="O36" i="57"/>
  <c r="O24" i="52"/>
  <c r="O52" i="59"/>
  <c r="O48" i="59"/>
  <c r="G45" i="57"/>
  <c r="I45" i="57" s="1"/>
  <c r="G19" i="57"/>
  <c r="O67" i="58"/>
  <c r="S67" i="58" s="1"/>
  <c r="O23" i="52"/>
  <c r="O14" i="59"/>
  <c r="O19" i="59"/>
  <c r="G53" i="57"/>
  <c r="O53" i="52"/>
  <c r="G45" i="54"/>
  <c r="G22" i="57"/>
  <c r="I22" i="57" s="1"/>
  <c r="J22" i="57"/>
  <c r="G17" i="58"/>
  <c r="I17" i="58" s="1"/>
  <c r="C19" i="55"/>
  <c r="D19" i="55" s="1"/>
  <c r="C9" i="55"/>
  <c r="C18" i="55"/>
  <c r="D18" i="55" s="1"/>
  <c r="C24" i="55"/>
  <c r="D24" i="55" s="1"/>
  <c r="H9" i="55"/>
  <c r="H9" i="56" s="1"/>
  <c r="L13" i="55"/>
  <c r="C43" i="52"/>
  <c r="D43" i="52" s="1"/>
  <c r="H6" i="52"/>
  <c r="H6" i="53" s="1"/>
  <c r="C34" i="52"/>
  <c r="D34" i="52" s="1"/>
  <c r="C51" i="52"/>
  <c r="D51" i="52" s="1"/>
  <c r="H15" i="52"/>
  <c r="C40" i="52"/>
  <c r="D40" i="52" s="1"/>
  <c r="C39" i="52"/>
  <c r="D39" i="52" s="1"/>
  <c r="C50" i="52"/>
  <c r="D50" i="52" s="1"/>
  <c r="H27" i="52"/>
  <c r="C13" i="52"/>
  <c r="D13" i="52" s="1"/>
  <c r="H31" i="52"/>
  <c r="H54" i="52"/>
  <c r="H53" i="52"/>
  <c r="C6" i="52"/>
  <c r="H30" i="52"/>
  <c r="H45" i="52"/>
  <c r="C26" i="52"/>
  <c r="D26" i="52" s="1"/>
  <c r="C25" i="52"/>
  <c r="D25" i="52" s="1"/>
  <c r="C29" i="52"/>
  <c r="D29" i="52" s="1"/>
  <c r="C48" i="52"/>
  <c r="D48" i="52" s="1"/>
  <c r="C20" i="52"/>
  <c r="D20" i="52" s="1"/>
  <c r="C37" i="52"/>
  <c r="D37" i="52" s="1"/>
  <c r="C53" i="52"/>
  <c r="D53" i="52" s="1"/>
  <c r="H13" i="52"/>
  <c r="H39" i="52"/>
  <c r="H12" i="52"/>
  <c r="C32" i="52"/>
  <c r="D32" i="52" s="1"/>
  <c r="C47" i="52"/>
  <c r="D47" i="52" s="1"/>
  <c r="C31" i="52"/>
  <c r="D31" i="52" s="1"/>
  <c r="C54" i="52"/>
  <c r="D54" i="52" s="1"/>
  <c r="C16" i="52"/>
  <c r="D16" i="52" s="1"/>
  <c r="C11" i="52"/>
  <c r="D11" i="52" s="1"/>
  <c r="H10" i="52"/>
  <c r="C41" i="52"/>
  <c r="D41" i="52" s="1"/>
  <c r="H37" i="52"/>
  <c r="H40" i="52"/>
  <c r="H43" i="52"/>
  <c r="C21" i="52"/>
  <c r="D21" i="52" s="1"/>
  <c r="C19" i="52"/>
  <c r="D19" i="52" s="1"/>
  <c r="H24" i="52"/>
  <c r="H48" i="52"/>
  <c r="C42" i="52"/>
  <c r="D42" i="52" s="1"/>
  <c r="H28" i="52"/>
  <c r="H34" i="52"/>
  <c r="H18" i="52"/>
  <c r="C44" i="52"/>
  <c r="D44" i="52" s="1"/>
  <c r="C56" i="52"/>
  <c r="D56" i="52" s="1"/>
  <c r="C49" i="52"/>
  <c r="D49" i="52" s="1"/>
  <c r="C35" i="52"/>
  <c r="D35" i="52" s="1"/>
  <c r="C15" i="52"/>
  <c r="D15" i="52" s="1"/>
  <c r="H44" i="52"/>
  <c r="C7" i="52"/>
  <c r="D7" i="52" s="1"/>
  <c r="C28" i="52"/>
  <c r="D28" i="52" s="1"/>
  <c r="H56" i="52"/>
  <c r="H16" i="52"/>
  <c r="H17" i="52"/>
  <c r="H9" i="52"/>
  <c r="J9" i="52" s="1"/>
  <c r="H51" i="52"/>
  <c r="H41" i="52"/>
  <c r="H38" i="52"/>
  <c r="H8" i="52"/>
  <c r="H20" i="52"/>
  <c r="C30" i="52"/>
  <c r="D30" i="52" s="1"/>
  <c r="H46" i="52"/>
  <c r="C27" i="52"/>
  <c r="D27" i="52" s="1"/>
  <c r="H55" i="52"/>
  <c r="C46" i="52"/>
  <c r="D46" i="52" s="1"/>
  <c r="C8" i="52"/>
  <c r="D8" i="52" s="1"/>
  <c r="C17" i="52"/>
  <c r="D17" i="52" s="1"/>
  <c r="C10" i="52"/>
  <c r="D10" i="52" s="1"/>
  <c r="C38" i="52"/>
  <c r="D38" i="52" s="1"/>
  <c r="H50" i="52"/>
  <c r="H26" i="52"/>
  <c r="H23" i="52"/>
  <c r="C55" i="52"/>
  <c r="D55" i="52" s="1"/>
  <c r="C18" i="52"/>
  <c r="D18" i="52" s="1"/>
  <c r="H19" i="52"/>
  <c r="H7" i="52"/>
  <c r="H21" i="52"/>
  <c r="C45" i="52"/>
  <c r="D45" i="52" s="1"/>
  <c r="C12" i="52"/>
  <c r="D12" i="52" s="1"/>
  <c r="C52" i="52"/>
  <c r="D52" i="52" s="1"/>
  <c r="H29" i="52"/>
  <c r="H36" i="52"/>
  <c r="H52" i="52"/>
  <c r="H35" i="52"/>
  <c r="C36" i="52"/>
  <c r="D36" i="52" s="1"/>
  <c r="H11" i="52"/>
  <c r="H22" i="52"/>
  <c r="H33" i="52"/>
  <c r="C22" i="52"/>
  <c r="D22" i="52" s="1"/>
  <c r="H47" i="60"/>
  <c r="C44" i="60"/>
  <c r="D44" i="60" s="1"/>
  <c r="L18" i="53"/>
  <c r="O52" i="55"/>
  <c r="O8" i="54"/>
  <c r="O59" i="61"/>
  <c r="S59" i="61" s="1"/>
  <c r="O63" i="56"/>
  <c r="S63" i="56" s="1"/>
  <c r="O66" i="55"/>
  <c r="S66" i="55" s="1"/>
  <c r="O66" i="56"/>
  <c r="S66" i="56" s="1"/>
  <c r="O20" i="55"/>
  <c r="O56" i="55"/>
  <c r="O60" i="53"/>
  <c r="S60" i="53" s="1"/>
  <c r="O63" i="60"/>
  <c r="S63" i="60" s="1"/>
  <c r="O26" i="60"/>
  <c r="O27" i="52"/>
  <c r="O50" i="56"/>
  <c r="O64" i="55"/>
  <c r="S64" i="55" s="1"/>
  <c r="O63" i="54"/>
  <c r="S63" i="54" s="1"/>
  <c r="O14" i="54"/>
  <c r="O52" i="54"/>
  <c r="O12" i="52"/>
  <c r="O37" i="52"/>
  <c r="O37" i="54"/>
  <c r="O19" i="54"/>
  <c r="O20" i="59"/>
  <c r="O38" i="52"/>
  <c r="O61" i="56"/>
  <c r="S61" i="56" s="1"/>
  <c r="O56" i="61"/>
  <c r="O68" i="61"/>
  <c r="S68" i="61" s="1"/>
  <c r="O30" i="54"/>
  <c r="O53" i="57"/>
  <c r="O53" i="56"/>
  <c r="O17" i="61"/>
  <c r="O17" i="60"/>
  <c r="O24" i="58"/>
  <c r="O63" i="52"/>
  <c r="S63" i="52" s="1"/>
  <c r="O69" i="59"/>
  <c r="S69" i="59" s="1"/>
  <c r="O69" i="58"/>
  <c r="S69" i="58" s="1"/>
  <c r="O46" i="59"/>
  <c r="O46" i="58"/>
  <c r="O60" i="59"/>
  <c r="S60" i="59" s="1"/>
  <c r="O60" i="58"/>
  <c r="S60" i="58" s="1"/>
  <c r="O12" i="58"/>
  <c r="O12" i="57"/>
  <c r="O37" i="58"/>
  <c r="O37" i="57"/>
  <c r="O40" i="58"/>
  <c r="O56" i="57"/>
  <c r="O56" i="58"/>
  <c r="O16" i="57"/>
  <c r="O16" i="58"/>
  <c r="O51" i="60"/>
  <c r="O51" i="59"/>
  <c r="O15" i="53"/>
  <c r="O15" i="52"/>
  <c r="O8" i="52"/>
  <c r="O8" i="53"/>
  <c r="O23" i="57"/>
  <c r="O23" i="58"/>
  <c r="O35" i="57"/>
  <c r="O35" i="58"/>
  <c r="O17" i="57"/>
  <c r="O17" i="58"/>
  <c r="O58" i="58"/>
  <c r="S58" i="58" s="1"/>
  <c r="O58" i="57"/>
  <c r="S58" i="57" s="1"/>
  <c r="O19" i="57"/>
  <c r="O19" i="58"/>
  <c r="O18" i="58"/>
  <c r="O18" i="57"/>
  <c r="O41" i="57"/>
  <c r="O41" i="58"/>
  <c r="O66" i="57"/>
  <c r="S66" i="57" s="1"/>
  <c r="O66" i="58"/>
  <c r="S66" i="58" s="1"/>
  <c r="O53" i="60"/>
  <c r="O53" i="59"/>
  <c r="O35" i="53"/>
  <c r="O35" i="52"/>
  <c r="O41" i="53"/>
  <c r="O41" i="52"/>
  <c r="O36" i="56"/>
  <c r="O36" i="55"/>
  <c r="O49" i="54"/>
  <c r="O49" i="55"/>
  <c r="O51" i="56"/>
  <c r="O51" i="55"/>
  <c r="O45" i="55"/>
  <c r="O45" i="56"/>
  <c r="O64" i="54"/>
  <c r="S64" i="54" s="1"/>
  <c r="O64" i="53"/>
  <c r="S64" i="53" s="1"/>
  <c r="O59" i="54"/>
  <c r="S59" i="54" s="1"/>
  <c r="O59" i="53"/>
  <c r="S59" i="53" s="1"/>
  <c r="O51" i="54"/>
  <c r="O51" i="53"/>
  <c r="O42" i="52"/>
  <c r="O42" i="53"/>
  <c r="O19" i="52"/>
  <c r="O39" i="61"/>
  <c r="O39" i="60"/>
  <c r="O69" i="61"/>
  <c r="S69" i="61" s="1"/>
  <c r="O69" i="60"/>
  <c r="S69" i="60" s="1"/>
  <c r="O65" i="54"/>
  <c r="S65" i="54" s="1"/>
  <c r="O65" i="55"/>
  <c r="S65" i="55" s="1"/>
  <c r="O23" i="54"/>
  <c r="O23" i="55"/>
  <c r="O46" i="52"/>
  <c r="O22" i="56"/>
  <c r="O52" i="61"/>
  <c r="O24" i="61"/>
  <c r="O17" i="55"/>
  <c r="O17" i="54"/>
  <c r="O11" i="54"/>
  <c r="O11" i="55"/>
  <c r="O35" i="54"/>
  <c r="O35" i="55"/>
  <c r="O48" i="53"/>
  <c r="O48" i="52"/>
  <c r="O37" i="61"/>
  <c r="O37" i="60"/>
  <c r="O16" i="55"/>
  <c r="O16" i="56"/>
  <c r="O46" i="56"/>
  <c r="O46" i="55"/>
  <c r="O41" i="55"/>
  <c r="O41" i="56"/>
  <c r="O12" i="54"/>
  <c r="O19" i="56"/>
  <c r="O19" i="55"/>
  <c r="O50" i="60"/>
  <c r="O19" i="61"/>
  <c r="O24" i="56"/>
  <c r="O50" i="55"/>
  <c r="O56" i="56"/>
  <c r="O47" i="54"/>
  <c r="O47" i="55"/>
  <c r="O31" i="55"/>
  <c r="O31" i="56"/>
  <c r="O66" i="54"/>
  <c r="S66" i="54" s="1"/>
  <c r="I24" i="53" l="1"/>
  <c r="E19" i="53"/>
  <c r="F19" i="53" s="1"/>
  <c r="G19" i="53"/>
  <c r="C26" i="53"/>
  <c r="D26" i="53" s="1"/>
  <c r="E26" i="53" s="1"/>
  <c r="F26" i="53" s="1"/>
  <c r="G26" i="53" s="1"/>
  <c r="L26" i="53"/>
  <c r="E43" i="57"/>
  <c r="F43" i="57" s="1"/>
  <c r="G43" i="57"/>
  <c r="P12" i="54"/>
  <c r="S12" i="54" s="1"/>
  <c r="I17" i="53"/>
  <c r="H53" i="53"/>
  <c r="J53" i="53" s="1"/>
  <c r="N20" i="52"/>
  <c r="L53" i="53"/>
  <c r="C15" i="54"/>
  <c r="D15" i="54" s="1"/>
  <c r="E15" i="54" s="1"/>
  <c r="F15" i="54" s="1"/>
  <c r="G15" i="54" s="1"/>
  <c r="L15" i="54"/>
  <c r="C29" i="54"/>
  <c r="D29" i="54" s="1"/>
  <c r="L29" i="54"/>
  <c r="C24" i="54"/>
  <c r="D24" i="54" s="1"/>
  <c r="E24" i="54" s="1"/>
  <c r="F24" i="54" s="1"/>
  <c r="G24" i="54" s="1"/>
  <c r="L24" i="54"/>
  <c r="C19" i="54"/>
  <c r="D19" i="54" s="1"/>
  <c r="H19" i="54"/>
  <c r="L19" i="54"/>
  <c r="C8" i="55"/>
  <c r="D8" i="55" s="1"/>
  <c r="D8" i="54"/>
  <c r="C47" i="54"/>
  <c r="D47" i="54" s="1"/>
  <c r="E47" i="54" s="1"/>
  <c r="F47" i="54" s="1"/>
  <c r="G47" i="54" s="1"/>
  <c r="L47" i="54"/>
  <c r="C54" i="54"/>
  <c r="D54" i="54" s="1"/>
  <c r="L54" i="54"/>
  <c r="C16" i="54"/>
  <c r="D16" i="54" s="1"/>
  <c r="L16" i="54"/>
  <c r="C49" i="53"/>
  <c r="D49" i="53" s="1"/>
  <c r="C18" i="53"/>
  <c r="D18" i="53" s="1"/>
  <c r="C25" i="53"/>
  <c r="D25" i="53" s="1"/>
  <c r="E25" i="53" s="1"/>
  <c r="F25" i="53" s="1"/>
  <c r="C17" i="53"/>
  <c r="D17" i="53" s="1"/>
  <c r="E17" i="53" s="1"/>
  <c r="F17" i="53" s="1"/>
  <c r="G17" i="53" s="1"/>
  <c r="C11" i="53"/>
  <c r="D11" i="53" s="1"/>
  <c r="C28" i="53"/>
  <c r="D28" i="53" s="1"/>
  <c r="C34" i="53"/>
  <c r="D34" i="53" s="1"/>
  <c r="E34" i="53" s="1"/>
  <c r="F34" i="53" s="1"/>
  <c r="G34" i="53" s="1"/>
  <c r="C33" i="53"/>
  <c r="D33" i="53" s="1"/>
  <c r="E33" i="53" s="1"/>
  <c r="F33" i="53" s="1"/>
  <c r="G33" i="53" s="1"/>
  <c r="C9" i="53"/>
  <c r="D9" i="53" s="1"/>
  <c r="C50" i="53"/>
  <c r="D50" i="53" s="1"/>
  <c r="E50" i="53" s="1"/>
  <c r="F50" i="53" s="1"/>
  <c r="G50" i="53" s="1"/>
  <c r="I50" i="53" s="1"/>
  <c r="C44" i="53"/>
  <c r="D44" i="53" s="1"/>
  <c r="L12" i="53"/>
  <c r="L15" i="53"/>
  <c r="N15" i="53" s="1"/>
  <c r="L31" i="53"/>
  <c r="L27" i="53"/>
  <c r="L9" i="53"/>
  <c r="L48" i="53"/>
  <c r="N48" i="54" s="1"/>
  <c r="S48" i="54" s="1"/>
  <c r="L33" i="53"/>
  <c r="L13" i="53"/>
  <c r="L44" i="53"/>
  <c r="N44" i="54" s="1"/>
  <c r="L35" i="53"/>
  <c r="C41" i="53"/>
  <c r="D41" i="53" s="1"/>
  <c r="L8" i="53"/>
  <c r="L24" i="53"/>
  <c r="L17" i="53"/>
  <c r="N17" i="54" s="1"/>
  <c r="L14" i="53"/>
  <c r="L39" i="53"/>
  <c r="L32" i="53"/>
  <c r="N32" i="53" s="1"/>
  <c r="L52" i="53"/>
  <c r="N52" i="53" s="1"/>
  <c r="L22" i="53"/>
  <c r="L23" i="53"/>
  <c r="L11" i="53"/>
  <c r="L10" i="53"/>
  <c r="L36" i="53"/>
  <c r="L56" i="53"/>
  <c r="L40" i="53"/>
  <c r="L25" i="53"/>
  <c r="L42" i="53"/>
  <c r="L55" i="53"/>
  <c r="L28" i="53"/>
  <c r="L34" i="53"/>
  <c r="N34" i="53" s="1"/>
  <c r="L20" i="53"/>
  <c r="L50" i="53"/>
  <c r="L49" i="53"/>
  <c r="N49" i="53" s="1"/>
  <c r="H43" i="61"/>
  <c r="H22" i="61"/>
  <c r="H42" i="61"/>
  <c r="H30" i="61"/>
  <c r="H56" i="61"/>
  <c r="H46" i="61"/>
  <c r="H15" i="61"/>
  <c r="H48" i="61"/>
  <c r="H35" i="61"/>
  <c r="H54" i="61"/>
  <c r="L18" i="61"/>
  <c r="L51" i="61"/>
  <c r="L15" i="61"/>
  <c r="L49" i="61"/>
  <c r="L26" i="61"/>
  <c r="L39" i="61"/>
  <c r="N39" i="61" s="1"/>
  <c r="L44" i="61"/>
  <c r="L31" i="61"/>
  <c r="L16" i="61"/>
  <c r="L42" i="61"/>
  <c r="H52" i="61"/>
  <c r="H53" i="61"/>
  <c r="H19" i="61"/>
  <c r="H17" i="61"/>
  <c r="H55" i="61"/>
  <c r="J55" i="61" s="1"/>
  <c r="P55" i="61" s="1"/>
  <c r="H39" i="61"/>
  <c r="H20" i="61"/>
  <c r="H44" i="61"/>
  <c r="H29" i="61"/>
  <c r="H18" i="61"/>
  <c r="H28" i="61"/>
  <c r="L54" i="61"/>
  <c r="L22" i="61"/>
  <c r="N22" i="61" s="1"/>
  <c r="L33" i="61"/>
  <c r="L40" i="61"/>
  <c r="L28" i="61"/>
  <c r="L29" i="61"/>
  <c r="N29" i="61" s="1"/>
  <c r="L52" i="61"/>
  <c r="L35" i="61"/>
  <c r="H50" i="61"/>
  <c r="H41" i="61"/>
  <c r="L38" i="61"/>
  <c r="H34" i="61"/>
  <c r="H40" i="61"/>
  <c r="H36" i="61"/>
  <c r="H23" i="61"/>
  <c r="H32" i="61"/>
  <c r="J32" i="61" s="1"/>
  <c r="P32" i="61" s="1"/>
  <c r="H27" i="61"/>
  <c r="H45" i="61"/>
  <c r="H49" i="61"/>
  <c r="L53" i="61"/>
  <c r="L43" i="61"/>
  <c r="L36" i="61"/>
  <c r="N36" i="61" s="1"/>
  <c r="L25" i="61"/>
  <c r="L47" i="61"/>
  <c r="L20" i="61"/>
  <c r="L19" i="61"/>
  <c r="L21" i="61"/>
  <c r="L45" i="61"/>
  <c r="L30" i="61"/>
  <c r="L37" i="61"/>
  <c r="N37" i="61" s="1"/>
  <c r="L46" i="61"/>
  <c r="L48" i="61"/>
  <c r="L27" i="61"/>
  <c r="L47" i="1"/>
  <c r="C47" i="1"/>
  <c r="D47" i="1" s="1"/>
  <c r="E47" i="1" s="1"/>
  <c r="F47" i="1" s="1"/>
  <c r="G47" i="1" s="1"/>
  <c r="C37" i="1"/>
  <c r="D37" i="1" s="1"/>
  <c r="E37" i="1" s="1"/>
  <c r="F37" i="1" s="1"/>
  <c r="G37" i="1" s="1"/>
  <c r="L37" i="1"/>
  <c r="C13" i="1"/>
  <c r="D13" i="1" s="1"/>
  <c r="E13" i="1" s="1"/>
  <c r="F13" i="1" s="1"/>
  <c r="L13" i="1"/>
  <c r="C28" i="1"/>
  <c r="D28" i="1" s="1"/>
  <c r="L28" i="1"/>
  <c r="C19" i="1"/>
  <c r="D19" i="1" s="1"/>
  <c r="E19" i="1" s="1"/>
  <c r="F19" i="1" s="1"/>
  <c r="L19" i="1"/>
  <c r="C14" i="1"/>
  <c r="D14" i="1" s="1"/>
  <c r="E14" i="1" s="1"/>
  <c r="F14" i="1" s="1"/>
  <c r="G14" i="1" s="1"/>
  <c r="L14" i="1"/>
  <c r="C22" i="1"/>
  <c r="D22" i="1" s="1"/>
  <c r="E22" i="1" s="1"/>
  <c r="F22" i="1" s="1"/>
  <c r="L22" i="1"/>
  <c r="L8" i="1"/>
  <c r="C8" i="1"/>
  <c r="D8" i="1" s="1"/>
  <c r="E8" i="1" s="1"/>
  <c r="F8" i="1" s="1"/>
  <c r="G8" i="1" s="1"/>
  <c r="N16" i="53"/>
  <c r="N12" i="54"/>
  <c r="C51" i="53"/>
  <c r="D51" i="53" s="1"/>
  <c r="E51" i="53" s="1"/>
  <c r="F51" i="53" s="1"/>
  <c r="L51" i="53"/>
  <c r="C21" i="53"/>
  <c r="D21" i="53" s="1"/>
  <c r="L21" i="53"/>
  <c r="C38" i="53"/>
  <c r="D38" i="53" s="1"/>
  <c r="E38" i="53" s="1"/>
  <c r="F38" i="53" s="1"/>
  <c r="L38" i="53"/>
  <c r="C47" i="53"/>
  <c r="D47" i="53" s="1"/>
  <c r="E47" i="53" s="1"/>
  <c r="F47" i="53" s="1"/>
  <c r="G47" i="53" s="1"/>
  <c r="I47" i="53" s="1"/>
  <c r="L47" i="53"/>
  <c r="C56" i="54"/>
  <c r="D56" i="54" s="1"/>
  <c r="E56" i="54" s="1"/>
  <c r="F56" i="54" s="1"/>
  <c r="L56" i="54"/>
  <c r="P9" i="52"/>
  <c r="S9" i="52" s="1"/>
  <c r="J17" i="61"/>
  <c r="J21" i="61"/>
  <c r="P21" i="61" s="1"/>
  <c r="J23" i="61"/>
  <c r="H26" i="53"/>
  <c r="I26" i="53" s="1"/>
  <c r="H21" i="53"/>
  <c r="H19" i="53"/>
  <c r="J19" i="53" s="1"/>
  <c r="I29" i="53"/>
  <c r="L30" i="53"/>
  <c r="N30" i="53" s="1"/>
  <c r="N40" i="52"/>
  <c r="L19" i="53"/>
  <c r="J33" i="53"/>
  <c r="I48" i="53"/>
  <c r="J44" i="1"/>
  <c r="G53" i="53"/>
  <c r="J44" i="61"/>
  <c r="I34" i="53"/>
  <c r="H47" i="53"/>
  <c r="H38" i="53"/>
  <c r="J38" i="53" s="1"/>
  <c r="P38" i="53" s="1"/>
  <c r="J47" i="1"/>
  <c r="J8" i="1"/>
  <c r="N33" i="57"/>
  <c r="N36" i="54"/>
  <c r="N56" i="52"/>
  <c r="N12" i="53"/>
  <c r="N49" i="52"/>
  <c r="H16" i="56"/>
  <c r="H24" i="56"/>
  <c r="J24" i="56" s="1"/>
  <c r="P24" i="56" s="1"/>
  <c r="H49" i="56"/>
  <c r="H34" i="56"/>
  <c r="C18" i="1"/>
  <c r="D18" i="1" s="1"/>
  <c r="E18" i="1" s="1"/>
  <c r="F18" i="1" s="1"/>
  <c r="G18" i="1" s="1"/>
  <c r="I18" i="1" s="1"/>
  <c r="L18" i="1"/>
  <c r="C16" i="1"/>
  <c r="D16" i="1" s="1"/>
  <c r="C10" i="1"/>
  <c r="D10" i="1" s="1"/>
  <c r="C11" i="1"/>
  <c r="D11" i="1" s="1"/>
  <c r="C25" i="1"/>
  <c r="D25" i="1" s="1"/>
  <c r="L25" i="1"/>
  <c r="C26" i="1"/>
  <c r="D26" i="1" s="1"/>
  <c r="L26" i="1"/>
  <c r="C17" i="1"/>
  <c r="D17" i="1" s="1"/>
  <c r="E17" i="1" s="1"/>
  <c r="F17" i="1" s="1"/>
  <c r="G17" i="1" s="1"/>
  <c r="C42" i="1"/>
  <c r="D42" i="1" s="1"/>
  <c r="E42" i="1" s="1"/>
  <c r="F42" i="1" s="1"/>
  <c r="L42" i="1"/>
  <c r="C20" i="1"/>
  <c r="D20" i="1" s="1"/>
  <c r="E20" i="1" s="1"/>
  <c r="F20" i="1" s="1"/>
  <c r="G20" i="1" s="1"/>
  <c r="L20" i="1"/>
  <c r="C52" i="1"/>
  <c r="D52" i="1" s="1"/>
  <c r="E52" i="1" s="1"/>
  <c r="F52" i="1" s="1"/>
  <c r="G52" i="1" s="1"/>
  <c r="I52" i="1" s="1"/>
  <c r="L52" i="1"/>
  <c r="N52" i="52" s="1"/>
  <c r="C46" i="53"/>
  <c r="D46" i="53" s="1"/>
  <c r="E46" i="53" s="1"/>
  <c r="F46" i="53" s="1"/>
  <c r="J46" i="53" s="1"/>
  <c r="C24" i="53"/>
  <c r="D24" i="53" s="1"/>
  <c r="E24" i="53" s="1"/>
  <c r="F24" i="53" s="1"/>
  <c r="G24" i="53" s="1"/>
  <c r="C43" i="53"/>
  <c r="D43" i="53" s="1"/>
  <c r="E43" i="53" s="1"/>
  <c r="F43" i="53" s="1"/>
  <c r="C42" i="53"/>
  <c r="D42" i="53" s="1"/>
  <c r="C20" i="53"/>
  <c r="D20" i="53" s="1"/>
  <c r="C45" i="53"/>
  <c r="D45" i="53" s="1"/>
  <c r="C54" i="53"/>
  <c r="D54" i="53" s="1"/>
  <c r="C32" i="53"/>
  <c r="D32" i="53" s="1"/>
  <c r="C39" i="53"/>
  <c r="D39" i="53" s="1"/>
  <c r="E39" i="53" s="1"/>
  <c r="F39" i="53" s="1"/>
  <c r="G39" i="53" s="1"/>
  <c r="C15" i="53"/>
  <c r="D15" i="53" s="1"/>
  <c r="C50" i="1"/>
  <c r="D50" i="1" s="1"/>
  <c r="L46" i="1"/>
  <c r="N46" i="52" s="1"/>
  <c r="N33" i="58"/>
  <c r="N56" i="55"/>
  <c r="N38" i="54"/>
  <c r="N23" i="54"/>
  <c r="N32" i="52"/>
  <c r="N8" i="52"/>
  <c r="C28" i="55"/>
  <c r="D28" i="55" s="1"/>
  <c r="E28" i="55" s="1"/>
  <c r="F28" i="55" s="1"/>
  <c r="G28" i="55" s="1"/>
  <c r="C46" i="55"/>
  <c r="D46" i="55" s="1"/>
  <c r="E46" i="55" s="1"/>
  <c r="F46" i="55" s="1"/>
  <c r="H46" i="55"/>
  <c r="H51" i="55"/>
  <c r="J51" i="55" s="1"/>
  <c r="H30" i="55"/>
  <c r="C32" i="1"/>
  <c r="D32" i="1" s="1"/>
  <c r="E32" i="1" s="1"/>
  <c r="F32" i="1" s="1"/>
  <c r="G32" i="1" s="1"/>
  <c r="L7" i="1"/>
  <c r="L29" i="1"/>
  <c r="C27" i="1"/>
  <c r="D27" i="1" s="1"/>
  <c r="C5" i="1"/>
  <c r="L34" i="1"/>
  <c r="L32" i="1"/>
  <c r="C29" i="1"/>
  <c r="D29" i="1" s="1"/>
  <c r="E29" i="1" s="1"/>
  <c r="F29" i="1" s="1"/>
  <c r="G29" i="1" s="1"/>
  <c r="L27" i="1"/>
  <c r="N27" i="52" s="1"/>
  <c r="L44" i="1"/>
  <c r="C7" i="1"/>
  <c r="D7" i="1" s="1"/>
  <c r="E7" i="1" s="1"/>
  <c r="F7" i="1" s="1"/>
  <c r="G7" i="1" s="1"/>
  <c r="C21" i="1"/>
  <c r="D21" i="1" s="1"/>
  <c r="E21" i="1" s="1"/>
  <c r="F21" i="1" s="1"/>
  <c r="G21" i="1" s="1"/>
  <c r="C33" i="1"/>
  <c r="D33" i="1" s="1"/>
  <c r="E33" i="1" s="1"/>
  <c r="F33" i="1" s="1"/>
  <c r="G33" i="1" s="1"/>
  <c r="I33" i="1" s="1"/>
  <c r="C35" i="1"/>
  <c r="D35" i="1" s="1"/>
  <c r="C15" i="1"/>
  <c r="D15" i="1" s="1"/>
  <c r="E15" i="1" s="1"/>
  <c r="F15" i="1" s="1"/>
  <c r="G15" i="1" s="1"/>
  <c r="I15" i="1" s="1"/>
  <c r="C53" i="1"/>
  <c r="D53" i="1" s="1"/>
  <c r="L53" i="1"/>
  <c r="L38" i="1"/>
  <c r="C38" i="1"/>
  <c r="D38" i="1" s="1"/>
  <c r="E38" i="1" s="1"/>
  <c r="F38" i="1" s="1"/>
  <c r="G38" i="1" s="1"/>
  <c r="C12" i="1"/>
  <c r="D12" i="1" s="1"/>
  <c r="L12" i="1"/>
  <c r="L43" i="1"/>
  <c r="C43" i="1"/>
  <c r="D43" i="1" s="1"/>
  <c r="E43" i="1" s="1"/>
  <c r="F43" i="1" s="1"/>
  <c r="G43" i="1" s="1"/>
  <c r="C55" i="1"/>
  <c r="D55" i="1" s="1"/>
  <c r="E55" i="1" s="1"/>
  <c r="F55" i="1" s="1"/>
  <c r="G55" i="1" s="1"/>
  <c r="C54" i="1"/>
  <c r="D54" i="1" s="1"/>
  <c r="L54" i="1"/>
  <c r="N54" i="52" s="1"/>
  <c r="C44" i="1"/>
  <c r="D44" i="1" s="1"/>
  <c r="E44" i="1" s="1"/>
  <c r="F44" i="1" s="1"/>
  <c r="G44" i="1" s="1"/>
  <c r="C56" i="53"/>
  <c r="D56" i="53" s="1"/>
  <c r="E56" i="53" s="1"/>
  <c r="F56" i="53" s="1"/>
  <c r="G56" i="53" s="1"/>
  <c r="C27" i="53"/>
  <c r="D27" i="53" s="1"/>
  <c r="E27" i="53" s="1"/>
  <c r="F27" i="53" s="1"/>
  <c r="G27" i="53" s="1"/>
  <c r="I27" i="53" s="1"/>
  <c r="C13" i="53"/>
  <c r="D13" i="53" s="1"/>
  <c r="E13" i="53" s="1"/>
  <c r="F13" i="53" s="1"/>
  <c r="C52" i="53"/>
  <c r="D52" i="53" s="1"/>
  <c r="E52" i="53" s="1"/>
  <c r="F52" i="53" s="1"/>
  <c r="G52" i="53" s="1"/>
  <c r="C29" i="53"/>
  <c r="D29" i="53" s="1"/>
  <c r="E29" i="53" s="1"/>
  <c r="F29" i="53" s="1"/>
  <c r="G29" i="53" s="1"/>
  <c r="C12" i="53"/>
  <c r="D12" i="53" s="1"/>
  <c r="E12" i="53" s="1"/>
  <c r="F12" i="53" s="1"/>
  <c r="G12" i="53" s="1"/>
  <c r="I12" i="53" s="1"/>
  <c r="C22" i="53"/>
  <c r="D22" i="53" s="1"/>
  <c r="E22" i="53" s="1"/>
  <c r="F22" i="53" s="1"/>
  <c r="C23" i="53"/>
  <c r="D23" i="53" s="1"/>
  <c r="E23" i="53" s="1"/>
  <c r="F23" i="53" s="1"/>
  <c r="C55" i="53"/>
  <c r="D55" i="53" s="1"/>
  <c r="L49" i="1"/>
  <c r="J30" i="55"/>
  <c r="J26" i="57"/>
  <c r="C55" i="57"/>
  <c r="D55" i="57" s="1"/>
  <c r="E55" i="57" s="1"/>
  <c r="F55" i="57" s="1"/>
  <c r="G55" i="57" s="1"/>
  <c r="H29" i="57"/>
  <c r="J29" i="57" s="1"/>
  <c r="P29" i="57" s="1"/>
  <c r="H43" i="57"/>
  <c r="H17" i="57"/>
  <c r="H47" i="52"/>
  <c r="L7" i="52"/>
  <c r="L23" i="52"/>
  <c r="L35" i="52"/>
  <c r="N35" i="52" s="1"/>
  <c r="L11" i="52"/>
  <c r="N11" i="52" s="1"/>
  <c r="L9" i="52"/>
  <c r="N9" i="52" s="1"/>
  <c r="L36" i="52"/>
  <c r="N36" i="52" s="1"/>
  <c r="L44" i="52"/>
  <c r="L34" i="52"/>
  <c r="L50" i="52"/>
  <c r="N50" i="52" s="1"/>
  <c r="L18" i="52"/>
  <c r="N18" i="52" s="1"/>
  <c r="L28" i="52"/>
  <c r="L6" i="52"/>
  <c r="L6" i="53" s="1"/>
  <c r="N6" i="53" s="1"/>
  <c r="L14" i="52"/>
  <c r="N14" i="52" s="1"/>
  <c r="L24" i="52"/>
  <c r="N24" i="52" s="1"/>
  <c r="L13" i="52"/>
  <c r="L39" i="52"/>
  <c r="N39" i="52" s="1"/>
  <c r="L26" i="52"/>
  <c r="N26" i="52" s="1"/>
  <c r="L16" i="52"/>
  <c r="N16" i="52" s="1"/>
  <c r="L53" i="52"/>
  <c r="N53" i="52" s="1"/>
  <c r="L17" i="52"/>
  <c r="N17" i="52" s="1"/>
  <c r="L43" i="52"/>
  <c r="L38" i="52"/>
  <c r="L51" i="52"/>
  <c r="N51" i="52" s="1"/>
  <c r="L40" i="52"/>
  <c r="L47" i="52"/>
  <c r="L29" i="52"/>
  <c r="N29" i="52" s="1"/>
  <c r="C9" i="1"/>
  <c r="D9" i="1" s="1"/>
  <c r="L9" i="1"/>
  <c r="C45" i="1"/>
  <c r="D45" i="1" s="1"/>
  <c r="E45" i="1" s="1"/>
  <c r="F45" i="1" s="1"/>
  <c r="G45" i="1" s="1"/>
  <c r="I45" i="1" s="1"/>
  <c r="L45" i="1"/>
  <c r="N45" i="52" s="1"/>
  <c r="C23" i="1"/>
  <c r="D23" i="1" s="1"/>
  <c r="E23" i="1" s="1"/>
  <c r="F23" i="1" s="1"/>
  <c r="L23" i="1"/>
  <c r="C41" i="1"/>
  <c r="D41" i="1" s="1"/>
  <c r="L41" i="1"/>
  <c r="N41" i="52" s="1"/>
  <c r="C30" i="1"/>
  <c r="D30" i="1" s="1"/>
  <c r="E30" i="1" s="1"/>
  <c r="F30" i="1" s="1"/>
  <c r="L30" i="1"/>
  <c r="N30" i="52" s="1"/>
  <c r="C8" i="53"/>
  <c r="D8" i="53" s="1"/>
  <c r="E8" i="53" s="1"/>
  <c r="F8" i="53" s="1"/>
  <c r="G8" i="53" s="1"/>
  <c r="C40" i="53"/>
  <c r="D40" i="53" s="1"/>
  <c r="E40" i="53" s="1"/>
  <c r="F40" i="53" s="1"/>
  <c r="G40" i="53" s="1"/>
  <c r="C35" i="53"/>
  <c r="D35" i="53" s="1"/>
  <c r="C14" i="53"/>
  <c r="D14" i="53" s="1"/>
  <c r="E14" i="53" s="1"/>
  <c r="F14" i="53" s="1"/>
  <c r="G14" i="53" s="1"/>
  <c r="I14" i="53" s="1"/>
  <c r="C36" i="53"/>
  <c r="D36" i="53" s="1"/>
  <c r="E36" i="53" s="1"/>
  <c r="F36" i="53" s="1"/>
  <c r="G36" i="53" s="1"/>
  <c r="I36" i="53" s="1"/>
  <c r="C37" i="53"/>
  <c r="D37" i="53" s="1"/>
  <c r="E37" i="53" s="1"/>
  <c r="F37" i="53" s="1"/>
  <c r="C7" i="53"/>
  <c r="C48" i="53"/>
  <c r="D48" i="53" s="1"/>
  <c r="E48" i="53" s="1"/>
  <c r="F48" i="53" s="1"/>
  <c r="G48" i="53" s="1"/>
  <c r="C31" i="53"/>
  <c r="D31" i="53" s="1"/>
  <c r="E31" i="53" s="1"/>
  <c r="F31" i="53" s="1"/>
  <c r="G31" i="53" s="1"/>
  <c r="C10" i="53"/>
  <c r="D10" i="53" s="1"/>
  <c r="E10" i="53" s="1"/>
  <c r="F10" i="53" s="1"/>
  <c r="G10" i="53" s="1"/>
  <c r="C51" i="1"/>
  <c r="D51" i="1" s="1"/>
  <c r="E51" i="1" s="1"/>
  <c r="F51" i="1" s="1"/>
  <c r="C23" i="57"/>
  <c r="D23" i="57" s="1"/>
  <c r="C49" i="1"/>
  <c r="D49" i="1" s="1"/>
  <c r="C34" i="1"/>
  <c r="D34" i="1" s="1"/>
  <c r="E34" i="1" s="1"/>
  <c r="F34" i="1" s="1"/>
  <c r="G34" i="1" s="1"/>
  <c r="I34" i="1" s="1"/>
  <c r="I42" i="55"/>
  <c r="J39" i="57"/>
  <c r="I27" i="54"/>
  <c r="J31" i="61"/>
  <c r="N13" i="54"/>
  <c r="N37" i="54"/>
  <c r="N46" i="54"/>
  <c r="J23" i="54"/>
  <c r="P23" i="54" s="1"/>
  <c r="S23" i="54" s="1"/>
  <c r="N21" i="52"/>
  <c r="N56" i="53"/>
  <c r="N54" i="54"/>
  <c r="N11" i="55"/>
  <c r="I41" i="55"/>
  <c r="J17" i="53"/>
  <c r="J37" i="1"/>
  <c r="I56" i="55"/>
  <c r="J41" i="61"/>
  <c r="P41" i="61" s="1"/>
  <c r="J11" i="56"/>
  <c r="G25" i="57"/>
  <c r="I25" i="57" s="1"/>
  <c r="J53" i="57"/>
  <c r="P53" i="57" s="1"/>
  <c r="I40" i="53"/>
  <c r="I53" i="53"/>
  <c r="I48" i="54"/>
  <c r="G40" i="58"/>
  <c r="I40" i="58" s="1"/>
  <c r="J11" i="54"/>
  <c r="P11" i="54" s="1"/>
  <c r="P52" i="54"/>
  <c r="N52" i="55"/>
  <c r="N51" i="55"/>
  <c r="N15" i="61"/>
  <c r="N17" i="55"/>
  <c r="N46" i="58"/>
  <c r="G14" i="56"/>
  <c r="I14" i="56" s="1"/>
  <c r="J55" i="57"/>
  <c r="P55" i="57" s="1"/>
  <c r="I23" i="55"/>
  <c r="G29" i="56"/>
  <c r="I29" i="56" s="1"/>
  <c r="I44" i="54"/>
  <c r="I20" i="54"/>
  <c r="I15" i="54"/>
  <c r="J50" i="53"/>
  <c r="J51" i="58"/>
  <c r="G23" i="58"/>
  <c r="I23" i="58" s="1"/>
  <c r="G38" i="60"/>
  <c r="I38" i="60" s="1"/>
  <c r="J32" i="54"/>
  <c r="J28" i="54"/>
  <c r="P28" i="54" s="1"/>
  <c r="J42" i="60"/>
  <c r="P42" i="60" s="1"/>
  <c r="J41" i="60"/>
  <c r="C11" i="58"/>
  <c r="D11" i="58" s="1"/>
  <c r="E11" i="58" s="1"/>
  <c r="F11" i="58" s="1"/>
  <c r="D11" i="57"/>
  <c r="J34" i="55"/>
  <c r="P34" i="55" s="1"/>
  <c r="G32" i="58"/>
  <c r="I32" i="58" s="1"/>
  <c r="I12" i="54"/>
  <c r="J51" i="60"/>
  <c r="P22" i="54"/>
  <c r="N54" i="55"/>
  <c r="N30" i="60"/>
  <c r="N22" i="55"/>
  <c r="N40" i="54"/>
  <c r="N21" i="53"/>
  <c r="N27" i="54"/>
  <c r="N22" i="52"/>
  <c r="N37" i="60"/>
  <c r="N21" i="58"/>
  <c r="N12" i="52"/>
  <c r="N41" i="53"/>
  <c r="N37" i="53"/>
  <c r="N55" i="53"/>
  <c r="N55" i="54"/>
  <c r="S55" i="54" s="1"/>
  <c r="N56" i="54"/>
  <c r="N51" i="54"/>
  <c r="N22" i="54"/>
  <c r="G54" i="57"/>
  <c r="I54" i="57" s="1"/>
  <c r="G18" i="57"/>
  <c r="I18" i="57" s="1"/>
  <c r="J28" i="57"/>
  <c r="G23" i="61"/>
  <c r="I23" i="61" s="1"/>
  <c r="J43" i="54"/>
  <c r="J27" i="59"/>
  <c r="P55" i="54"/>
  <c r="N42" i="55"/>
  <c r="N56" i="57"/>
  <c r="N55" i="55"/>
  <c r="N42" i="54"/>
  <c r="N25" i="52"/>
  <c r="N22" i="60"/>
  <c r="N38" i="55"/>
  <c r="N37" i="55"/>
  <c r="N53" i="54"/>
  <c r="N33" i="52"/>
  <c r="N8" i="54"/>
  <c r="P46" i="53"/>
  <c r="P9" i="54"/>
  <c r="P38" i="59"/>
  <c r="N23" i="55"/>
  <c r="N47" i="55"/>
  <c r="N20" i="53"/>
  <c r="N19" i="54"/>
  <c r="N31" i="53"/>
  <c r="N55" i="52"/>
  <c r="N46" i="53"/>
  <c r="I23" i="54"/>
  <c r="P41" i="54"/>
  <c r="P40" i="54"/>
  <c r="N33" i="54"/>
  <c r="P53" i="54"/>
  <c r="P43" i="54"/>
  <c r="P33" i="53"/>
  <c r="N53" i="55"/>
  <c r="N17" i="53"/>
  <c r="N15" i="52"/>
  <c r="N33" i="53"/>
  <c r="P31" i="54"/>
  <c r="P49" i="54"/>
  <c r="N43" i="55"/>
  <c r="N49" i="55"/>
  <c r="N48" i="55"/>
  <c r="N39" i="54"/>
  <c r="N32" i="54"/>
  <c r="N48" i="53"/>
  <c r="N21" i="54"/>
  <c r="N10" i="52"/>
  <c r="P19" i="59"/>
  <c r="P34" i="57"/>
  <c r="N52" i="61"/>
  <c r="N8" i="53"/>
  <c r="N49" i="54"/>
  <c r="N52" i="54"/>
  <c r="S52" i="54" s="1"/>
  <c r="P39" i="57"/>
  <c r="N20" i="54"/>
  <c r="N45" i="53"/>
  <c r="N11" i="54"/>
  <c r="N54" i="53"/>
  <c r="N48" i="52"/>
  <c r="P51" i="55"/>
  <c r="N31" i="54"/>
  <c r="N35" i="55"/>
  <c r="N21" i="55"/>
  <c r="N27" i="53"/>
  <c r="N42" i="53"/>
  <c r="P56" i="58"/>
  <c r="N42" i="52"/>
  <c r="N29" i="55"/>
  <c r="N43" i="54"/>
  <c r="S43" i="54" s="1"/>
  <c r="N45" i="54"/>
  <c r="N14" i="54"/>
  <c r="N19" i="52"/>
  <c r="P21" i="54"/>
  <c r="N16" i="54"/>
  <c r="N56" i="56"/>
  <c r="N21" i="59"/>
  <c r="N9" i="54"/>
  <c r="N34" i="54"/>
  <c r="N41" i="54"/>
  <c r="N37" i="52"/>
  <c r="N31" i="52"/>
  <c r="P20" i="54"/>
  <c r="P14" i="54"/>
  <c r="N22" i="53"/>
  <c r="N39" i="55"/>
  <c r="N32" i="55"/>
  <c r="N38" i="57"/>
  <c r="N14" i="53"/>
  <c r="N21" i="60"/>
  <c r="N28" i="54"/>
  <c r="N29" i="54"/>
  <c r="J46" i="57"/>
  <c r="P46" i="57" s="1"/>
  <c r="J33" i="57"/>
  <c r="P33" i="57" s="1"/>
  <c r="I13" i="55"/>
  <c r="G29" i="57"/>
  <c r="I29" i="57" s="1"/>
  <c r="I41" i="54"/>
  <c r="J18" i="58"/>
  <c r="G26" i="57"/>
  <c r="I26" i="57" s="1"/>
  <c r="J14" i="57"/>
  <c r="P14" i="57" s="1"/>
  <c r="I32" i="1"/>
  <c r="J47" i="58"/>
  <c r="J23" i="58"/>
  <c r="G14" i="57"/>
  <c r="I14" i="57" s="1"/>
  <c r="J17" i="60"/>
  <c r="P17" i="60" s="1"/>
  <c r="J29" i="56"/>
  <c r="P29" i="56" s="1"/>
  <c r="J23" i="59"/>
  <c r="J48" i="59"/>
  <c r="P48" i="59" s="1"/>
  <c r="I45" i="59"/>
  <c r="J52" i="58"/>
  <c r="P52" i="58" s="1"/>
  <c r="P39" i="54"/>
  <c r="N50" i="54"/>
  <c r="N29" i="53"/>
  <c r="N45" i="55"/>
  <c r="P48" i="57"/>
  <c r="P32" i="54"/>
  <c r="P50" i="53"/>
  <c r="P50" i="54"/>
  <c r="P16" i="53"/>
  <c r="N34" i="59"/>
  <c r="N19" i="55"/>
  <c r="P30" i="53"/>
  <c r="S30" i="53" s="1"/>
  <c r="P37" i="54"/>
  <c r="S37" i="54" s="1"/>
  <c r="N12" i="55"/>
  <c r="N28" i="55"/>
  <c r="N30" i="55"/>
  <c r="N36" i="55"/>
  <c r="P27" i="60"/>
  <c r="P26" i="54"/>
  <c r="P18" i="54"/>
  <c r="P33" i="54"/>
  <c r="P45" i="54"/>
  <c r="N26" i="55"/>
  <c r="N16" i="55"/>
  <c r="N50" i="55"/>
  <c r="N34" i="60"/>
  <c r="N20" i="55"/>
  <c r="N49" i="60"/>
  <c r="N7" i="53"/>
  <c r="N47" i="54"/>
  <c r="I35" i="57"/>
  <c r="I21" i="55"/>
  <c r="J32" i="60"/>
  <c r="J36" i="53"/>
  <c r="P36" i="53" s="1"/>
  <c r="J15" i="56"/>
  <c r="P15" i="56" s="1"/>
  <c r="J39" i="1"/>
  <c r="G28" i="57"/>
  <c r="J12" i="57"/>
  <c r="P12" i="57" s="1"/>
  <c r="I40" i="54"/>
  <c r="J16" i="61"/>
  <c r="P16" i="61" s="1"/>
  <c r="J26" i="61"/>
  <c r="P26" i="61" s="1"/>
  <c r="J14" i="1"/>
  <c r="G25" i="55"/>
  <c r="I25" i="55" s="1"/>
  <c r="G12" i="57"/>
  <c r="I12" i="57" s="1"/>
  <c r="J18" i="57"/>
  <c r="P18" i="57" s="1"/>
  <c r="J47" i="56"/>
  <c r="P47" i="56" s="1"/>
  <c r="G16" i="55"/>
  <c r="I16" i="55" s="1"/>
  <c r="P54" i="57"/>
  <c r="P28" i="59"/>
  <c r="P13" i="58"/>
  <c r="P48" i="58"/>
  <c r="N51" i="57"/>
  <c r="N17" i="58"/>
  <c r="N17" i="61"/>
  <c r="N27" i="61"/>
  <c r="N48" i="61"/>
  <c r="N43" i="61"/>
  <c r="N48" i="60"/>
  <c r="N48" i="57"/>
  <c r="N35" i="59"/>
  <c r="S44" i="54"/>
  <c r="P23" i="61"/>
  <c r="P24" i="58"/>
  <c r="N35" i="61"/>
  <c r="N16" i="60"/>
  <c r="N18" i="57"/>
  <c r="N23" i="56"/>
  <c r="N31" i="61"/>
  <c r="N41" i="56"/>
  <c r="N19" i="59"/>
  <c r="E37" i="57"/>
  <c r="F37" i="57" s="1"/>
  <c r="G37" i="57" s="1"/>
  <c r="I37" i="57" s="1"/>
  <c r="E48" i="55"/>
  <c r="F48" i="55" s="1"/>
  <c r="J48" i="55" s="1"/>
  <c r="P48" i="55" s="1"/>
  <c r="E29" i="55"/>
  <c r="F29" i="55" s="1"/>
  <c r="G29" i="55" s="1"/>
  <c r="I29" i="55" s="1"/>
  <c r="E33" i="55"/>
  <c r="F33" i="55" s="1"/>
  <c r="G33" i="55" s="1"/>
  <c r="I33" i="55" s="1"/>
  <c r="E11" i="55"/>
  <c r="F11" i="55" s="1"/>
  <c r="G11" i="55" s="1"/>
  <c r="I11" i="55" s="1"/>
  <c r="E32" i="55"/>
  <c r="F32" i="55" s="1"/>
  <c r="G32" i="55" s="1"/>
  <c r="I32" i="55" s="1"/>
  <c r="E40" i="55"/>
  <c r="F40" i="55" s="1"/>
  <c r="J40" i="55" s="1"/>
  <c r="P40" i="55" s="1"/>
  <c r="E55" i="55"/>
  <c r="F55" i="55" s="1"/>
  <c r="G55" i="55" s="1"/>
  <c r="I55" i="55" s="1"/>
  <c r="E49" i="55"/>
  <c r="F49" i="55" s="1"/>
  <c r="J49" i="55" s="1"/>
  <c r="J25" i="61"/>
  <c r="P25" i="61" s="1"/>
  <c r="J36" i="60"/>
  <c r="I23" i="59"/>
  <c r="G44" i="55"/>
  <c r="I44" i="55" s="1"/>
  <c r="G31" i="57"/>
  <c r="I31" i="57" s="1"/>
  <c r="G41" i="57"/>
  <c r="I41" i="57" s="1"/>
  <c r="E39" i="55"/>
  <c r="F39" i="55" s="1"/>
  <c r="J39" i="55" s="1"/>
  <c r="P39" i="55" s="1"/>
  <c r="E10" i="55"/>
  <c r="F10" i="55" s="1"/>
  <c r="J10" i="55" s="1"/>
  <c r="P10" i="55" s="1"/>
  <c r="E17" i="55"/>
  <c r="F17" i="55" s="1"/>
  <c r="J17" i="55" s="1"/>
  <c r="P17" i="55" s="1"/>
  <c r="S17" i="55" s="1"/>
  <c r="S46" i="54"/>
  <c r="P53" i="55"/>
  <c r="P20" i="57"/>
  <c r="N54" i="60"/>
  <c r="P40" i="58"/>
  <c r="P31" i="61"/>
  <c r="P51" i="60"/>
  <c r="P18" i="58"/>
  <c r="N50" i="61"/>
  <c r="N44" i="60"/>
  <c r="N53" i="59"/>
  <c r="N24" i="60"/>
  <c r="P14" i="56"/>
  <c r="N44" i="57"/>
  <c r="N41" i="59"/>
  <c r="N24" i="61"/>
  <c r="N40" i="59"/>
  <c r="N19" i="60"/>
  <c r="N19" i="58"/>
  <c r="J27" i="53"/>
  <c r="P27" i="53" s="1"/>
  <c r="S27" i="53" s="1"/>
  <c r="G30" i="60"/>
  <c r="I30" i="60" s="1"/>
  <c r="J30" i="54"/>
  <c r="P30" i="54" s="1"/>
  <c r="N16" i="57"/>
  <c r="N21" i="61"/>
  <c r="N42" i="58"/>
  <c r="N39" i="57"/>
  <c r="N28" i="59"/>
  <c r="N31" i="60"/>
  <c r="N37" i="58"/>
  <c r="S39" i="57"/>
  <c r="P42" i="57"/>
  <c r="P30" i="55"/>
  <c r="P37" i="56"/>
  <c r="P19" i="57"/>
  <c r="P38" i="60"/>
  <c r="P47" i="58"/>
  <c r="N56" i="59"/>
  <c r="N32" i="60"/>
  <c r="N29" i="56"/>
  <c r="J24" i="53"/>
  <c r="P24" i="53" s="1"/>
  <c r="J10" i="53"/>
  <c r="J35" i="57"/>
  <c r="P35" i="57" s="1"/>
  <c r="J38" i="55"/>
  <c r="P38" i="55" s="1"/>
  <c r="J48" i="53"/>
  <c r="G31" i="61"/>
  <c r="I31" i="61" s="1"/>
  <c r="I16" i="53"/>
  <c r="J33" i="1"/>
  <c r="I53" i="54"/>
  <c r="I24" i="54"/>
  <c r="J42" i="54"/>
  <c r="P42" i="54" s="1"/>
  <c r="S42" i="54" s="1"/>
  <c r="G48" i="58"/>
  <c r="I48" i="58" s="1"/>
  <c r="G16" i="61"/>
  <c r="I16" i="61" s="1"/>
  <c r="J7" i="1"/>
  <c r="I38" i="1"/>
  <c r="I21" i="54"/>
  <c r="I52" i="53"/>
  <c r="N55" i="61"/>
  <c r="N35" i="57"/>
  <c r="N13" i="57"/>
  <c r="N51" i="61"/>
  <c r="N54" i="59"/>
  <c r="G25" i="61"/>
  <c r="I25" i="61" s="1"/>
  <c r="J36" i="55"/>
  <c r="P36" i="55" s="1"/>
  <c r="G17" i="60"/>
  <c r="I17" i="60" s="1"/>
  <c r="G55" i="61"/>
  <c r="I55" i="61" s="1"/>
  <c r="G44" i="61"/>
  <c r="I44" i="61" s="1"/>
  <c r="I48" i="1"/>
  <c r="J24" i="1"/>
  <c r="J23" i="53"/>
  <c r="P23" i="53" s="1"/>
  <c r="G47" i="58"/>
  <c r="I47" i="58" s="1"/>
  <c r="J34" i="54"/>
  <c r="P34" i="54" s="1"/>
  <c r="G11" i="56"/>
  <c r="I11" i="56" s="1"/>
  <c r="J27" i="54"/>
  <c r="P27" i="54" s="1"/>
  <c r="J47" i="54"/>
  <c r="P47" i="54" s="1"/>
  <c r="J34" i="53"/>
  <c r="I43" i="1"/>
  <c r="I17" i="1"/>
  <c r="I39" i="53"/>
  <c r="J24" i="54"/>
  <c r="J13" i="54"/>
  <c r="P13" i="54" s="1"/>
  <c r="J52" i="53"/>
  <c r="P52" i="53" s="1"/>
  <c r="S52" i="53" s="1"/>
  <c r="I36" i="1"/>
  <c r="I33" i="54"/>
  <c r="J56" i="54"/>
  <c r="P56" i="54" s="1"/>
  <c r="S56" i="54" s="1"/>
  <c r="G41" i="61"/>
  <c r="I41" i="61" s="1"/>
  <c r="I10" i="54"/>
  <c r="P45" i="57"/>
  <c r="P41" i="57"/>
  <c r="G28" i="56"/>
  <c r="I28" i="56" s="1"/>
  <c r="J35" i="54"/>
  <c r="P35" i="54" s="1"/>
  <c r="G41" i="60"/>
  <c r="I41" i="60" s="1"/>
  <c r="I45" i="54"/>
  <c r="I22" i="55"/>
  <c r="J54" i="55"/>
  <c r="P54" i="55" s="1"/>
  <c r="J25" i="53"/>
  <c r="I18" i="54"/>
  <c r="G36" i="60"/>
  <c r="I36" i="60" s="1"/>
  <c r="G27" i="59"/>
  <c r="I27" i="59" s="1"/>
  <c r="G32" i="61"/>
  <c r="I32" i="61" s="1"/>
  <c r="I56" i="1"/>
  <c r="I8" i="1"/>
  <c r="J17" i="54"/>
  <c r="P17" i="54" s="1"/>
  <c r="P22" i="57"/>
  <c r="N20" i="57"/>
  <c r="N50" i="57"/>
  <c r="N29" i="57"/>
  <c r="N14" i="57"/>
  <c r="N19" i="61"/>
  <c r="N11" i="56"/>
  <c r="N16" i="59"/>
  <c r="N17" i="60"/>
  <c r="N36" i="59"/>
  <c r="N31" i="58"/>
  <c r="N49" i="59"/>
  <c r="N53" i="56"/>
  <c r="N42" i="61"/>
  <c r="N34" i="57"/>
  <c r="S34" i="57" s="1"/>
  <c r="N16" i="56"/>
  <c r="N55" i="59"/>
  <c r="N26" i="61"/>
  <c r="N49" i="61"/>
  <c r="N48" i="56"/>
  <c r="N22" i="56"/>
  <c r="P30" i="60"/>
  <c r="S30" i="60" s="1"/>
  <c r="N27" i="57"/>
  <c r="N53" i="60"/>
  <c r="N19" i="56"/>
  <c r="N30" i="61"/>
  <c r="N50" i="59"/>
  <c r="N18" i="61"/>
  <c r="G56" i="54"/>
  <c r="I56" i="54" s="1"/>
  <c r="I53" i="57"/>
  <c r="J47" i="57"/>
  <c r="P47" i="57" s="1"/>
  <c r="I7" i="1"/>
  <c r="G17" i="61"/>
  <c r="I17" i="61" s="1"/>
  <c r="J51" i="53"/>
  <c r="P51" i="53" s="1"/>
  <c r="I21" i="1"/>
  <c r="I55" i="1"/>
  <c r="I14" i="55"/>
  <c r="G51" i="60"/>
  <c r="I51" i="60" s="1"/>
  <c r="G47" i="55"/>
  <c r="I47" i="55" s="1"/>
  <c r="I26" i="54"/>
  <c r="G15" i="55"/>
  <c r="I15" i="55" s="1"/>
  <c r="I14" i="1"/>
  <c r="N54" i="61"/>
  <c r="P28" i="56"/>
  <c r="P17" i="61"/>
  <c r="P35" i="55"/>
  <c r="P47" i="55"/>
  <c r="N54" i="58"/>
  <c r="N12" i="58"/>
  <c r="N21" i="57"/>
  <c r="N18" i="59"/>
  <c r="N23" i="59"/>
  <c r="N49" i="56"/>
  <c r="N20" i="56"/>
  <c r="N51" i="60"/>
  <c r="P27" i="55"/>
  <c r="P11" i="56"/>
  <c r="P15" i="60"/>
  <c r="N23" i="60"/>
  <c r="N45" i="59"/>
  <c r="N46" i="61"/>
  <c r="N40" i="60"/>
  <c r="N40" i="58"/>
  <c r="N31" i="59"/>
  <c r="N25" i="60"/>
  <c r="P23" i="59"/>
  <c r="P16" i="58"/>
  <c r="P43" i="60"/>
  <c r="P32" i="58"/>
  <c r="N49" i="58"/>
  <c r="N35" i="56"/>
  <c r="N46" i="60"/>
  <c r="N43" i="60"/>
  <c r="N34" i="61"/>
  <c r="N49" i="57"/>
  <c r="N21" i="56"/>
  <c r="N45" i="61"/>
  <c r="N24" i="57"/>
  <c r="N36" i="58"/>
  <c r="N20" i="58"/>
  <c r="N40" i="57"/>
  <c r="N42" i="56"/>
  <c r="N35" i="58"/>
  <c r="P27" i="59"/>
  <c r="P36" i="60"/>
  <c r="N30" i="56"/>
  <c r="N35" i="60"/>
  <c r="N52" i="56"/>
  <c r="N52" i="59"/>
  <c r="N48" i="59"/>
  <c r="N46" i="59"/>
  <c r="N18" i="60"/>
  <c r="N38" i="56"/>
  <c r="N34" i="58"/>
  <c r="N29" i="60"/>
  <c r="N37" i="59"/>
  <c r="N36" i="56"/>
  <c r="N16" i="58"/>
  <c r="N25" i="59"/>
  <c r="N42" i="57"/>
  <c r="N25" i="61"/>
  <c r="N39" i="56"/>
  <c r="N55" i="58"/>
  <c r="N32" i="59"/>
  <c r="P56" i="57"/>
  <c r="N19" i="57"/>
  <c r="N22" i="57"/>
  <c r="N25" i="56"/>
  <c r="N50" i="58"/>
  <c r="N20" i="59"/>
  <c r="N32" i="58"/>
  <c r="N36" i="60"/>
  <c r="N24" i="56"/>
  <c r="N25" i="55"/>
  <c r="P25" i="55"/>
  <c r="P41" i="60"/>
  <c r="P17" i="58"/>
  <c r="P49" i="55"/>
  <c r="P32" i="60"/>
  <c r="P23" i="58"/>
  <c r="N33" i="59"/>
  <c r="N48" i="58"/>
  <c r="N55" i="60"/>
  <c r="N41" i="61"/>
  <c r="N18" i="58"/>
  <c r="N56" i="58"/>
  <c r="N47" i="57"/>
  <c r="N47" i="56"/>
  <c r="L9" i="56"/>
  <c r="N9" i="56" s="1"/>
  <c r="N9" i="55"/>
  <c r="N27" i="60"/>
  <c r="S27" i="60" s="1"/>
  <c r="N13" i="58"/>
  <c r="J44" i="57"/>
  <c r="P44" i="57" s="1"/>
  <c r="I21" i="57"/>
  <c r="G18" i="58"/>
  <c r="I18" i="58" s="1"/>
  <c r="G13" i="58"/>
  <c r="I13" i="58" s="1"/>
  <c r="I33" i="53"/>
  <c r="I10" i="53"/>
  <c r="I47" i="1"/>
  <c r="G51" i="53"/>
  <c r="I51" i="53" s="1"/>
  <c r="I37" i="55"/>
  <c r="J21" i="1"/>
  <c r="J14" i="53"/>
  <c r="P14" i="53" s="1"/>
  <c r="G37" i="56"/>
  <c r="I37" i="56" s="1"/>
  <c r="I50" i="57"/>
  <c r="G15" i="60"/>
  <c r="I15" i="60" s="1"/>
  <c r="J45" i="59"/>
  <c r="P45" i="59" s="1"/>
  <c r="G35" i="54"/>
  <c r="I35" i="54" s="1"/>
  <c r="I50" i="54"/>
  <c r="G34" i="54"/>
  <c r="I34" i="54" s="1"/>
  <c r="G26" i="61"/>
  <c r="I26" i="61" s="1"/>
  <c r="J36" i="54"/>
  <c r="P36" i="54" s="1"/>
  <c r="S36" i="54" s="1"/>
  <c r="I13" i="54"/>
  <c r="I9" i="54"/>
  <c r="I44" i="1"/>
  <c r="I29" i="1"/>
  <c r="I47" i="54"/>
  <c r="N13" i="59"/>
  <c r="L13" i="60"/>
  <c r="N13" i="60" s="1"/>
  <c r="N52" i="57"/>
  <c r="N52" i="58"/>
  <c r="N26" i="58"/>
  <c r="N26" i="57"/>
  <c r="N23" i="58"/>
  <c r="N23" i="57"/>
  <c r="N12" i="56"/>
  <c r="N29" i="58"/>
  <c r="N29" i="59"/>
  <c r="N28" i="60"/>
  <c r="N28" i="61"/>
  <c r="N43" i="56"/>
  <c r="N31" i="57"/>
  <c r="N31" i="56"/>
  <c r="N25" i="57"/>
  <c r="P25" i="57"/>
  <c r="N25" i="58"/>
  <c r="N28" i="57"/>
  <c r="N28" i="58"/>
  <c r="N14" i="59"/>
  <c r="N14" i="58"/>
  <c r="N27" i="58"/>
  <c r="N27" i="59"/>
  <c r="N17" i="57"/>
  <c r="N17" i="56"/>
  <c r="N51" i="58"/>
  <c r="N51" i="59"/>
  <c r="N45" i="60"/>
  <c r="P28" i="57"/>
  <c r="P52" i="57"/>
  <c r="N45" i="57"/>
  <c r="N45" i="58"/>
  <c r="N50" i="56"/>
  <c r="N24" i="58"/>
  <c r="N24" i="59"/>
  <c r="N32" i="61"/>
  <c r="N33" i="61"/>
  <c r="N33" i="60"/>
  <c r="N14" i="60"/>
  <c r="L14" i="61"/>
  <c r="N14" i="61" s="1"/>
  <c r="N43" i="59"/>
  <c r="N40" i="55"/>
  <c r="N40" i="56"/>
  <c r="L11" i="58"/>
  <c r="N11" i="58" s="1"/>
  <c r="N11" i="57"/>
  <c r="N37" i="57"/>
  <c r="N37" i="56"/>
  <c r="N47" i="58"/>
  <c r="N47" i="59"/>
  <c r="N38" i="60"/>
  <c r="N38" i="61"/>
  <c r="N17" i="59"/>
  <c r="N26" i="56"/>
  <c r="N34" i="55"/>
  <c r="N34" i="56"/>
  <c r="P51" i="58"/>
  <c r="P27" i="58"/>
  <c r="N42" i="60"/>
  <c r="N42" i="59"/>
  <c r="N14" i="56"/>
  <c r="N14" i="55"/>
  <c r="N18" i="55"/>
  <c r="N18" i="56"/>
  <c r="N53" i="58"/>
  <c r="N53" i="57"/>
  <c r="N32" i="57"/>
  <c r="N32" i="56"/>
  <c r="N20" i="61"/>
  <c r="N20" i="60"/>
  <c r="N22" i="58"/>
  <c r="N22" i="59"/>
  <c r="N44" i="56"/>
  <c r="N15" i="60"/>
  <c r="N15" i="59"/>
  <c r="N33" i="55"/>
  <c r="N33" i="56"/>
  <c r="N41" i="58"/>
  <c r="N41" i="57"/>
  <c r="N15" i="57"/>
  <c r="N15" i="58"/>
  <c r="N55" i="57"/>
  <c r="N55" i="56"/>
  <c r="N54" i="57"/>
  <c r="N54" i="56"/>
  <c r="N40" i="61"/>
  <c r="P26" i="57"/>
  <c r="N53" i="61"/>
  <c r="N44" i="61"/>
  <c r="P43" i="55"/>
  <c r="P12" i="55"/>
  <c r="N39" i="60"/>
  <c r="N39" i="59"/>
  <c r="N10" i="56"/>
  <c r="N10" i="55"/>
  <c r="N43" i="57"/>
  <c r="N23" i="61"/>
  <c r="N46" i="57"/>
  <c r="N46" i="56"/>
  <c r="N56" i="61"/>
  <c r="N56" i="60"/>
  <c r="N47" i="60"/>
  <c r="N47" i="61"/>
  <c r="N38" i="58"/>
  <c r="N38" i="59"/>
  <c r="N26" i="60"/>
  <c r="N26" i="59"/>
  <c r="P15" i="55"/>
  <c r="N15" i="56"/>
  <c r="N12" i="57"/>
  <c r="N30" i="57"/>
  <c r="N44" i="58"/>
  <c r="N44" i="59"/>
  <c r="N16" i="61"/>
  <c r="N52" i="60"/>
  <c r="N28" i="56"/>
  <c r="N43" i="58"/>
  <c r="N30" i="58"/>
  <c r="N30" i="59"/>
  <c r="N41" i="60"/>
  <c r="N50" i="60"/>
  <c r="N27" i="55"/>
  <c r="N27" i="56"/>
  <c r="N51" i="56"/>
  <c r="P15" i="57"/>
  <c r="G51" i="58"/>
  <c r="I51" i="58" s="1"/>
  <c r="I27" i="55"/>
  <c r="G16" i="58"/>
  <c r="I16" i="58" s="1"/>
  <c r="G47" i="56"/>
  <c r="I47" i="56" s="1"/>
  <c r="J34" i="1"/>
  <c r="J25" i="54"/>
  <c r="P25" i="54" s="1"/>
  <c r="J18" i="1"/>
  <c r="G46" i="53"/>
  <c r="I46" i="53" s="1"/>
  <c r="I31" i="53"/>
  <c r="G24" i="56"/>
  <c r="I24" i="56" s="1"/>
  <c r="G20" i="57"/>
  <c r="I20" i="57" s="1"/>
  <c r="G56" i="58"/>
  <c r="I56" i="58" s="1"/>
  <c r="J12" i="53"/>
  <c r="P12" i="53" s="1"/>
  <c r="S12" i="53" s="1"/>
  <c r="I31" i="54"/>
  <c r="J45" i="55"/>
  <c r="P45" i="55" s="1"/>
  <c r="J22" i="55"/>
  <c r="P22" i="55" s="1"/>
  <c r="E48" i="61"/>
  <c r="F48" i="61" s="1"/>
  <c r="J48" i="61" s="1"/>
  <c r="P48" i="61" s="1"/>
  <c r="E24" i="61"/>
  <c r="F24" i="61" s="1"/>
  <c r="J24" i="61" s="1"/>
  <c r="P24" i="61" s="1"/>
  <c r="G22" i="60"/>
  <c r="I22" i="60" s="1"/>
  <c r="J22" i="60"/>
  <c r="P22" i="60" s="1"/>
  <c r="S22" i="60" s="1"/>
  <c r="E45" i="60"/>
  <c r="F45" i="60" s="1"/>
  <c r="J45" i="60" s="1"/>
  <c r="P45" i="60" s="1"/>
  <c r="J56" i="55"/>
  <c r="P56" i="55" s="1"/>
  <c r="S56" i="55" s="1"/>
  <c r="J31" i="55"/>
  <c r="P31" i="55" s="1"/>
  <c r="S31" i="55" s="1"/>
  <c r="J23" i="55"/>
  <c r="P23" i="55" s="1"/>
  <c r="G52" i="58"/>
  <c r="I52" i="58" s="1"/>
  <c r="J45" i="1"/>
  <c r="J38" i="54"/>
  <c r="P38" i="54" s="1"/>
  <c r="G48" i="59"/>
  <c r="I48" i="59" s="1"/>
  <c r="I14" i="54"/>
  <c r="G24" i="58"/>
  <c r="I24" i="58" s="1"/>
  <c r="E46" i="58"/>
  <c r="F46" i="58" s="1"/>
  <c r="J46" i="58" s="1"/>
  <c r="P46" i="58" s="1"/>
  <c r="J51" i="54"/>
  <c r="P51" i="54" s="1"/>
  <c r="E52" i="60"/>
  <c r="F52" i="60" s="1"/>
  <c r="J52" i="60" s="1"/>
  <c r="P52" i="60" s="1"/>
  <c r="J29" i="53"/>
  <c r="P29" i="53" s="1"/>
  <c r="I49" i="54"/>
  <c r="E36" i="61"/>
  <c r="F36" i="61" s="1"/>
  <c r="I39" i="1"/>
  <c r="E27" i="61"/>
  <c r="F27" i="61" s="1"/>
  <c r="J27" i="61" s="1"/>
  <c r="P27" i="61" s="1"/>
  <c r="E45" i="61"/>
  <c r="F45" i="61" s="1"/>
  <c r="E30" i="61"/>
  <c r="F30" i="61" s="1"/>
  <c r="J30" i="61" s="1"/>
  <c r="P30" i="61" s="1"/>
  <c r="E42" i="61"/>
  <c r="F42" i="61" s="1"/>
  <c r="J42" i="61" s="1"/>
  <c r="P42" i="61" s="1"/>
  <c r="E43" i="61"/>
  <c r="F43" i="61" s="1"/>
  <c r="E46" i="61"/>
  <c r="F46" i="61" s="1"/>
  <c r="J46" i="61" s="1"/>
  <c r="P46" i="61" s="1"/>
  <c r="E34" i="61"/>
  <c r="F34" i="61" s="1"/>
  <c r="J34" i="61" s="1"/>
  <c r="P34" i="61" s="1"/>
  <c r="E19" i="61"/>
  <c r="F19" i="61" s="1"/>
  <c r="J19" i="61" s="1"/>
  <c r="P19" i="61" s="1"/>
  <c r="D14" i="60"/>
  <c r="C14" i="61"/>
  <c r="D14" i="61" s="1"/>
  <c r="E35" i="60"/>
  <c r="F35" i="60" s="1"/>
  <c r="J35" i="60" s="1"/>
  <c r="P35" i="60" s="1"/>
  <c r="E19" i="60"/>
  <c r="F19" i="60" s="1"/>
  <c r="J19" i="60" s="1"/>
  <c r="P19" i="60" s="1"/>
  <c r="E28" i="60"/>
  <c r="F28" i="60" s="1"/>
  <c r="J28" i="60" s="1"/>
  <c r="P28" i="60" s="1"/>
  <c r="E39" i="60"/>
  <c r="F39" i="60" s="1"/>
  <c r="J39" i="60" s="1"/>
  <c r="P39" i="60" s="1"/>
  <c r="E46" i="60"/>
  <c r="F46" i="60" s="1"/>
  <c r="J46" i="60" s="1"/>
  <c r="P46" i="60" s="1"/>
  <c r="E49" i="60"/>
  <c r="F49" i="60" s="1"/>
  <c r="J49" i="60" s="1"/>
  <c r="P49" i="60" s="1"/>
  <c r="E26" i="60"/>
  <c r="F26" i="60" s="1"/>
  <c r="J26" i="60" s="1"/>
  <c r="P26" i="60" s="1"/>
  <c r="E25" i="59"/>
  <c r="F25" i="59" s="1"/>
  <c r="J25" i="59" s="1"/>
  <c r="P25" i="59" s="1"/>
  <c r="E52" i="59"/>
  <c r="F52" i="59" s="1"/>
  <c r="J52" i="59" s="1"/>
  <c r="P52" i="59" s="1"/>
  <c r="E15" i="59"/>
  <c r="F15" i="59" s="1"/>
  <c r="J15" i="59" s="1"/>
  <c r="P15" i="59" s="1"/>
  <c r="E24" i="59"/>
  <c r="F24" i="59" s="1"/>
  <c r="J24" i="59" s="1"/>
  <c r="P24" i="59" s="1"/>
  <c r="E47" i="59"/>
  <c r="F47" i="59" s="1"/>
  <c r="J47" i="59" s="1"/>
  <c r="P47" i="59" s="1"/>
  <c r="E17" i="59"/>
  <c r="F17" i="59" s="1"/>
  <c r="J17" i="59" s="1"/>
  <c r="P17" i="59" s="1"/>
  <c r="E54" i="59"/>
  <c r="F54" i="59" s="1"/>
  <c r="J54" i="59" s="1"/>
  <c r="P54" i="59" s="1"/>
  <c r="E43" i="59"/>
  <c r="F43" i="59" s="1"/>
  <c r="J43" i="59" s="1"/>
  <c r="P43" i="59" s="1"/>
  <c r="E53" i="58"/>
  <c r="F53" i="58" s="1"/>
  <c r="J53" i="58" s="1"/>
  <c r="P53" i="58" s="1"/>
  <c r="E38" i="58"/>
  <c r="F38" i="58" s="1"/>
  <c r="J38" i="58" s="1"/>
  <c r="P38" i="58" s="1"/>
  <c r="E19" i="58"/>
  <c r="F19" i="58" s="1"/>
  <c r="J19" i="58" s="1"/>
  <c r="P19" i="58" s="1"/>
  <c r="E31" i="58"/>
  <c r="F31" i="58" s="1"/>
  <c r="J31" i="58" s="1"/>
  <c r="P31" i="58" s="1"/>
  <c r="E34" i="58"/>
  <c r="F34" i="58" s="1"/>
  <c r="J34" i="58" s="1"/>
  <c r="P34" i="58" s="1"/>
  <c r="E20" i="56"/>
  <c r="F20" i="56" s="1"/>
  <c r="J20" i="56" s="1"/>
  <c r="P20" i="56" s="1"/>
  <c r="E26" i="56"/>
  <c r="F26" i="56" s="1"/>
  <c r="J26" i="56" s="1"/>
  <c r="P26" i="56" s="1"/>
  <c r="E17" i="56"/>
  <c r="F17" i="56" s="1"/>
  <c r="J17" i="56" s="1"/>
  <c r="P17" i="56" s="1"/>
  <c r="E22" i="56"/>
  <c r="F22" i="56" s="1"/>
  <c r="J22" i="56" s="1"/>
  <c r="P22" i="56" s="1"/>
  <c r="C10" i="57"/>
  <c r="D10" i="57" s="1"/>
  <c r="D10" i="56"/>
  <c r="E42" i="56"/>
  <c r="F42" i="56" s="1"/>
  <c r="J42" i="56" s="1"/>
  <c r="P42" i="56" s="1"/>
  <c r="E30" i="56"/>
  <c r="F30" i="56" s="1"/>
  <c r="J30" i="56" s="1"/>
  <c r="P30" i="56" s="1"/>
  <c r="E53" i="56"/>
  <c r="F53" i="56" s="1"/>
  <c r="J53" i="56" s="1"/>
  <c r="P53" i="56" s="1"/>
  <c r="E32" i="56"/>
  <c r="F32" i="56" s="1"/>
  <c r="J32" i="56" s="1"/>
  <c r="P32" i="56" s="1"/>
  <c r="E14" i="52"/>
  <c r="F14" i="52" s="1"/>
  <c r="J14" i="52" s="1"/>
  <c r="P14" i="52" s="1"/>
  <c r="S14" i="52" s="1"/>
  <c r="I37" i="1"/>
  <c r="J40" i="1"/>
  <c r="J55" i="1"/>
  <c r="I30" i="54"/>
  <c r="I31" i="1"/>
  <c r="I17" i="54"/>
  <c r="E35" i="61"/>
  <c r="F35" i="61" s="1"/>
  <c r="E56" i="61"/>
  <c r="F56" i="61" s="1"/>
  <c r="G33" i="60"/>
  <c r="I33" i="60" s="1"/>
  <c r="J33" i="60"/>
  <c r="P33" i="60" s="1"/>
  <c r="E25" i="60"/>
  <c r="F25" i="60" s="1"/>
  <c r="J25" i="60" s="1"/>
  <c r="P25" i="60" s="1"/>
  <c r="E41" i="59"/>
  <c r="F41" i="59" s="1"/>
  <c r="J41" i="59" s="1"/>
  <c r="P41" i="59" s="1"/>
  <c r="E30" i="59"/>
  <c r="F30" i="59" s="1"/>
  <c r="J30" i="59" s="1"/>
  <c r="P30" i="59" s="1"/>
  <c r="E16" i="59"/>
  <c r="F16" i="59" s="1"/>
  <c r="J16" i="59" s="1"/>
  <c r="P16" i="59" s="1"/>
  <c r="E39" i="58"/>
  <c r="F39" i="58" s="1"/>
  <c r="J39" i="58" s="1"/>
  <c r="P39" i="58" s="1"/>
  <c r="S39" i="58" s="1"/>
  <c r="E49" i="58"/>
  <c r="F49" i="58" s="1"/>
  <c r="J49" i="58" s="1"/>
  <c r="P49" i="58" s="1"/>
  <c r="E41" i="56"/>
  <c r="F41" i="56" s="1"/>
  <c r="J41" i="56" s="1"/>
  <c r="P41" i="56" s="1"/>
  <c r="E44" i="56"/>
  <c r="F44" i="56" s="1"/>
  <c r="J44" i="56" s="1"/>
  <c r="P44" i="56" s="1"/>
  <c r="E54" i="56"/>
  <c r="F54" i="56" s="1"/>
  <c r="J54" i="56" s="1"/>
  <c r="P54" i="56" s="1"/>
  <c r="E25" i="56"/>
  <c r="F25" i="56" s="1"/>
  <c r="J25" i="56" s="1"/>
  <c r="P25" i="56" s="1"/>
  <c r="E36" i="56"/>
  <c r="F36" i="56" s="1"/>
  <c r="J36" i="56" s="1"/>
  <c r="P36" i="56" s="1"/>
  <c r="E51" i="56"/>
  <c r="F51" i="56" s="1"/>
  <c r="J51" i="56" s="1"/>
  <c r="P51" i="56" s="1"/>
  <c r="E23" i="56"/>
  <c r="F23" i="56" s="1"/>
  <c r="J23" i="56" s="1"/>
  <c r="P23" i="56" s="1"/>
  <c r="E23" i="52"/>
  <c r="F23" i="52" s="1"/>
  <c r="G23" i="52" s="1"/>
  <c r="I23" i="52" s="1"/>
  <c r="J20" i="1"/>
  <c r="I20" i="1"/>
  <c r="E55" i="59"/>
  <c r="F55" i="59" s="1"/>
  <c r="J55" i="59" s="1"/>
  <c r="P55" i="59" s="1"/>
  <c r="E54" i="61"/>
  <c r="F54" i="61" s="1"/>
  <c r="J54" i="61" s="1"/>
  <c r="P54" i="61" s="1"/>
  <c r="E40" i="61"/>
  <c r="F40" i="61" s="1"/>
  <c r="J40" i="61" s="1"/>
  <c r="P40" i="61" s="1"/>
  <c r="E47" i="61"/>
  <c r="F47" i="61" s="1"/>
  <c r="J47" i="61" s="1"/>
  <c r="P47" i="61" s="1"/>
  <c r="E49" i="61"/>
  <c r="F49" i="61" s="1"/>
  <c r="J49" i="61" s="1"/>
  <c r="P49" i="61" s="1"/>
  <c r="E54" i="60"/>
  <c r="F54" i="60" s="1"/>
  <c r="J54" i="60" s="1"/>
  <c r="P54" i="60" s="1"/>
  <c r="E29" i="60"/>
  <c r="F29" i="60" s="1"/>
  <c r="J29" i="60" s="1"/>
  <c r="P29" i="60" s="1"/>
  <c r="E31" i="60"/>
  <c r="F31" i="60" s="1"/>
  <c r="J31" i="60" s="1"/>
  <c r="P31" i="60" s="1"/>
  <c r="E51" i="59"/>
  <c r="F51" i="59" s="1"/>
  <c r="J51" i="59" s="1"/>
  <c r="P51" i="59" s="1"/>
  <c r="E21" i="59"/>
  <c r="F21" i="59" s="1"/>
  <c r="J21" i="59" s="1"/>
  <c r="P21" i="59" s="1"/>
  <c r="S21" i="59" s="1"/>
  <c r="E30" i="58"/>
  <c r="F30" i="58" s="1"/>
  <c r="J30" i="58" s="1"/>
  <c r="P30" i="58" s="1"/>
  <c r="E55" i="58"/>
  <c r="F55" i="58" s="1"/>
  <c r="J55" i="58" s="1"/>
  <c r="P55" i="58" s="1"/>
  <c r="G31" i="56"/>
  <c r="I31" i="56" s="1"/>
  <c r="J31" i="56"/>
  <c r="P31" i="56" s="1"/>
  <c r="J26" i="55"/>
  <c r="P26" i="55" s="1"/>
  <c r="G27" i="58"/>
  <c r="I27" i="58" s="1"/>
  <c r="I19" i="57"/>
  <c r="J13" i="55"/>
  <c r="P13" i="55" s="1"/>
  <c r="I28" i="55"/>
  <c r="I37" i="54"/>
  <c r="J37" i="53"/>
  <c r="P37" i="53" s="1"/>
  <c r="I19" i="53"/>
  <c r="I39" i="54"/>
  <c r="E50" i="61"/>
  <c r="F50" i="61" s="1"/>
  <c r="J50" i="61" s="1"/>
  <c r="P50" i="61" s="1"/>
  <c r="E22" i="61"/>
  <c r="F22" i="61" s="1"/>
  <c r="J22" i="61" s="1"/>
  <c r="P22" i="61" s="1"/>
  <c r="S22" i="61" s="1"/>
  <c r="E29" i="61"/>
  <c r="F29" i="61" s="1"/>
  <c r="J29" i="61" s="1"/>
  <c r="P29" i="61" s="1"/>
  <c r="E52" i="61"/>
  <c r="F52" i="61" s="1"/>
  <c r="J52" i="61" s="1"/>
  <c r="P52" i="61" s="1"/>
  <c r="E39" i="61"/>
  <c r="F39" i="61" s="1"/>
  <c r="J39" i="61" s="1"/>
  <c r="P39" i="61" s="1"/>
  <c r="S39" i="61" s="1"/>
  <c r="E33" i="61"/>
  <c r="F33" i="61" s="1"/>
  <c r="J33" i="61" s="1"/>
  <c r="P33" i="61" s="1"/>
  <c r="E21" i="60"/>
  <c r="F21" i="60" s="1"/>
  <c r="J21" i="60" s="1"/>
  <c r="P21" i="60" s="1"/>
  <c r="S21" i="60" s="1"/>
  <c r="E37" i="60"/>
  <c r="F37" i="60" s="1"/>
  <c r="J37" i="60" s="1"/>
  <c r="P37" i="60" s="1"/>
  <c r="S37" i="60" s="1"/>
  <c r="E34" i="60"/>
  <c r="F34" i="60" s="1"/>
  <c r="J34" i="60" s="1"/>
  <c r="P34" i="60" s="1"/>
  <c r="E50" i="60"/>
  <c r="F50" i="60" s="1"/>
  <c r="J50" i="60" s="1"/>
  <c r="P50" i="60" s="1"/>
  <c r="E18" i="60"/>
  <c r="F18" i="60" s="1"/>
  <c r="J18" i="60" s="1"/>
  <c r="P18" i="60" s="1"/>
  <c r="E20" i="60"/>
  <c r="F20" i="60" s="1"/>
  <c r="J20" i="60" s="1"/>
  <c r="P20" i="60" s="1"/>
  <c r="E29" i="59"/>
  <c r="F29" i="59" s="1"/>
  <c r="J29" i="59" s="1"/>
  <c r="P29" i="59" s="1"/>
  <c r="E18" i="59"/>
  <c r="F18" i="59" s="1"/>
  <c r="J18" i="59" s="1"/>
  <c r="P18" i="59" s="1"/>
  <c r="E44" i="59"/>
  <c r="F44" i="59" s="1"/>
  <c r="J44" i="59" s="1"/>
  <c r="P44" i="59" s="1"/>
  <c r="E20" i="59"/>
  <c r="F20" i="59" s="1"/>
  <c r="J20" i="59" s="1"/>
  <c r="P20" i="59" s="1"/>
  <c r="E53" i="59"/>
  <c r="F53" i="59" s="1"/>
  <c r="J53" i="59" s="1"/>
  <c r="P53" i="59" s="1"/>
  <c r="E34" i="59"/>
  <c r="F34" i="59" s="1"/>
  <c r="J34" i="59" s="1"/>
  <c r="P34" i="59" s="1"/>
  <c r="E33" i="59"/>
  <c r="F33" i="59" s="1"/>
  <c r="J33" i="59" s="1"/>
  <c r="P33" i="59" s="1"/>
  <c r="E32" i="59"/>
  <c r="F32" i="59" s="1"/>
  <c r="J32" i="59" s="1"/>
  <c r="P32" i="59" s="1"/>
  <c r="E40" i="59"/>
  <c r="F40" i="59" s="1"/>
  <c r="J40" i="59" s="1"/>
  <c r="P40" i="59" s="1"/>
  <c r="E20" i="58"/>
  <c r="F20" i="58" s="1"/>
  <c r="J20" i="58" s="1"/>
  <c r="P20" i="58" s="1"/>
  <c r="E45" i="58"/>
  <c r="F45" i="58" s="1"/>
  <c r="J45" i="58" s="1"/>
  <c r="P45" i="58" s="1"/>
  <c r="E43" i="58"/>
  <c r="F43" i="58" s="1"/>
  <c r="J43" i="58" s="1"/>
  <c r="P43" i="58" s="1"/>
  <c r="E41" i="58"/>
  <c r="F41" i="58" s="1"/>
  <c r="J41" i="58" s="1"/>
  <c r="P41" i="58" s="1"/>
  <c r="E37" i="58"/>
  <c r="F37" i="58" s="1"/>
  <c r="J37" i="58" s="1"/>
  <c r="P37" i="58" s="1"/>
  <c r="S37" i="58" s="1"/>
  <c r="G44" i="58"/>
  <c r="I44" i="58" s="1"/>
  <c r="J44" i="58"/>
  <c r="P44" i="58" s="1"/>
  <c r="G36" i="58"/>
  <c r="I36" i="58" s="1"/>
  <c r="J36" i="58"/>
  <c r="P36" i="58" s="1"/>
  <c r="E50" i="58"/>
  <c r="F50" i="58" s="1"/>
  <c r="J50" i="58" s="1"/>
  <c r="P50" i="58" s="1"/>
  <c r="E33" i="58"/>
  <c r="F33" i="58" s="1"/>
  <c r="J33" i="58" s="1"/>
  <c r="P33" i="58" s="1"/>
  <c r="S33" i="58" s="1"/>
  <c r="E22" i="58"/>
  <c r="F22" i="58" s="1"/>
  <c r="J22" i="58" s="1"/>
  <c r="P22" i="58" s="1"/>
  <c r="E28" i="58"/>
  <c r="F28" i="58" s="1"/>
  <c r="J28" i="58" s="1"/>
  <c r="P28" i="58" s="1"/>
  <c r="E43" i="56"/>
  <c r="F43" i="56" s="1"/>
  <c r="J43" i="56" s="1"/>
  <c r="P43" i="56" s="1"/>
  <c r="E39" i="56"/>
  <c r="F39" i="56" s="1"/>
  <c r="J39" i="56" s="1"/>
  <c r="P39" i="56" s="1"/>
  <c r="E33" i="56"/>
  <c r="F33" i="56" s="1"/>
  <c r="J33" i="56" s="1"/>
  <c r="P33" i="56" s="1"/>
  <c r="E34" i="56"/>
  <c r="F34" i="56" s="1"/>
  <c r="J34" i="56" s="1"/>
  <c r="P34" i="56" s="1"/>
  <c r="E50" i="56"/>
  <c r="F50" i="56" s="1"/>
  <c r="J50" i="56" s="1"/>
  <c r="P50" i="56" s="1"/>
  <c r="E40" i="56"/>
  <c r="F40" i="56" s="1"/>
  <c r="J40" i="56" s="1"/>
  <c r="P40" i="56" s="1"/>
  <c r="E13" i="56"/>
  <c r="F13" i="56" s="1"/>
  <c r="J13" i="56" s="1"/>
  <c r="P13" i="56" s="1"/>
  <c r="E12" i="56"/>
  <c r="F12" i="56" s="1"/>
  <c r="J12" i="56" s="1"/>
  <c r="P12" i="56" s="1"/>
  <c r="E46" i="56"/>
  <c r="F46" i="56" s="1"/>
  <c r="J46" i="56" s="1"/>
  <c r="P46" i="56" s="1"/>
  <c r="E24" i="52"/>
  <c r="F24" i="52" s="1"/>
  <c r="G24" i="52" s="1"/>
  <c r="I24" i="52" s="1"/>
  <c r="I6" i="1"/>
  <c r="I52" i="54"/>
  <c r="E37" i="61"/>
  <c r="F37" i="61" s="1"/>
  <c r="J37" i="61" s="1"/>
  <c r="P37" i="61" s="1"/>
  <c r="E40" i="60"/>
  <c r="F40" i="60" s="1"/>
  <c r="J40" i="60" s="1"/>
  <c r="P40" i="60" s="1"/>
  <c r="E16" i="60"/>
  <c r="F16" i="60" s="1"/>
  <c r="J16" i="60" s="1"/>
  <c r="P16" i="60" s="1"/>
  <c r="E48" i="60"/>
  <c r="F48" i="60" s="1"/>
  <c r="J48" i="60" s="1"/>
  <c r="P48" i="60" s="1"/>
  <c r="E50" i="59"/>
  <c r="F50" i="59" s="1"/>
  <c r="J50" i="59" s="1"/>
  <c r="P50" i="59" s="1"/>
  <c r="E35" i="59"/>
  <c r="F35" i="59" s="1"/>
  <c r="J35" i="59" s="1"/>
  <c r="P35" i="59" s="1"/>
  <c r="E14" i="59"/>
  <c r="F14" i="59" s="1"/>
  <c r="J14" i="59" s="1"/>
  <c r="P14" i="59" s="1"/>
  <c r="E26" i="58"/>
  <c r="F26" i="58" s="1"/>
  <c r="J26" i="58" s="1"/>
  <c r="P26" i="58" s="1"/>
  <c r="E29" i="58"/>
  <c r="F29" i="58" s="1"/>
  <c r="J29" i="58" s="1"/>
  <c r="P29" i="58" s="1"/>
  <c r="E56" i="56"/>
  <c r="F56" i="56" s="1"/>
  <c r="J56" i="56" s="1"/>
  <c r="P56" i="56" s="1"/>
  <c r="E52" i="56"/>
  <c r="F52" i="56" s="1"/>
  <c r="J52" i="56" s="1"/>
  <c r="P52" i="56" s="1"/>
  <c r="S52" i="56" s="1"/>
  <c r="J55" i="55"/>
  <c r="P55" i="55" s="1"/>
  <c r="J32" i="57"/>
  <c r="P32" i="57" s="1"/>
  <c r="I22" i="54"/>
  <c r="J13" i="57"/>
  <c r="P13" i="57" s="1"/>
  <c r="J22" i="59"/>
  <c r="P22" i="59" s="1"/>
  <c r="G25" i="53"/>
  <c r="I25" i="53" s="1"/>
  <c r="I46" i="54"/>
  <c r="G38" i="53"/>
  <c r="G27" i="60"/>
  <c r="I27" i="60" s="1"/>
  <c r="G43" i="60"/>
  <c r="I43" i="60" s="1"/>
  <c r="G30" i="55"/>
  <c r="I30" i="55" s="1"/>
  <c r="I24" i="57"/>
  <c r="I30" i="57"/>
  <c r="I38" i="54"/>
  <c r="J15" i="1"/>
  <c r="I46" i="1"/>
  <c r="E38" i="61"/>
  <c r="F38" i="61" s="1"/>
  <c r="J38" i="61" s="1"/>
  <c r="P38" i="61" s="1"/>
  <c r="E51" i="61"/>
  <c r="F51" i="61" s="1"/>
  <c r="J51" i="61" s="1"/>
  <c r="P51" i="61" s="1"/>
  <c r="E18" i="61"/>
  <c r="F18" i="61" s="1"/>
  <c r="J18" i="61" s="1"/>
  <c r="P18" i="61" s="1"/>
  <c r="E15" i="61"/>
  <c r="F15" i="61" s="1"/>
  <c r="J15" i="61" s="1"/>
  <c r="P15" i="61" s="1"/>
  <c r="E28" i="61"/>
  <c r="F28" i="61" s="1"/>
  <c r="J28" i="61" s="1"/>
  <c r="P28" i="61" s="1"/>
  <c r="E20" i="61"/>
  <c r="F20" i="61" s="1"/>
  <c r="J20" i="61" s="1"/>
  <c r="P20" i="61" s="1"/>
  <c r="E53" i="61"/>
  <c r="F53" i="61" s="1"/>
  <c r="J53" i="61" s="1"/>
  <c r="P53" i="61" s="1"/>
  <c r="E23" i="60"/>
  <c r="F23" i="60" s="1"/>
  <c r="J23" i="60" s="1"/>
  <c r="P23" i="60" s="1"/>
  <c r="E24" i="60"/>
  <c r="F24" i="60" s="1"/>
  <c r="J24" i="60" s="1"/>
  <c r="P24" i="60" s="1"/>
  <c r="S24" i="60" s="1"/>
  <c r="E53" i="60"/>
  <c r="F53" i="60" s="1"/>
  <c r="J53" i="60" s="1"/>
  <c r="P53" i="60" s="1"/>
  <c r="E55" i="60"/>
  <c r="F55" i="60" s="1"/>
  <c r="J55" i="60" s="1"/>
  <c r="P55" i="60" s="1"/>
  <c r="E47" i="60"/>
  <c r="F47" i="60" s="1"/>
  <c r="G47" i="60" s="1"/>
  <c r="I47" i="60" s="1"/>
  <c r="E56" i="60"/>
  <c r="F56" i="60" s="1"/>
  <c r="J56" i="60" s="1"/>
  <c r="P56" i="60" s="1"/>
  <c r="E36" i="59"/>
  <c r="F36" i="59" s="1"/>
  <c r="J36" i="59" s="1"/>
  <c r="P36" i="59" s="1"/>
  <c r="E56" i="59"/>
  <c r="F56" i="59" s="1"/>
  <c r="J56" i="59" s="1"/>
  <c r="P56" i="59" s="1"/>
  <c r="E39" i="59"/>
  <c r="F39" i="59" s="1"/>
  <c r="J39" i="59" s="1"/>
  <c r="P39" i="59" s="1"/>
  <c r="E26" i="59"/>
  <c r="F26" i="59" s="1"/>
  <c r="J26" i="59" s="1"/>
  <c r="P26" i="59" s="1"/>
  <c r="D13" i="59"/>
  <c r="C13" i="60"/>
  <c r="D13" i="60" s="1"/>
  <c r="E42" i="59"/>
  <c r="F42" i="59" s="1"/>
  <c r="J42" i="59" s="1"/>
  <c r="P42" i="59" s="1"/>
  <c r="E46" i="59"/>
  <c r="F46" i="59" s="1"/>
  <c r="J46" i="59" s="1"/>
  <c r="P46" i="59" s="1"/>
  <c r="E37" i="59"/>
  <c r="F37" i="59" s="1"/>
  <c r="J37" i="59" s="1"/>
  <c r="P37" i="59" s="1"/>
  <c r="S37" i="59" s="1"/>
  <c r="E31" i="59"/>
  <c r="F31" i="59" s="1"/>
  <c r="J31" i="59" s="1"/>
  <c r="P31" i="59" s="1"/>
  <c r="S31" i="59" s="1"/>
  <c r="E49" i="59"/>
  <c r="F49" i="59" s="1"/>
  <c r="J49" i="59" s="1"/>
  <c r="P49" i="59" s="1"/>
  <c r="E42" i="58"/>
  <c r="F42" i="58" s="1"/>
  <c r="J42" i="58" s="1"/>
  <c r="P42" i="58" s="1"/>
  <c r="E25" i="58"/>
  <c r="F25" i="58" s="1"/>
  <c r="J25" i="58" s="1"/>
  <c r="P25" i="58" s="1"/>
  <c r="E21" i="58"/>
  <c r="F21" i="58" s="1"/>
  <c r="J21" i="58" s="1"/>
  <c r="P21" i="58" s="1"/>
  <c r="D12" i="58"/>
  <c r="C12" i="59"/>
  <c r="D12" i="59" s="1"/>
  <c r="E14" i="58"/>
  <c r="F14" i="58" s="1"/>
  <c r="J14" i="58" s="1"/>
  <c r="P14" i="58" s="1"/>
  <c r="E35" i="58"/>
  <c r="F35" i="58" s="1"/>
  <c r="J35" i="58" s="1"/>
  <c r="P35" i="58" s="1"/>
  <c r="E15" i="58"/>
  <c r="F15" i="58" s="1"/>
  <c r="J15" i="58" s="1"/>
  <c r="P15" i="58" s="1"/>
  <c r="E54" i="58"/>
  <c r="F54" i="58" s="1"/>
  <c r="J54" i="58" s="1"/>
  <c r="P54" i="58" s="1"/>
  <c r="E48" i="56"/>
  <c r="F48" i="56" s="1"/>
  <c r="J48" i="56" s="1"/>
  <c r="P48" i="56" s="1"/>
  <c r="E38" i="56"/>
  <c r="F38" i="56" s="1"/>
  <c r="J38" i="56" s="1"/>
  <c r="P38" i="56" s="1"/>
  <c r="E18" i="56"/>
  <c r="F18" i="56" s="1"/>
  <c r="J18" i="56" s="1"/>
  <c r="P18" i="56" s="1"/>
  <c r="E45" i="56"/>
  <c r="F45" i="56" s="1"/>
  <c r="J45" i="56" s="1"/>
  <c r="P45" i="56" s="1"/>
  <c r="S45" i="56" s="1"/>
  <c r="E49" i="56"/>
  <c r="F49" i="56" s="1"/>
  <c r="J49" i="56" s="1"/>
  <c r="P49" i="56" s="1"/>
  <c r="E19" i="56"/>
  <c r="F19" i="56" s="1"/>
  <c r="J19" i="56" s="1"/>
  <c r="P19" i="56" s="1"/>
  <c r="E35" i="56"/>
  <c r="F35" i="56" s="1"/>
  <c r="J35" i="56" s="1"/>
  <c r="P35" i="56" s="1"/>
  <c r="E16" i="56"/>
  <c r="F16" i="56" s="1"/>
  <c r="J16" i="56" s="1"/>
  <c r="P16" i="56" s="1"/>
  <c r="E21" i="56"/>
  <c r="F21" i="56" s="1"/>
  <c r="J21" i="56" s="1"/>
  <c r="P21" i="56" s="1"/>
  <c r="E55" i="56"/>
  <c r="F55" i="56" s="1"/>
  <c r="J55" i="56" s="1"/>
  <c r="P55" i="56" s="1"/>
  <c r="I56" i="53"/>
  <c r="J56" i="53"/>
  <c r="P56" i="53" s="1"/>
  <c r="E33" i="52"/>
  <c r="F33" i="52" s="1"/>
  <c r="G33" i="52" s="1"/>
  <c r="I33" i="52" s="1"/>
  <c r="I30" i="53"/>
  <c r="I55" i="54"/>
  <c r="I40" i="1"/>
  <c r="E27" i="56"/>
  <c r="F27" i="56" s="1"/>
  <c r="J27" i="56" s="1"/>
  <c r="P27" i="56" s="1"/>
  <c r="I43" i="54"/>
  <c r="I8" i="53"/>
  <c r="J14" i="55"/>
  <c r="P14" i="55" s="1"/>
  <c r="J42" i="55"/>
  <c r="P42" i="55" s="1"/>
  <c r="J44" i="55"/>
  <c r="P44" i="55" s="1"/>
  <c r="S44" i="55" s="1"/>
  <c r="I44" i="57"/>
  <c r="I33" i="57"/>
  <c r="I42" i="57"/>
  <c r="I43" i="55"/>
  <c r="I52" i="57"/>
  <c r="I48" i="57"/>
  <c r="J52" i="55"/>
  <c r="P52" i="55" s="1"/>
  <c r="J50" i="55"/>
  <c r="P50" i="55" s="1"/>
  <c r="G34" i="57"/>
  <c r="I34" i="57" s="1"/>
  <c r="G15" i="56"/>
  <c r="I15" i="56" s="1"/>
  <c r="G32" i="60"/>
  <c r="I32" i="60" s="1"/>
  <c r="G42" i="60"/>
  <c r="I42" i="60" s="1"/>
  <c r="G23" i="53"/>
  <c r="I23" i="53" s="1"/>
  <c r="J11" i="58"/>
  <c r="G37" i="53"/>
  <c r="I37" i="53" s="1"/>
  <c r="I47" i="57"/>
  <c r="G11" i="58"/>
  <c r="I11" i="58" s="1"/>
  <c r="G38" i="59"/>
  <c r="I38" i="59" s="1"/>
  <c r="J28" i="55"/>
  <c r="P28" i="55" s="1"/>
  <c r="J16" i="55"/>
  <c r="P16" i="55" s="1"/>
  <c r="S16" i="55" s="1"/>
  <c r="I34" i="55"/>
  <c r="I36" i="55"/>
  <c r="I38" i="55"/>
  <c r="I20" i="55"/>
  <c r="J21" i="55"/>
  <c r="P21" i="55" s="1"/>
  <c r="J30" i="57"/>
  <c r="P30" i="57" s="1"/>
  <c r="I54" i="55"/>
  <c r="I55" i="57"/>
  <c r="J49" i="57"/>
  <c r="P49" i="57" s="1"/>
  <c r="J41" i="55"/>
  <c r="P41" i="55" s="1"/>
  <c r="S41" i="55" s="1"/>
  <c r="J21" i="57"/>
  <c r="P21" i="57" s="1"/>
  <c r="J31" i="57"/>
  <c r="P31" i="57" s="1"/>
  <c r="J16" i="57"/>
  <c r="P16" i="57" s="1"/>
  <c r="J20" i="55"/>
  <c r="P20" i="55" s="1"/>
  <c r="I40" i="57"/>
  <c r="I51" i="57"/>
  <c r="J38" i="57"/>
  <c r="P38" i="57" s="1"/>
  <c r="J50" i="57"/>
  <c r="P50" i="57" s="1"/>
  <c r="I56" i="57"/>
  <c r="G21" i="61"/>
  <c r="I21" i="61" s="1"/>
  <c r="I28" i="57"/>
  <c r="J27" i="57"/>
  <c r="P27" i="57" s="1"/>
  <c r="I27" i="57"/>
  <c r="J36" i="57"/>
  <c r="P36" i="57" s="1"/>
  <c r="S36" i="57" s="1"/>
  <c r="I36" i="57"/>
  <c r="J37" i="55"/>
  <c r="P37" i="55" s="1"/>
  <c r="I45" i="55"/>
  <c r="I46" i="57"/>
  <c r="I52" i="55"/>
  <c r="I50" i="55"/>
  <c r="J24" i="57"/>
  <c r="P24" i="57" s="1"/>
  <c r="J40" i="57"/>
  <c r="P40" i="57" s="1"/>
  <c r="J51" i="57"/>
  <c r="P51" i="57" s="1"/>
  <c r="G38" i="57"/>
  <c r="I38" i="57" s="1"/>
  <c r="G42" i="54"/>
  <c r="I42" i="54" s="1"/>
  <c r="N18" i="54"/>
  <c r="N18" i="53"/>
  <c r="E52" i="52"/>
  <c r="F52" i="52" s="1"/>
  <c r="J52" i="52" s="1"/>
  <c r="P52" i="52" s="1"/>
  <c r="S52" i="52" s="1"/>
  <c r="E10" i="52"/>
  <c r="F10" i="52" s="1"/>
  <c r="J10" i="52" s="1"/>
  <c r="P10" i="52" s="1"/>
  <c r="E15" i="52"/>
  <c r="F15" i="52" s="1"/>
  <c r="J15" i="52" s="1"/>
  <c r="P15" i="52" s="1"/>
  <c r="S15" i="52" s="1"/>
  <c r="E44" i="52"/>
  <c r="F44" i="52" s="1"/>
  <c r="J44" i="52" s="1"/>
  <c r="P44" i="52" s="1"/>
  <c r="E42" i="52"/>
  <c r="F42" i="52" s="1"/>
  <c r="J42" i="52" s="1"/>
  <c r="P42" i="52" s="1"/>
  <c r="E21" i="52"/>
  <c r="F21" i="52" s="1"/>
  <c r="J21" i="52" s="1"/>
  <c r="P21" i="52" s="1"/>
  <c r="S21" i="52" s="1"/>
  <c r="E41" i="52"/>
  <c r="F41" i="52" s="1"/>
  <c r="J41" i="52" s="1"/>
  <c r="P41" i="52" s="1"/>
  <c r="S41" i="52" s="1"/>
  <c r="E54" i="52"/>
  <c r="F54" i="52" s="1"/>
  <c r="J54" i="52" s="1"/>
  <c r="P54" i="52" s="1"/>
  <c r="S54" i="52" s="1"/>
  <c r="E37" i="52"/>
  <c r="F37" i="52" s="1"/>
  <c r="J37" i="52" s="1"/>
  <c r="P37" i="52" s="1"/>
  <c r="E25" i="52"/>
  <c r="F25" i="52" s="1"/>
  <c r="J25" i="52" s="1"/>
  <c r="P25" i="52" s="1"/>
  <c r="C6" i="53"/>
  <c r="D6" i="53" s="1"/>
  <c r="D6" i="52"/>
  <c r="E13" i="52"/>
  <c r="F13" i="52" s="1"/>
  <c r="J13" i="52" s="1"/>
  <c r="P13" i="52" s="1"/>
  <c r="E40" i="52"/>
  <c r="F40" i="52" s="1"/>
  <c r="J40" i="52" s="1"/>
  <c r="P40" i="52" s="1"/>
  <c r="S40" i="52" s="1"/>
  <c r="N13" i="55"/>
  <c r="N13" i="56"/>
  <c r="C9" i="56"/>
  <c r="D9" i="56" s="1"/>
  <c r="D9" i="55"/>
  <c r="G19" i="59"/>
  <c r="I19" i="59" s="1"/>
  <c r="I9" i="52"/>
  <c r="J23" i="52"/>
  <c r="P23" i="52" s="1"/>
  <c r="E44" i="60"/>
  <c r="F44" i="60" s="1"/>
  <c r="J44" i="60" s="1"/>
  <c r="P44" i="60" s="1"/>
  <c r="E12" i="52"/>
  <c r="F12" i="52" s="1"/>
  <c r="J12" i="52" s="1"/>
  <c r="P12" i="52" s="1"/>
  <c r="E17" i="52"/>
  <c r="F17" i="52" s="1"/>
  <c r="J17" i="52" s="1"/>
  <c r="P17" i="52" s="1"/>
  <c r="E27" i="52"/>
  <c r="F27" i="52" s="1"/>
  <c r="J27" i="52" s="1"/>
  <c r="P27" i="52" s="1"/>
  <c r="E28" i="52"/>
  <c r="F28" i="52" s="1"/>
  <c r="J28" i="52" s="1"/>
  <c r="P28" i="52" s="1"/>
  <c r="E35" i="52"/>
  <c r="F35" i="52" s="1"/>
  <c r="J35" i="52" s="1"/>
  <c r="P35" i="52" s="1"/>
  <c r="E31" i="52"/>
  <c r="F31" i="52" s="1"/>
  <c r="J31" i="52" s="1"/>
  <c r="P31" i="52" s="1"/>
  <c r="E20" i="52"/>
  <c r="F20" i="52" s="1"/>
  <c r="J20" i="52" s="1"/>
  <c r="P20" i="52" s="1"/>
  <c r="E26" i="52"/>
  <c r="F26" i="52" s="1"/>
  <c r="J26" i="52" s="1"/>
  <c r="P26" i="52" s="1"/>
  <c r="S26" i="52" s="1"/>
  <c r="E43" i="52"/>
  <c r="F43" i="52" s="1"/>
  <c r="J43" i="52" s="1"/>
  <c r="P43" i="52" s="1"/>
  <c r="E19" i="55"/>
  <c r="F19" i="55" s="1"/>
  <c r="J19" i="55" s="1"/>
  <c r="P19" i="55" s="1"/>
  <c r="E45" i="52"/>
  <c r="F45" i="52" s="1"/>
  <c r="J45" i="52" s="1"/>
  <c r="P45" i="52" s="1"/>
  <c r="S45" i="52" s="1"/>
  <c r="E18" i="52"/>
  <c r="F18" i="52" s="1"/>
  <c r="J18" i="52" s="1"/>
  <c r="P18" i="52" s="1"/>
  <c r="S18" i="52" s="1"/>
  <c r="E8" i="52"/>
  <c r="F8" i="52" s="1"/>
  <c r="J8" i="52" s="1"/>
  <c r="P8" i="52" s="1"/>
  <c r="S8" i="52" s="1"/>
  <c r="E7" i="52"/>
  <c r="F7" i="52" s="1"/>
  <c r="J7" i="52" s="1"/>
  <c r="P7" i="52" s="1"/>
  <c r="E49" i="52"/>
  <c r="F49" i="52" s="1"/>
  <c r="J49" i="52" s="1"/>
  <c r="P49" i="52" s="1"/>
  <c r="E11" i="52"/>
  <c r="F11" i="52" s="1"/>
  <c r="J11" i="52" s="1"/>
  <c r="P11" i="52" s="1"/>
  <c r="S11" i="52" s="1"/>
  <c r="E47" i="52"/>
  <c r="F47" i="52" s="1"/>
  <c r="J47" i="52" s="1"/>
  <c r="P47" i="52" s="1"/>
  <c r="E48" i="52"/>
  <c r="F48" i="52" s="1"/>
  <c r="J48" i="52" s="1"/>
  <c r="P48" i="52" s="1"/>
  <c r="E50" i="52"/>
  <c r="F50" i="52" s="1"/>
  <c r="J50" i="52" s="1"/>
  <c r="P50" i="52" s="1"/>
  <c r="S50" i="52" s="1"/>
  <c r="E51" i="52"/>
  <c r="F51" i="52" s="1"/>
  <c r="J51" i="52" s="1"/>
  <c r="P51" i="52" s="1"/>
  <c r="E24" i="55"/>
  <c r="F24" i="55" s="1"/>
  <c r="J24" i="55" s="1"/>
  <c r="P24" i="55" s="1"/>
  <c r="G28" i="59"/>
  <c r="I28" i="59" s="1"/>
  <c r="G26" i="55"/>
  <c r="I26" i="55" s="1"/>
  <c r="J47" i="60"/>
  <c r="P47" i="60" s="1"/>
  <c r="E22" i="52"/>
  <c r="F22" i="52" s="1"/>
  <c r="J22" i="52" s="1"/>
  <c r="P22" i="52" s="1"/>
  <c r="E36" i="52"/>
  <c r="F36" i="52" s="1"/>
  <c r="J36" i="52" s="1"/>
  <c r="P36" i="52" s="1"/>
  <c r="S36" i="52" s="1"/>
  <c r="E55" i="52"/>
  <c r="F55" i="52" s="1"/>
  <c r="J55" i="52" s="1"/>
  <c r="P55" i="52" s="1"/>
  <c r="E38" i="52"/>
  <c r="F38" i="52" s="1"/>
  <c r="J38" i="52" s="1"/>
  <c r="P38" i="52" s="1"/>
  <c r="E46" i="52"/>
  <c r="F46" i="52" s="1"/>
  <c r="J46" i="52" s="1"/>
  <c r="P46" i="52" s="1"/>
  <c r="S46" i="52" s="1"/>
  <c r="E30" i="52"/>
  <c r="F30" i="52" s="1"/>
  <c r="J30" i="52" s="1"/>
  <c r="P30" i="52" s="1"/>
  <c r="S30" i="52" s="1"/>
  <c r="E56" i="52"/>
  <c r="F56" i="52" s="1"/>
  <c r="J56" i="52" s="1"/>
  <c r="P56" i="52" s="1"/>
  <c r="S56" i="52" s="1"/>
  <c r="E19" i="52"/>
  <c r="F19" i="52" s="1"/>
  <c r="J19" i="52" s="1"/>
  <c r="P19" i="52" s="1"/>
  <c r="E16" i="52"/>
  <c r="F16" i="52" s="1"/>
  <c r="J16" i="52" s="1"/>
  <c r="P16" i="52" s="1"/>
  <c r="S16" i="52" s="1"/>
  <c r="E32" i="52"/>
  <c r="F32" i="52" s="1"/>
  <c r="J32" i="52" s="1"/>
  <c r="P32" i="52" s="1"/>
  <c r="S32" i="52" s="1"/>
  <c r="E53" i="52"/>
  <c r="F53" i="52" s="1"/>
  <c r="J53" i="52" s="1"/>
  <c r="P53" i="52" s="1"/>
  <c r="S53" i="52" s="1"/>
  <c r="E29" i="52"/>
  <c r="F29" i="52" s="1"/>
  <c r="J29" i="52" s="1"/>
  <c r="P29" i="52" s="1"/>
  <c r="S29" i="52" s="1"/>
  <c r="E39" i="52"/>
  <c r="F39" i="52" s="1"/>
  <c r="J39" i="52" s="1"/>
  <c r="P39" i="52" s="1"/>
  <c r="E34" i="52"/>
  <c r="F34" i="52" s="1"/>
  <c r="J34" i="52" s="1"/>
  <c r="P34" i="52" s="1"/>
  <c r="E18" i="55"/>
  <c r="F18" i="55" s="1"/>
  <c r="J18" i="55" s="1"/>
  <c r="P18" i="55" s="1"/>
  <c r="S51" i="52" l="1"/>
  <c r="N19" i="53"/>
  <c r="P19" i="53"/>
  <c r="S49" i="52"/>
  <c r="S20" i="52"/>
  <c r="S27" i="52"/>
  <c r="S15" i="61"/>
  <c r="I38" i="53"/>
  <c r="G51" i="1"/>
  <c r="I51" i="1" s="1"/>
  <c r="J51" i="1"/>
  <c r="C7" i="54"/>
  <c r="D7" i="54" s="1"/>
  <c r="E7" i="54" s="1"/>
  <c r="F7" i="54" s="1"/>
  <c r="D7" i="53"/>
  <c r="E35" i="53"/>
  <c r="F35" i="53" s="1"/>
  <c r="J35" i="53" s="1"/>
  <c r="P35" i="53" s="1"/>
  <c r="S35" i="53" s="1"/>
  <c r="G30" i="1"/>
  <c r="I30" i="1" s="1"/>
  <c r="J30" i="1"/>
  <c r="G23" i="1"/>
  <c r="I23" i="1" s="1"/>
  <c r="J23" i="1"/>
  <c r="E9" i="1"/>
  <c r="F9" i="1" s="1"/>
  <c r="J9" i="1" s="1"/>
  <c r="N44" i="52"/>
  <c r="S44" i="52" s="1"/>
  <c r="N44" i="53"/>
  <c r="J17" i="57"/>
  <c r="P17" i="57" s="1"/>
  <c r="I17" i="57"/>
  <c r="E50" i="1"/>
  <c r="F50" i="1" s="1"/>
  <c r="J50" i="1" s="1"/>
  <c r="E54" i="53"/>
  <c r="F54" i="53" s="1"/>
  <c r="J54" i="53" s="1"/>
  <c r="P54" i="53" s="1"/>
  <c r="S54" i="53" s="1"/>
  <c r="G43" i="53"/>
  <c r="I43" i="53" s="1"/>
  <c r="J43" i="53"/>
  <c r="P43" i="53" s="1"/>
  <c r="G42" i="1"/>
  <c r="I42" i="1" s="1"/>
  <c r="J42" i="1"/>
  <c r="E16" i="1"/>
  <c r="F16" i="1" s="1"/>
  <c r="J16" i="1" s="1"/>
  <c r="G22" i="1"/>
  <c r="I22" i="1" s="1"/>
  <c r="J22" i="1"/>
  <c r="G19" i="1"/>
  <c r="I19" i="1" s="1"/>
  <c r="J19" i="1"/>
  <c r="G13" i="1"/>
  <c r="I13" i="1" s="1"/>
  <c r="J13" i="1"/>
  <c r="P44" i="61"/>
  <c r="N25" i="54"/>
  <c r="N25" i="53"/>
  <c r="N10" i="54"/>
  <c r="S10" i="54" s="1"/>
  <c r="N10" i="53"/>
  <c r="N35" i="53"/>
  <c r="N35" i="54"/>
  <c r="E9" i="53"/>
  <c r="F9" i="53" s="1"/>
  <c r="J9" i="53" s="1"/>
  <c r="P9" i="53" s="1"/>
  <c r="G9" i="53"/>
  <c r="I9" i="53" s="1"/>
  <c r="E11" i="53"/>
  <c r="F11" i="53" s="1"/>
  <c r="J11" i="53" s="1"/>
  <c r="P11" i="53" s="1"/>
  <c r="G11" i="53"/>
  <c r="I11" i="53" s="1"/>
  <c r="E49" i="53"/>
  <c r="F49" i="53" s="1"/>
  <c r="J49" i="53" s="1"/>
  <c r="P49" i="53" s="1"/>
  <c r="S49" i="53" s="1"/>
  <c r="G49" i="53"/>
  <c r="I49" i="53" s="1"/>
  <c r="E54" i="54"/>
  <c r="F54" i="54" s="1"/>
  <c r="J54" i="54" s="1"/>
  <c r="P54" i="54" s="1"/>
  <c r="G54" i="54"/>
  <c r="I54" i="54" s="1"/>
  <c r="E8" i="55"/>
  <c r="F8" i="55" s="1"/>
  <c r="J8" i="55" s="1"/>
  <c r="G8" i="55"/>
  <c r="I8" i="55" s="1"/>
  <c r="N24" i="54"/>
  <c r="N24" i="55"/>
  <c r="N15" i="54"/>
  <c r="N15" i="55"/>
  <c r="S38" i="53"/>
  <c r="E21" i="53"/>
  <c r="F21" i="53" s="1"/>
  <c r="J21" i="53" s="1"/>
  <c r="P21" i="53" s="1"/>
  <c r="S21" i="53" s="1"/>
  <c r="G21" i="53"/>
  <c r="I21" i="53" s="1"/>
  <c r="S17" i="52"/>
  <c r="J47" i="53"/>
  <c r="P47" i="53" s="1"/>
  <c r="J26" i="53"/>
  <c r="P26" i="53" s="1"/>
  <c r="J52" i="1"/>
  <c r="N26" i="53"/>
  <c r="N26" i="54"/>
  <c r="S28" i="52"/>
  <c r="S39" i="52"/>
  <c r="S35" i="52"/>
  <c r="S50" i="53"/>
  <c r="S54" i="54"/>
  <c r="G22" i="53"/>
  <c r="I22" i="53" s="1"/>
  <c r="J22" i="53"/>
  <c r="P22" i="53" s="1"/>
  <c r="G13" i="53"/>
  <c r="I13" i="53" s="1"/>
  <c r="J13" i="53"/>
  <c r="P13" i="53" s="1"/>
  <c r="E35" i="1"/>
  <c r="F35" i="1" s="1"/>
  <c r="J35" i="1" s="1"/>
  <c r="J43" i="61"/>
  <c r="P43" i="61" s="1"/>
  <c r="S43" i="61" s="1"/>
  <c r="S26" i="54"/>
  <c r="S33" i="57"/>
  <c r="E23" i="57"/>
  <c r="F23" i="57" s="1"/>
  <c r="J23" i="57" s="1"/>
  <c r="P23" i="57" s="1"/>
  <c r="N34" i="52"/>
  <c r="S34" i="52" s="1"/>
  <c r="E32" i="53"/>
  <c r="F32" i="53" s="1"/>
  <c r="J32" i="53" s="1"/>
  <c r="P32" i="53" s="1"/>
  <c r="S32" i="53" s="1"/>
  <c r="G32" i="53"/>
  <c r="I32" i="53" s="1"/>
  <c r="E42" i="53"/>
  <c r="F42" i="53" s="1"/>
  <c r="J42" i="53" s="1"/>
  <c r="P42" i="53" s="1"/>
  <c r="G42" i="53"/>
  <c r="I42" i="53" s="1"/>
  <c r="E26" i="1"/>
  <c r="F26" i="1" s="1"/>
  <c r="J26" i="1" s="1"/>
  <c r="G26" i="1"/>
  <c r="I26" i="1" s="1"/>
  <c r="E10" i="1"/>
  <c r="F10" i="1" s="1"/>
  <c r="J10" i="1" s="1"/>
  <c r="G10" i="1"/>
  <c r="I10" i="1" s="1"/>
  <c r="I51" i="55"/>
  <c r="J39" i="53"/>
  <c r="P39" i="53" s="1"/>
  <c r="S39" i="53" s="1"/>
  <c r="N6" i="52"/>
  <c r="N47" i="53"/>
  <c r="N13" i="52"/>
  <c r="S13" i="52" s="1"/>
  <c r="N36" i="53"/>
  <c r="S36" i="53" s="1"/>
  <c r="E41" i="53"/>
  <c r="F41" i="53" s="1"/>
  <c r="J41" i="53" s="1"/>
  <c r="P41" i="53" s="1"/>
  <c r="S41" i="53" s="1"/>
  <c r="E28" i="53"/>
  <c r="F28" i="53" s="1"/>
  <c r="J28" i="53" s="1"/>
  <c r="P28" i="53" s="1"/>
  <c r="G28" i="53"/>
  <c r="I28" i="53" s="1"/>
  <c r="E18" i="53"/>
  <c r="F18" i="53" s="1"/>
  <c r="J18" i="53" s="1"/>
  <c r="P18" i="53" s="1"/>
  <c r="E8" i="54"/>
  <c r="F8" i="54" s="1"/>
  <c r="J8" i="54" s="1"/>
  <c r="P8" i="54" s="1"/>
  <c r="G8" i="54"/>
  <c r="E19" i="54"/>
  <c r="F19" i="54" s="1"/>
  <c r="J19" i="54" s="1"/>
  <c r="P19" i="54" s="1"/>
  <c r="S19" i="54" s="1"/>
  <c r="E29" i="54"/>
  <c r="F29" i="54" s="1"/>
  <c r="J29" i="54" s="1"/>
  <c r="P29" i="54" s="1"/>
  <c r="G29" i="54"/>
  <c r="I29" i="54" s="1"/>
  <c r="P53" i="53"/>
  <c r="J15" i="54"/>
  <c r="P15" i="54" s="1"/>
  <c r="S15" i="54" s="1"/>
  <c r="J43" i="57"/>
  <c r="P43" i="57" s="1"/>
  <c r="J29" i="1"/>
  <c r="J56" i="61"/>
  <c r="P56" i="61" s="1"/>
  <c r="S38" i="54"/>
  <c r="S23" i="55"/>
  <c r="S13" i="54"/>
  <c r="S55" i="61"/>
  <c r="P48" i="53"/>
  <c r="P10" i="53"/>
  <c r="S19" i="59"/>
  <c r="S16" i="53"/>
  <c r="P17" i="53"/>
  <c r="N38" i="52"/>
  <c r="S38" i="52" s="1"/>
  <c r="N23" i="52"/>
  <c r="S23" i="52" s="1"/>
  <c r="E54" i="1"/>
  <c r="F54" i="1" s="1"/>
  <c r="J54" i="1" s="1"/>
  <c r="G54" i="1"/>
  <c r="I54" i="1" s="1"/>
  <c r="D5" i="1"/>
  <c r="C5" i="52"/>
  <c r="D5" i="52" s="1"/>
  <c r="G46" i="55"/>
  <c r="I46" i="55" s="1"/>
  <c r="J46" i="55"/>
  <c r="P46" i="55" s="1"/>
  <c r="S46" i="55" s="1"/>
  <c r="E15" i="53"/>
  <c r="F15" i="53" s="1"/>
  <c r="J15" i="53" s="1"/>
  <c r="P15" i="53" s="1"/>
  <c r="S15" i="53" s="1"/>
  <c r="E45" i="53"/>
  <c r="F45" i="53" s="1"/>
  <c r="J45" i="53" s="1"/>
  <c r="P45" i="53" s="1"/>
  <c r="E25" i="1"/>
  <c r="F25" i="1" s="1"/>
  <c r="J25" i="1" s="1"/>
  <c r="J17" i="1"/>
  <c r="J31" i="53"/>
  <c r="P31" i="53" s="1"/>
  <c r="J38" i="1"/>
  <c r="N38" i="53"/>
  <c r="N51" i="53"/>
  <c r="S51" i="53" s="1"/>
  <c r="N28" i="52"/>
  <c r="N28" i="53"/>
  <c r="N40" i="53"/>
  <c r="N11" i="53"/>
  <c r="N24" i="53"/>
  <c r="N9" i="53"/>
  <c r="N30" i="54"/>
  <c r="S30" i="54" s="1"/>
  <c r="J35" i="61"/>
  <c r="P35" i="61" s="1"/>
  <c r="J45" i="61"/>
  <c r="P45" i="61" s="1"/>
  <c r="J36" i="61"/>
  <c r="P36" i="61" s="1"/>
  <c r="S36" i="61" s="1"/>
  <c r="P25" i="53"/>
  <c r="P24" i="54"/>
  <c r="P34" i="53"/>
  <c r="S34" i="53" s="1"/>
  <c r="S34" i="54"/>
  <c r="S24" i="53"/>
  <c r="S42" i="53"/>
  <c r="E49" i="1"/>
  <c r="F49" i="1" s="1"/>
  <c r="J49" i="1" s="1"/>
  <c r="G49" i="1"/>
  <c r="I49" i="1" s="1"/>
  <c r="E41" i="1"/>
  <c r="F41" i="1" s="1"/>
  <c r="J41" i="1" s="1"/>
  <c r="N47" i="52"/>
  <c r="S47" i="52" s="1"/>
  <c r="N43" i="52"/>
  <c r="S43" i="52" s="1"/>
  <c r="N7" i="52"/>
  <c r="S7" i="52" s="1"/>
  <c r="E55" i="53"/>
  <c r="F55" i="53" s="1"/>
  <c r="J55" i="53" s="1"/>
  <c r="P55" i="53" s="1"/>
  <c r="E12" i="1"/>
  <c r="F12" i="1" s="1"/>
  <c r="J12" i="1" s="1"/>
  <c r="E53" i="1"/>
  <c r="F53" i="1" s="1"/>
  <c r="J53" i="1" s="1"/>
  <c r="E27" i="1"/>
  <c r="F27" i="1" s="1"/>
  <c r="J27" i="1" s="1"/>
  <c r="E20" i="53"/>
  <c r="F20" i="53" s="1"/>
  <c r="J20" i="53" s="1"/>
  <c r="P20" i="53" s="1"/>
  <c r="E11" i="1"/>
  <c r="F11" i="1" s="1"/>
  <c r="J11" i="1" s="1"/>
  <c r="J43" i="1"/>
  <c r="J32" i="1"/>
  <c r="J8" i="53"/>
  <c r="P8" i="53" s="1"/>
  <c r="S8" i="53" s="1"/>
  <c r="E28" i="1"/>
  <c r="F28" i="1" s="1"/>
  <c r="J28" i="1" s="1"/>
  <c r="G28" i="1"/>
  <c r="I28" i="1" s="1"/>
  <c r="N50" i="53"/>
  <c r="N23" i="53"/>
  <c r="S23" i="53" s="1"/>
  <c r="N39" i="53"/>
  <c r="N13" i="53"/>
  <c r="E44" i="53"/>
  <c r="F44" i="53" s="1"/>
  <c r="J44" i="53" s="1"/>
  <c r="P44" i="53" s="1"/>
  <c r="G44" i="53"/>
  <c r="I44" i="53" s="1"/>
  <c r="E16" i="54"/>
  <c r="F16" i="54" s="1"/>
  <c r="J16" i="54" s="1"/>
  <c r="P16" i="54" s="1"/>
  <c r="G16" i="54"/>
  <c r="I16" i="54" s="1"/>
  <c r="N53" i="53"/>
  <c r="S53" i="53" s="1"/>
  <c r="N43" i="53"/>
  <c r="J40" i="53"/>
  <c r="P40" i="53" s="1"/>
  <c r="I43" i="57"/>
  <c r="S52" i="55"/>
  <c r="S56" i="53"/>
  <c r="S27" i="54"/>
  <c r="S22" i="54"/>
  <c r="S42" i="55"/>
  <c r="S46" i="58"/>
  <c r="S55" i="52"/>
  <c r="S37" i="53"/>
  <c r="S38" i="55"/>
  <c r="S38" i="57"/>
  <c r="S28" i="60"/>
  <c r="S35" i="54"/>
  <c r="S17" i="53"/>
  <c r="S34" i="60"/>
  <c r="S48" i="59"/>
  <c r="S19" i="53"/>
  <c r="S12" i="57"/>
  <c r="S32" i="61"/>
  <c r="S47" i="54"/>
  <c r="S51" i="55"/>
  <c r="S21" i="58"/>
  <c r="S53" i="56"/>
  <c r="S17" i="54"/>
  <c r="S32" i="54"/>
  <c r="S9" i="54"/>
  <c r="S16" i="54"/>
  <c r="S31" i="53"/>
  <c r="S46" i="53"/>
  <c r="S43" i="55"/>
  <c r="S56" i="57"/>
  <c r="S25" i="53"/>
  <c r="S24" i="54"/>
  <c r="S22" i="52"/>
  <c r="S37" i="55"/>
  <c r="S22" i="55"/>
  <c r="S55" i="57"/>
  <c r="S47" i="55"/>
  <c r="E11" i="57"/>
  <c r="F11" i="57" s="1"/>
  <c r="J11" i="57" s="1"/>
  <c r="P11" i="57" s="1"/>
  <c r="S11" i="57" s="1"/>
  <c r="S49" i="54"/>
  <c r="S51" i="54"/>
  <c r="J37" i="57"/>
  <c r="P37" i="57" s="1"/>
  <c r="S37" i="57" s="1"/>
  <c r="S28" i="54"/>
  <c r="S17" i="61"/>
  <c r="S54" i="55"/>
  <c r="S53" i="55"/>
  <c r="S39" i="54"/>
  <c r="S12" i="52"/>
  <c r="S18" i="54"/>
  <c r="S48" i="60"/>
  <c r="S55" i="53"/>
  <c r="S45" i="57"/>
  <c r="S56" i="58"/>
  <c r="S20" i="53"/>
  <c r="S40" i="54"/>
  <c r="S52" i="58"/>
  <c r="S41" i="54"/>
  <c r="J29" i="55"/>
  <c r="P29" i="55" s="1"/>
  <c r="S29" i="55" s="1"/>
  <c r="S29" i="54"/>
  <c r="S50" i="54"/>
  <c r="S55" i="55"/>
  <c r="S38" i="59"/>
  <c r="S22" i="53"/>
  <c r="S49" i="55"/>
  <c r="S31" i="54"/>
  <c r="S48" i="52"/>
  <c r="S25" i="52"/>
  <c r="S10" i="52"/>
  <c r="S50" i="58"/>
  <c r="S44" i="59"/>
  <c r="S29" i="61"/>
  <c r="S45" i="53"/>
  <c r="S36" i="55"/>
  <c r="S53" i="54"/>
  <c r="S37" i="52"/>
  <c r="S35" i="55"/>
  <c r="S8" i="54"/>
  <c r="S33" i="53"/>
  <c r="J33" i="55"/>
  <c r="P33" i="55" s="1"/>
  <c r="S33" i="55" s="1"/>
  <c r="S56" i="59"/>
  <c r="S45" i="59"/>
  <c r="S11" i="54"/>
  <c r="S21" i="54"/>
  <c r="S29" i="56"/>
  <c r="S33" i="54"/>
  <c r="S20" i="54"/>
  <c r="S21" i="55"/>
  <c r="S52" i="61"/>
  <c r="S47" i="59"/>
  <c r="S48" i="53"/>
  <c r="S48" i="55"/>
  <c r="S19" i="52"/>
  <c r="S45" i="58"/>
  <c r="S18" i="60"/>
  <c r="S42" i="56"/>
  <c r="S44" i="61"/>
  <c r="S42" i="58"/>
  <c r="S56" i="56"/>
  <c r="S17" i="59"/>
  <c r="S15" i="56"/>
  <c r="S37" i="56"/>
  <c r="S18" i="57"/>
  <c r="S48" i="57"/>
  <c r="S14" i="54"/>
  <c r="S20" i="55"/>
  <c r="S32" i="59"/>
  <c r="S25" i="54"/>
  <c r="S28" i="59"/>
  <c r="S42" i="52"/>
  <c r="S43" i="57"/>
  <c r="S19" i="55"/>
  <c r="S31" i="52"/>
  <c r="S51" i="57"/>
  <c r="S37" i="61"/>
  <c r="S20" i="60"/>
  <c r="S39" i="60"/>
  <c r="S14" i="53"/>
  <c r="S41" i="61"/>
  <c r="S50" i="55"/>
  <c r="S55" i="56"/>
  <c r="S18" i="61"/>
  <c r="S16" i="61"/>
  <c r="S18" i="58"/>
  <c r="S30" i="55"/>
  <c r="S39" i="55"/>
  <c r="S45" i="54"/>
  <c r="S47" i="56"/>
  <c r="S24" i="61"/>
  <c r="S27" i="61"/>
  <c r="S14" i="56"/>
  <c r="S20" i="57"/>
  <c r="S14" i="55"/>
  <c r="S41" i="58"/>
  <c r="S50" i="61"/>
  <c r="S49" i="58"/>
  <c r="S41" i="59"/>
  <c r="S35" i="60"/>
  <c r="S34" i="61"/>
  <c r="S35" i="57"/>
  <c r="S21" i="61"/>
  <c r="S24" i="56"/>
  <c r="S28" i="55"/>
  <c r="S46" i="56"/>
  <c r="S34" i="55"/>
  <c r="S55" i="60"/>
  <c r="S16" i="60"/>
  <c r="S34" i="59"/>
  <c r="S26" i="55"/>
  <c r="S41" i="56"/>
  <c r="S19" i="58"/>
  <c r="S49" i="60"/>
  <c r="S29" i="53"/>
  <c r="S45" i="55"/>
  <c r="S23" i="61"/>
  <c r="S12" i="55"/>
  <c r="S54" i="57"/>
  <c r="S13" i="58"/>
  <c r="S14" i="57"/>
  <c r="J32" i="55"/>
  <c r="P32" i="55" s="1"/>
  <c r="S32" i="55" s="1"/>
  <c r="S40" i="55"/>
  <c r="J11" i="55"/>
  <c r="P11" i="55" s="1"/>
  <c r="S11" i="55" s="1"/>
  <c r="S44" i="57"/>
  <c r="S31" i="61"/>
  <c r="S19" i="60"/>
  <c r="S24" i="58"/>
  <c r="S53" i="60"/>
  <c r="S51" i="61"/>
  <c r="S35" i="59"/>
  <c r="S31" i="56"/>
  <c r="S54" i="60"/>
  <c r="S54" i="61"/>
  <c r="S46" i="60"/>
  <c r="S48" i="61"/>
  <c r="S17" i="58"/>
  <c r="S42" i="57"/>
  <c r="S51" i="60"/>
  <c r="S29" i="57"/>
  <c r="S50" i="60"/>
  <c r="S28" i="56"/>
  <c r="S25" i="61"/>
  <c r="S26" i="61"/>
  <c r="S47" i="60"/>
  <c r="S44" i="60"/>
  <c r="S40" i="56"/>
  <c r="S39" i="56"/>
  <c r="S44" i="58"/>
  <c r="S43" i="58"/>
  <c r="S49" i="61"/>
  <c r="S23" i="56"/>
  <c r="S35" i="61"/>
  <c r="S30" i="56"/>
  <c r="S34" i="58"/>
  <c r="S53" i="57"/>
  <c r="S48" i="58"/>
  <c r="S32" i="60"/>
  <c r="S10" i="55"/>
  <c r="G17" i="55"/>
  <c r="I17" i="55" s="1"/>
  <c r="G39" i="55"/>
  <c r="I39" i="55" s="1"/>
  <c r="G10" i="55"/>
  <c r="I10" i="55" s="1"/>
  <c r="G49" i="55"/>
  <c r="I49" i="55" s="1"/>
  <c r="G40" i="55"/>
  <c r="I40" i="55" s="1"/>
  <c r="G48" i="55"/>
  <c r="I48" i="55" s="1"/>
  <c r="S22" i="58"/>
  <c r="S40" i="59"/>
  <c r="S53" i="59"/>
  <c r="S56" i="61"/>
  <c r="S20" i="56"/>
  <c r="S38" i="58"/>
  <c r="S30" i="61"/>
  <c r="S52" i="60"/>
  <c r="S38" i="60"/>
  <c r="S40" i="58"/>
  <c r="S17" i="60"/>
  <c r="S22" i="57"/>
  <c r="S30" i="57"/>
  <c r="S27" i="56"/>
  <c r="S21" i="56"/>
  <c r="S50" i="56"/>
  <c r="S33" i="59"/>
  <c r="S17" i="56"/>
  <c r="S43" i="59"/>
  <c r="S33" i="61"/>
  <c r="S26" i="56"/>
  <c r="S54" i="59"/>
  <c r="S36" i="59"/>
  <c r="S55" i="59"/>
  <c r="S16" i="56"/>
  <c r="S54" i="58"/>
  <c r="S46" i="59"/>
  <c r="S38" i="61"/>
  <c r="S14" i="59"/>
  <c r="S20" i="58"/>
  <c r="S18" i="59"/>
  <c r="S31" i="60"/>
  <c r="S44" i="56"/>
  <c r="S27" i="55"/>
  <c r="S42" i="60"/>
  <c r="S19" i="57"/>
  <c r="S20" i="61"/>
  <c r="S54" i="56"/>
  <c r="S22" i="56"/>
  <c r="S53" i="58"/>
  <c r="S16" i="57"/>
  <c r="S15" i="58"/>
  <c r="S40" i="60"/>
  <c r="S33" i="56"/>
  <c r="S19" i="61"/>
  <c r="S15" i="60"/>
  <c r="S47" i="58"/>
  <c r="G51" i="59"/>
  <c r="I51" i="59" s="1"/>
  <c r="S27" i="59"/>
  <c r="G36" i="59"/>
  <c r="I36" i="59" s="1"/>
  <c r="S50" i="59"/>
  <c r="S36" i="56"/>
  <c r="S42" i="61"/>
  <c r="S27" i="57"/>
  <c r="S49" i="59"/>
  <c r="S28" i="61"/>
  <c r="S36" i="58"/>
  <c r="S47" i="57"/>
  <c r="S35" i="58"/>
  <c r="S13" i="57"/>
  <c r="S16" i="59"/>
  <c r="S51" i="56"/>
  <c r="S41" i="60"/>
  <c r="S27" i="58"/>
  <c r="S25" i="55"/>
  <c r="S16" i="58"/>
  <c r="G18" i="55"/>
  <c r="I18" i="55" s="1"/>
  <c r="G43" i="58"/>
  <c r="I43" i="58" s="1"/>
  <c r="S32" i="58"/>
  <c r="G40" i="56"/>
  <c r="I40" i="56" s="1"/>
  <c r="G33" i="56"/>
  <c r="I33" i="56" s="1"/>
  <c r="G18" i="60"/>
  <c r="I18" i="60" s="1"/>
  <c r="G37" i="60"/>
  <c r="I37" i="60" s="1"/>
  <c r="S41" i="57"/>
  <c r="S23" i="60"/>
  <c r="S50" i="57"/>
  <c r="S21" i="57"/>
  <c r="S49" i="56"/>
  <c r="S48" i="56"/>
  <c r="S53" i="61"/>
  <c r="S29" i="60"/>
  <c r="S40" i="61"/>
  <c r="S43" i="60"/>
  <c r="S17" i="57"/>
  <c r="S40" i="57"/>
  <c r="S39" i="59"/>
  <c r="S56" i="60"/>
  <c r="S43" i="56"/>
  <c r="S55" i="58"/>
  <c r="S25" i="59"/>
  <c r="S45" i="61"/>
  <c r="S19" i="56"/>
  <c r="S29" i="58"/>
  <c r="S33" i="60"/>
  <c r="S31" i="58"/>
  <c r="S45" i="60"/>
  <c r="S11" i="56"/>
  <c r="S23" i="59"/>
  <c r="G53" i="60"/>
  <c r="I53" i="60" s="1"/>
  <c r="G33" i="59"/>
  <c r="I33" i="59" s="1"/>
  <c r="G23" i="56"/>
  <c r="I23" i="56" s="1"/>
  <c r="G25" i="56"/>
  <c r="I25" i="56" s="1"/>
  <c r="S46" i="57"/>
  <c r="S23" i="58"/>
  <c r="G32" i="59"/>
  <c r="I32" i="59" s="1"/>
  <c r="G34" i="59"/>
  <c r="I34" i="59" s="1"/>
  <c r="G44" i="59"/>
  <c r="I44" i="59" s="1"/>
  <c r="S20" i="59"/>
  <c r="S24" i="55"/>
  <c r="S35" i="56"/>
  <c r="S18" i="56"/>
  <c r="S42" i="59"/>
  <c r="S29" i="59"/>
  <c r="S32" i="56"/>
  <c r="S15" i="57"/>
  <c r="S28" i="57"/>
  <c r="S24" i="57"/>
  <c r="S31" i="57"/>
  <c r="S49" i="57"/>
  <c r="S38" i="56"/>
  <c r="S22" i="59"/>
  <c r="S51" i="59"/>
  <c r="S36" i="60"/>
  <c r="S14" i="58"/>
  <c r="S25" i="58"/>
  <c r="S25" i="60"/>
  <c r="S46" i="61"/>
  <c r="S18" i="55"/>
  <c r="S12" i="56"/>
  <c r="S30" i="58"/>
  <c r="S47" i="61"/>
  <c r="S15" i="59"/>
  <c r="S23" i="57"/>
  <c r="S26" i="59"/>
  <c r="S26" i="58"/>
  <c r="S34" i="56"/>
  <c r="S25" i="56"/>
  <c r="S52" i="59"/>
  <c r="S32" i="57"/>
  <c r="S28" i="58"/>
  <c r="G56" i="52"/>
  <c r="I56" i="52" s="1"/>
  <c r="J24" i="52"/>
  <c r="P24" i="52" s="1"/>
  <c r="S24" i="52" s="1"/>
  <c r="G27" i="56"/>
  <c r="I27" i="56" s="1"/>
  <c r="G31" i="59"/>
  <c r="I31" i="59" s="1"/>
  <c r="G39" i="59"/>
  <c r="I39" i="59" s="1"/>
  <c r="G23" i="60"/>
  <c r="I23" i="60" s="1"/>
  <c r="G20" i="61"/>
  <c r="I20" i="61" s="1"/>
  <c r="G15" i="61"/>
  <c r="I15" i="61" s="1"/>
  <c r="G51" i="61"/>
  <c r="I51" i="61" s="1"/>
  <c r="G43" i="56"/>
  <c r="I43" i="56" s="1"/>
  <c r="G22" i="58"/>
  <c r="I22" i="58" s="1"/>
  <c r="G37" i="58"/>
  <c r="I37" i="58" s="1"/>
  <c r="G29" i="59"/>
  <c r="I29" i="59" s="1"/>
  <c r="G22" i="61"/>
  <c r="I22" i="61" s="1"/>
  <c r="G29" i="60"/>
  <c r="I29" i="60" s="1"/>
  <c r="G30" i="59"/>
  <c r="I30" i="59" s="1"/>
  <c r="G25" i="60"/>
  <c r="I25" i="60" s="1"/>
  <c r="G56" i="61"/>
  <c r="I56" i="61" s="1"/>
  <c r="G45" i="61"/>
  <c r="I45" i="61" s="1"/>
  <c r="G49" i="52"/>
  <c r="I49" i="52" s="1"/>
  <c r="J33" i="52"/>
  <c r="P33" i="52" s="1"/>
  <c r="S33" i="52" s="1"/>
  <c r="G53" i="61"/>
  <c r="I53" i="61" s="1"/>
  <c r="G28" i="61"/>
  <c r="I28" i="61" s="1"/>
  <c r="G18" i="61"/>
  <c r="I18" i="61" s="1"/>
  <c r="G38" i="61"/>
  <c r="I38" i="61" s="1"/>
  <c r="G12" i="56"/>
  <c r="I12" i="56" s="1"/>
  <c r="G28" i="58"/>
  <c r="I28" i="58" s="1"/>
  <c r="G20" i="58"/>
  <c r="I20" i="58" s="1"/>
  <c r="G33" i="61"/>
  <c r="I33" i="61" s="1"/>
  <c r="G29" i="61"/>
  <c r="I29" i="61" s="1"/>
  <c r="G50" i="61"/>
  <c r="I50" i="61" s="1"/>
  <c r="G44" i="56"/>
  <c r="I44" i="56" s="1"/>
  <c r="G41" i="59"/>
  <c r="I41" i="59" s="1"/>
  <c r="G35" i="61"/>
  <c r="I35" i="61" s="1"/>
  <c r="G19" i="58"/>
  <c r="I19" i="58" s="1"/>
  <c r="G27" i="61"/>
  <c r="I27" i="61" s="1"/>
  <c r="G36" i="61"/>
  <c r="I36" i="61" s="1"/>
  <c r="G52" i="60"/>
  <c r="I52" i="60" s="1"/>
  <c r="S25" i="57"/>
  <c r="S30" i="59"/>
  <c r="S24" i="59"/>
  <c r="S26" i="60"/>
  <c r="S15" i="55"/>
  <c r="S51" i="58"/>
  <c r="S52" i="57"/>
  <c r="S26" i="57"/>
  <c r="S13" i="56"/>
  <c r="G31" i="52"/>
  <c r="I31" i="52" s="1"/>
  <c r="G19" i="56"/>
  <c r="I19" i="56" s="1"/>
  <c r="G45" i="56"/>
  <c r="I45" i="56" s="1"/>
  <c r="G25" i="58"/>
  <c r="I25" i="58" s="1"/>
  <c r="G42" i="59"/>
  <c r="I42" i="59" s="1"/>
  <c r="G26" i="59"/>
  <c r="I26" i="59" s="1"/>
  <c r="G56" i="59"/>
  <c r="I56" i="59" s="1"/>
  <c r="G56" i="60"/>
  <c r="I56" i="60" s="1"/>
  <c r="G55" i="60"/>
  <c r="I55" i="60" s="1"/>
  <c r="G56" i="56"/>
  <c r="I56" i="56" s="1"/>
  <c r="G46" i="56"/>
  <c r="I46" i="56" s="1"/>
  <c r="G13" i="56"/>
  <c r="I13" i="56" s="1"/>
  <c r="G50" i="58"/>
  <c r="I50" i="58" s="1"/>
  <c r="G41" i="58"/>
  <c r="I41" i="58" s="1"/>
  <c r="G45" i="58"/>
  <c r="I45" i="58" s="1"/>
  <c r="G20" i="59"/>
  <c r="I20" i="59" s="1"/>
  <c r="G18" i="59"/>
  <c r="I18" i="59" s="1"/>
  <c r="G20" i="60"/>
  <c r="I20" i="60" s="1"/>
  <c r="G50" i="60"/>
  <c r="I50" i="60" s="1"/>
  <c r="G39" i="61"/>
  <c r="I39" i="61" s="1"/>
  <c r="G36" i="56"/>
  <c r="I36" i="56" s="1"/>
  <c r="G54" i="56"/>
  <c r="I54" i="56" s="1"/>
  <c r="G41" i="56"/>
  <c r="I41" i="56" s="1"/>
  <c r="G21" i="52"/>
  <c r="I21" i="52" s="1"/>
  <c r="G55" i="56"/>
  <c r="I55" i="56" s="1"/>
  <c r="G35" i="56"/>
  <c r="I35" i="56" s="1"/>
  <c r="G49" i="56"/>
  <c r="I49" i="56" s="1"/>
  <c r="G46" i="59"/>
  <c r="I46" i="59" s="1"/>
  <c r="G52" i="56"/>
  <c r="I52" i="56" s="1"/>
  <c r="G29" i="58"/>
  <c r="I29" i="58" s="1"/>
  <c r="G35" i="59"/>
  <c r="I35" i="59" s="1"/>
  <c r="G30" i="56"/>
  <c r="I30" i="56" s="1"/>
  <c r="G31" i="60"/>
  <c r="I31" i="60" s="1"/>
  <c r="G54" i="60"/>
  <c r="I54" i="60" s="1"/>
  <c r="G29" i="52"/>
  <c r="I29" i="52" s="1"/>
  <c r="G19" i="55"/>
  <c r="I19" i="55" s="1"/>
  <c r="G21" i="56"/>
  <c r="I21" i="56" s="1"/>
  <c r="G18" i="56"/>
  <c r="I18" i="56" s="1"/>
  <c r="G48" i="56"/>
  <c r="I48" i="56" s="1"/>
  <c r="G15" i="58"/>
  <c r="I15" i="58" s="1"/>
  <c r="G14" i="58"/>
  <c r="I14" i="58" s="1"/>
  <c r="G21" i="58"/>
  <c r="I21" i="58" s="1"/>
  <c r="G42" i="58"/>
  <c r="I42" i="58" s="1"/>
  <c r="E13" i="60"/>
  <c r="F13" i="60" s="1"/>
  <c r="J13" i="60" s="1"/>
  <c r="E14" i="60"/>
  <c r="F14" i="60" s="1"/>
  <c r="J14" i="60" s="1"/>
  <c r="P14" i="60" s="1"/>
  <c r="S14" i="60" s="1"/>
  <c r="G46" i="58"/>
  <c r="I46" i="58" s="1"/>
  <c r="G48" i="61"/>
  <c r="I48" i="61" s="1"/>
  <c r="E13" i="59"/>
  <c r="F13" i="59" s="1"/>
  <c r="J13" i="59" s="1"/>
  <c r="P13" i="59" s="1"/>
  <c r="S13" i="59" s="1"/>
  <c r="G26" i="58"/>
  <c r="I26" i="58" s="1"/>
  <c r="G48" i="60"/>
  <c r="I48" i="60" s="1"/>
  <c r="G40" i="60"/>
  <c r="I40" i="60" s="1"/>
  <c r="G34" i="56"/>
  <c r="I34" i="56" s="1"/>
  <c r="G39" i="56"/>
  <c r="I39" i="56" s="1"/>
  <c r="G33" i="58"/>
  <c r="I33" i="58" s="1"/>
  <c r="G52" i="61"/>
  <c r="I52" i="61" s="1"/>
  <c r="G30" i="58"/>
  <c r="I30" i="58" s="1"/>
  <c r="G49" i="61"/>
  <c r="I49" i="61" s="1"/>
  <c r="G40" i="61"/>
  <c r="I40" i="61" s="1"/>
  <c r="G55" i="59"/>
  <c r="I55" i="59" s="1"/>
  <c r="G51" i="56"/>
  <c r="I51" i="56" s="1"/>
  <c r="G49" i="58"/>
  <c r="I49" i="58" s="1"/>
  <c r="G16" i="59"/>
  <c r="I16" i="59" s="1"/>
  <c r="G32" i="56"/>
  <c r="I32" i="56" s="1"/>
  <c r="E10" i="56"/>
  <c r="F10" i="56" s="1"/>
  <c r="J10" i="56" s="1"/>
  <c r="P10" i="56" s="1"/>
  <c r="S10" i="56" s="1"/>
  <c r="G17" i="56"/>
  <c r="I17" i="56" s="1"/>
  <c r="G20" i="56"/>
  <c r="I20" i="56" s="1"/>
  <c r="G31" i="58"/>
  <c r="I31" i="58" s="1"/>
  <c r="G38" i="58"/>
  <c r="I38" i="58" s="1"/>
  <c r="G43" i="59"/>
  <c r="I43" i="59" s="1"/>
  <c r="G17" i="59"/>
  <c r="I17" i="59" s="1"/>
  <c r="G24" i="59"/>
  <c r="I24" i="59" s="1"/>
  <c r="G52" i="59"/>
  <c r="I52" i="59" s="1"/>
  <c r="G26" i="60"/>
  <c r="I26" i="60" s="1"/>
  <c r="G46" i="60"/>
  <c r="I46" i="60" s="1"/>
  <c r="G28" i="60"/>
  <c r="I28" i="60" s="1"/>
  <c r="G35" i="60"/>
  <c r="I35" i="60" s="1"/>
  <c r="G19" i="61"/>
  <c r="I19" i="61" s="1"/>
  <c r="G46" i="61"/>
  <c r="I46" i="61" s="1"/>
  <c r="G42" i="61"/>
  <c r="I42" i="61" s="1"/>
  <c r="G55" i="52"/>
  <c r="I55" i="52" s="1"/>
  <c r="G51" i="52"/>
  <c r="I51" i="52" s="1"/>
  <c r="G17" i="52"/>
  <c r="I17" i="52" s="1"/>
  <c r="S13" i="55"/>
  <c r="G54" i="52"/>
  <c r="I54" i="52" s="1"/>
  <c r="G10" i="52"/>
  <c r="I10" i="52" s="1"/>
  <c r="G16" i="56"/>
  <c r="I16" i="56" s="1"/>
  <c r="G38" i="56"/>
  <c r="I38" i="56" s="1"/>
  <c r="G54" i="58"/>
  <c r="I54" i="58" s="1"/>
  <c r="G35" i="58"/>
  <c r="I35" i="58" s="1"/>
  <c r="E12" i="59"/>
  <c r="F12" i="59" s="1"/>
  <c r="J12" i="59" s="1"/>
  <c r="G49" i="59"/>
  <c r="I49" i="59" s="1"/>
  <c r="G37" i="59"/>
  <c r="I37" i="59" s="1"/>
  <c r="E10" i="57"/>
  <c r="F10" i="57" s="1"/>
  <c r="J10" i="57" s="1"/>
  <c r="G45" i="60"/>
  <c r="I45" i="60" s="1"/>
  <c r="G24" i="61"/>
  <c r="I24" i="61" s="1"/>
  <c r="E12" i="58"/>
  <c r="F12" i="58" s="1"/>
  <c r="J12" i="58" s="1"/>
  <c r="P12" i="58" s="1"/>
  <c r="S12" i="58" s="1"/>
  <c r="G24" i="60"/>
  <c r="I24" i="60" s="1"/>
  <c r="G14" i="59"/>
  <c r="I14" i="59" s="1"/>
  <c r="G50" i="59"/>
  <c r="I50" i="59" s="1"/>
  <c r="G16" i="60"/>
  <c r="I16" i="60" s="1"/>
  <c r="G37" i="61"/>
  <c r="I37" i="61" s="1"/>
  <c r="G50" i="56"/>
  <c r="I50" i="56" s="1"/>
  <c r="G40" i="59"/>
  <c r="I40" i="59" s="1"/>
  <c r="G53" i="59"/>
  <c r="I53" i="59" s="1"/>
  <c r="G34" i="60"/>
  <c r="I34" i="60" s="1"/>
  <c r="G21" i="60"/>
  <c r="I21" i="60" s="1"/>
  <c r="G55" i="58"/>
  <c r="I55" i="58" s="1"/>
  <c r="G21" i="59"/>
  <c r="I21" i="59" s="1"/>
  <c r="G47" i="61"/>
  <c r="I47" i="61" s="1"/>
  <c r="G54" i="61"/>
  <c r="I54" i="61" s="1"/>
  <c r="G39" i="58"/>
  <c r="I39" i="58" s="1"/>
  <c r="G14" i="52"/>
  <c r="I14" i="52" s="1"/>
  <c r="G53" i="56"/>
  <c r="I53" i="56" s="1"/>
  <c r="G42" i="56"/>
  <c r="I42" i="56" s="1"/>
  <c r="G22" i="56"/>
  <c r="I22" i="56" s="1"/>
  <c r="G26" i="56"/>
  <c r="I26" i="56" s="1"/>
  <c r="G34" i="58"/>
  <c r="I34" i="58" s="1"/>
  <c r="G53" i="58"/>
  <c r="I53" i="58" s="1"/>
  <c r="G54" i="59"/>
  <c r="I54" i="59" s="1"/>
  <c r="G47" i="59"/>
  <c r="I47" i="59" s="1"/>
  <c r="G15" i="59"/>
  <c r="I15" i="59" s="1"/>
  <c r="G25" i="59"/>
  <c r="I25" i="59" s="1"/>
  <c r="G49" i="60"/>
  <c r="I49" i="60" s="1"/>
  <c r="G39" i="60"/>
  <c r="I39" i="60" s="1"/>
  <c r="G19" i="60"/>
  <c r="I19" i="60" s="1"/>
  <c r="E14" i="61"/>
  <c r="F14" i="61" s="1"/>
  <c r="J14" i="61" s="1"/>
  <c r="G34" i="61"/>
  <c r="I34" i="61" s="1"/>
  <c r="G43" i="61"/>
  <c r="I43" i="61" s="1"/>
  <c r="G30" i="61"/>
  <c r="I30" i="61" s="1"/>
  <c r="G39" i="52"/>
  <c r="I39" i="52" s="1"/>
  <c r="G46" i="52"/>
  <c r="I46" i="52" s="1"/>
  <c r="G18" i="52"/>
  <c r="I18" i="52" s="1"/>
  <c r="G26" i="52"/>
  <c r="I26" i="52" s="1"/>
  <c r="G44" i="60"/>
  <c r="I44" i="60" s="1"/>
  <c r="G41" i="52"/>
  <c r="I41" i="52" s="1"/>
  <c r="G44" i="52"/>
  <c r="I44" i="52" s="1"/>
  <c r="G16" i="52"/>
  <c r="I16" i="52" s="1"/>
  <c r="G36" i="52"/>
  <c r="I36" i="52" s="1"/>
  <c r="G11" i="52"/>
  <c r="I11" i="52" s="1"/>
  <c r="G28" i="52"/>
  <c r="I28" i="52" s="1"/>
  <c r="G13" i="52"/>
  <c r="I13" i="52" s="1"/>
  <c r="G25" i="52"/>
  <c r="I25" i="52" s="1"/>
  <c r="S18" i="53"/>
  <c r="E9" i="55"/>
  <c r="F9" i="55" s="1"/>
  <c r="J9" i="55" s="1"/>
  <c r="P9" i="55" s="1"/>
  <c r="S9" i="55" s="1"/>
  <c r="G53" i="52"/>
  <c r="I53" i="52" s="1"/>
  <c r="G22" i="52"/>
  <c r="I22" i="52" s="1"/>
  <c r="G48" i="52"/>
  <c r="I48" i="52" s="1"/>
  <c r="G7" i="52"/>
  <c r="I7" i="52" s="1"/>
  <c r="G43" i="52"/>
  <c r="I43" i="52" s="1"/>
  <c r="G20" i="52"/>
  <c r="I20" i="52" s="1"/>
  <c r="G35" i="52"/>
  <c r="I35" i="52" s="1"/>
  <c r="G27" i="52"/>
  <c r="I27" i="52" s="1"/>
  <c r="G12" i="52"/>
  <c r="I12" i="52" s="1"/>
  <c r="E9" i="56"/>
  <c r="F9" i="56" s="1"/>
  <c r="J9" i="56" s="1"/>
  <c r="G40" i="52"/>
  <c r="I40" i="52" s="1"/>
  <c r="E6" i="52"/>
  <c r="F6" i="52" s="1"/>
  <c r="J6" i="52" s="1"/>
  <c r="P6" i="52" s="1"/>
  <c r="S6" i="52" s="1"/>
  <c r="G37" i="52"/>
  <c r="I37" i="52" s="1"/>
  <c r="G42" i="52"/>
  <c r="I42" i="52" s="1"/>
  <c r="G15" i="52"/>
  <c r="I15" i="52" s="1"/>
  <c r="G52" i="52"/>
  <c r="I52" i="52" s="1"/>
  <c r="G34" i="52"/>
  <c r="I34" i="52" s="1"/>
  <c r="G32" i="52"/>
  <c r="I32" i="52" s="1"/>
  <c r="G19" i="52"/>
  <c r="I19" i="52" s="1"/>
  <c r="G30" i="52"/>
  <c r="I30" i="52" s="1"/>
  <c r="G38" i="52"/>
  <c r="I38" i="52" s="1"/>
  <c r="G24" i="55"/>
  <c r="I24" i="55" s="1"/>
  <c r="G50" i="52"/>
  <c r="I50" i="52" s="1"/>
  <c r="G47" i="52"/>
  <c r="I47" i="52" s="1"/>
  <c r="G8" i="52"/>
  <c r="I8" i="52" s="1"/>
  <c r="G45" i="52"/>
  <c r="I45" i="52" s="1"/>
  <c r="E6" i="53"/>
  <c r="F6" i="53" s="1"/>
  <c r="J6" i="53" s="1"/>
  <c r="Q8" i="55" l="1"/>
  <c r="S8" i="55" s="1"/>
  <c r="I8" i="54"/>
  <c r="G11" i="1"/>
  <c r="I11" i="1" s="1"/>
  <c r="G27" i="1"/>
  <c r="I27" i="1" s="1"/>
  <c r="G12" i="1"/>
  <c r="I12" i="1" s="1"/>
  <c r="S40" i="53"/>
  <c r="G25" i="1"/>
  <c r="I25" i="1" s="1"/>
  <c r="G15" i="53"/>
  <c r="I15" i="53" s="1"/>
  <c r="E5" i="52"/>
  <c r="F5" i="52" s="1"/>
  <c r="J5" i="52" s="1"/>
  <c r="G23" i="57"/>
  <c r="I23" i="57" s="1"/>
  <c r="S13" i="53"/>
  <c r="S9" i="53"/>
  <c r="G16" i="1"/>
  <c r="I16" i="1" s="1"/>
  <c r="S43" i="53"/>
  <c r="G50" i="1"/>
  <c r="I50" i="1" s="1"/>
  <c r="S44" i="53"/>
  <c r="G35" i="53"/>
  <c r="I35" i="53" s="1"/>
  <c r="G20" i="53"/>
  <c r="I20" i="53" s="1"/>
  <c r="G53" i="1"/>
  <c r="I53" i="1" s="1"/>
  <c r="G55" i="53"/>
  <c r="I55" i="53" s="1"/>
  <c r="G45" i="53"/>
  <c r="I45" i="53" s="1"/>
  <c r="S10" i="53"/>
  <c r="S28" i="53"/>
  <c r="G35" i="1"/>
  <c r="I35" i="1" s="1"/>
  <c r="S26" i="53"/>
  <c r="S11" i="53"/>
  <c r="G54" i="53"/>
  <c r="I54" i="53" s="1"/>
  <c r="G9" i="1"/>
  <c r="I9" i="1" s="1"/>
  <c r="E7" i="53"/>
  <c r="F7" i="53" s="1"/>
  <c r="J7" i="53" s="1"/>
  <c r="P7" i="53" s="1"/>
  <c r="S7" i="53" s="1"/>
  <c r="G7" i="53"/>
  <c r="E5" i="1"/>
  <c r="F5" i="1" s="1"/>
  <c r="J5" i="1" s="1"/>
  <c r="G5" i="1"/>
  <c r="G41" i="1"/>
  <c r="I41" i="1" s="1"/>
  <c r="G19" i="54"/>
  <c r="I19" i="54" s="1"/>
  <c r="G18" i="53"/>
  <c r="I18" i="53" s="1"/>
  <c r="G41" i="53"/>
  <c r="I41" i="53" s="1"/>
  <c r="S47" i="53"/>
  <c r="G7" i="54"/>
  <c r="I7" i="54" s="1"/>
  <c r="J7" i="54"/>
  <c r="G11" i="57"/>
  <c r="Q11" i="58" s="1"/>
  <c r="S11" i="58" s="1"/>
  <c r="T2" i="58" s="1"/>
  <c r="T22" i="58" s="1"/>
  <c r="G10" i="57"/>
  <c r="I10" i="57" s="1"/>
  <c r="G12" i="59"/>
  <c r="I12" i="59" s="1"/>
  <c r="G6" i="53"/>
  <c r="I6" i="53" s="1"/>
  <c r="G14" i="61"/>
  <c r="I14" i="61" s="1"/>
  <c r="G13" i="59"/>
  <c r="Q13" i="60" s="1"/>
  <c r="S13" i="60" s="1"/>
  <c r="G6" i="52"/>
  <c r="I6" i="52" s="1"/>
  <c r="G10" i="56"/>
  <c r="G13" i="60"/>
  <c r="I13" i="60" s="1"/>
  <c r="G12" i="58"/>
  <c r="G14" i="60"/>
  <c r="G9" i="55"/>
  <c r="I9" i="55" s="1"/>
  <c r="G9" i="56"/>
  <c r="I9" i="56" s="1"/>
  <c r="T2" i="55"/>
  <c r="Q7" i="54" l="1"/>
  <c r="S7" i="54" s="1"/>
  <c r="T2" i="54" s="1"/>
  <c r="T66" i="54" s="1"/>
  <c r="I7" i="53"/>
  <c r="G5" i="52"/>
  <c r="I5" i="52" s="1"/>
  <c r="I5" i="1"/>
  <c r="Q5" i="52"/>
  <c r="S5" i="52" s="1"/>
  <c r="T2" i="52" s="1"/>
  <c r="T46" i="52" s="1"/>
  <c r="I11" i="57"/>
  <c r="Q6" i="53"/>
  <c r="S6" i="53" s="1"/>
  <c r="T23" i="54"/>
  <c r="T58" i="54"/>
  <c r="T49" i="54"/>
  <c r="T63" i="54"/>
  <c r="T52" i="54"/>
  <c r="T34" i="54"/>
  <c r="T24" i="54"/>
  <c r="T30" i="54"/>
  <c r="T32" i="54"/>
  <c r="T28" i="54"/>
  <c r="T33" i="54"/>
  <c r="T46" i="54"/>
  <c r="T18" i="54"/>
  <c r="T10" i="54"/>
  <c r="T60" i="54"/>
  <c r="T37" i="54"/>
  <c r="T44" i="52"/>
  <c r="T20" i="52"/>
  <c r="T16" i="52"/>
  <c r="T62" i="52"/>
  <c r="T39" i="52"/>
  <c r="T43" i="52"/>
  <c r="T6" i="52"/>
  <c r="T69" i="52"/>
  <c r="T64" i="52"/>
  <c r="T52" i="52"/>
  <c r="T57" i="52"/>
  <c r="T25" i="52"/>
  <c r="T36" i="52"/>
  <c r="T35" i="52"/>
  <c r="T59" i="52"/>
  <c r="T65" i="52"/>
  <c r="Q9" i="56"/>
  <c r="S9" i="56" s="1"/>
  <c r="T2" i="56" s="1"/>
  <c r="T9" i="56" s="1"/>
  <c r="I13" i="59"/>
  <c r="T67" i="58"/>
  <c r="T14" i="58"/>
  <c r="T66" i="58"/>
  <c r="T28" i="58"/>
  <c r="T52" i="58"/>
  <c r="T23" i="58"/>
  <c r="T24" i="58"/>
  <c r="T47" i="58"/>
  <c r="T58" i="58"/>
  <c r="D9" i="50"/>
  <c r="T51" i="58"/>
  <c r="T63" i="58"/>
  <c r="T35" i="58"/>
  <c r="T50" i="58"/>
  <c r="T17" i="58"/>
  <c r="T60" i="58"/>
  <c r="T38" i="58"/>
  <c r="T64" i="58"/>
  <c r="T69" i="58"/>
  <c r="T26" i="58"/>
  <c r="T43" i="58"/>
  <c r="T13" i="58"/>
  <c r="T62" i="58"/>
  <c r="T33" i="58"/>
  <c r="T48" i="58"/>
  <c r="T65" i="58"/>
  <c r="T44" i="58"/>
  <c r="T25" i="58"/>
  <c r="T34" i="58"/>
  <c r="T19" i="58"/>
  <c r="T59" i="58"/>
  <c r="T32" i="58"/>
  <c r="T61" i="58"/>
  <c r="T40" i="58"/>
  <c r="T42" i="58"/>
  <c r="T45" i="58"/>
  <c r="T20" i="58"/>
  <c r="T15" i="58"/>
  <c r="T12" i="58"/>
  <c r="T31" i="58"/>
  <c r="T53" i="58"/>
  <c r="T54" i="58"/>
  <c r="T68" i="58"/>
  <c r="T39" i="58"/>
  <c r="T46" i="58"/>
  <c r="T21" i="58"/>
  <c r="T49" i="58"/>
  <c r="T55" i="58"/>
  <c r="T16" i="58"/>
  <c r="T30" i="58"/>
  <c r="T18" i="58"/>
  <c r="T56" i="58"/>
  <c r="T29" i="58"/>
  <c r="T37" i="58"/>
  <c r="T27" i="58"/>
  <c r="T41" i="58"/>
  <c r="T57" i="58"/>
  <c r="T11" i="58"/>
  <c r="T36" i="58"/>
  <c r="T2" i="60"/>
  <c r="T13" i="60" s="1"/>
  <c r="Q12" i="59"/>
  <c r="S12" i="59" s="1"/>
  <c r="I12" i="58"/>
  <c r="I14" i="60"/>
  <c r="Q14" i="61"/>
  <c r="S14" i="61" s="1"/>
  <c r="I10" i="56"/>
  <c r="Q10" i="57"/>
  <c r="S10" i="57" s="1"/>
  <c r="T26" i="55"/>
  <c r="T68" i="55"/>
  <c r="T54" i="55"/>
  <c r="T44" i="55"/>
  <c r="D6" i="50"/>
  <c r="T22" i="55"/>
  <c r="T16" i="55"/>
  <c r="T19" i="55"/>
  <c r="T49" i="55"/>
  <c r="T10" i="55"/>
  <c r="T32" i="55"/>
  <c r="T61" i="55"/>
  <c r="T12" i="55"/>
  <c r="T27" i="55"/>
  <c r="T35" i="55"/>
  <c r="T36" i="55"/>
  <c r="T50" i="55"/>
  <c r="T39" i="55"/>
  <c r="T64" i="55"/>
  <c r="T34" i="55"/>
  <c r="T43" i="55"/>
  <c r="T59" i="55"/>
  <c r="T33" i="55"/>
  <c r="T18" i="55"/>
  <c r="T62" i="55"/>
  <c r="T67" i="55"/>
  <c r="T47" i="55"/>
  <c r="T45" i="55"/>
  <c r="T17" i="55"/>
  <c r="T23" i="55"/>
  <c r="T41" i="55"/>
  <c r="T31" i="55"/>
  <c r="T11" i="55"/>
  <c r="T13" i="55"/>
  <c r="T40" i="55"/>
  <c r="T28" i="55"/>
  <c r="T42" i="55"/>
  <c r="T25" i="55"/>
  <c r="T48" i="55"/>
  <c r="T14" i="55"/>
  <c r="T24" i="55"/>
  <c r="T51" i="55"/>
  <c r="T56" i="55"/>
  <c r="T52" i="55"/>
  <c r="T63" i="55"/>
  <c r="T57" i="55"/>
  <c r="T58" i="55"/>
  <c r="T21" i="55"/>
  <c r="T69" i="55"/>
  <c r="T37" i="55"/>
  <c r="T15" i="55"/>
  <c r="T53" i="55"/>
  <c r="T65" i="55"/>
  <c r="T30" i="55"/>
  <c r="T60" i="55"/>
  <c r="T38" i="55"/>
  <c r="T46" i="55"/>
  <c r="T66" i="55"/>
  <c r="T8" i="55"/>
  <c r="T29" i="55"/>
  <c r="T20" i="55"/>
  <c r="T55" i="55"/>
  <c r="T2" i="53"/>
  <c r="T9" i="55"/>
  <c r="T55" i="52" l="1"/>
  <c r="T49" i="52"/>
  <c r="T11" i="52"/>
  <c r="T38" i="52"/>
  <c r="T13" i="52"/>
  <c r="T21" i="52"/>
  <c r="T48" i="52"/>
  <c r="T53" i="52"/>
  <c r="T45" i="52"/>
  <c r="T5" i="52"/>
  <c r="T50" i="52"/>
  <c r="T56" i="52"/>
  <c r="T66" i="52"/>
  <c r="T23" i="52"/>
  <c r="T61" i="52"/>
  <c r="T30" i="52"/>
  <c r="D5" i="50"/>
  <c r="R5" i="50" s="1"/>
  <c r="S5" i="50" s="1"/>
  <c r="T39" i="54"/>
  <c r="T25" i="54"/>
  <c r="T38" i="54"/>
  <c r="T56" i="54"/>
  <c r="T41" i="54"/>
  <c r="T69" i="54"/>
  <c r="T53" i="54"/>
  <c r="T16" i="54"/>
  <c r="T45" i="54"/>
  <c r="T7" i="54"/>
  <c r="S70" i="54" s="1"/>
  <c r="T68" i="54"/>
  <c r="T8" i="54"/>
  <c r="T12" i="54"/>
  <c r="T27" i="54"/>
  <c r="T22" i="54"/>
  <c r="T34" i="52"/>
  <c r="T42" i="52"/>
  <c r="T41" i="52"/>
  <c r="T8" i="52"/>
  <c r="T40" i="52"/>
  <c r="T24" i="52"/>
  <c r="T54" i="52"/>
  <c r="T18" i="52"/>
  <c r="T10" i="52"/>
  <c r="T29" i="52"/>
  <c r="T51" i="52"/>
  <c r="T37" i="52"/>
  <c r="T9" i="52"/>
  <c r="T15" i="52"/>
  <c r="T19" i="52"/>
  <c r="T26" i="52"/>
  <c r="T68" i="52"/>
  <c r="T62" i="54"/>
  <c r="T50" i="54"/>
  <c r="T36" i="54"/>
  <c r="T21" i="54"/>
  <c r="T9" i="54"/>
  <c r="T61" i="54"/>
  <c r="T67" i="54"/>
  <c r="T19" i="54"/>
  <c r="T15" i="54"/>
  <c r="T51" i="54"/>
  <c r="T44" i="54"/>
  <c r="T48" i="54"/>
  <c r="T31" i="54"/>
  <c r="T17" i="54"/>
  <c r="T64" i="54"/>
  <c r="T47" i="52"/>
  <c r="T31" i="52"/>
  <c r="T28" i="52"/>
  <c r="T67" i="52"/>
  <c r="D3" i="50"/>
  <c r="L3" i="50" s="1"/>
  <c r="M3" i="50" s="1"/>
  <c r="T22" i="52"/>
  <c r="T33" i="52"/>
  <c r="T12" i="52"/>
  <c r="T63" i="52"/>
  <c r="T32" i="52"/>
  <c r="T27" i="52"/>
  <c r="T17" i="52"/>
  <c r="T14" i="52"/>
  <c r="T60" i="52"/>
  <c r="T58" i="52"/>
  <c r="T7" i="52"/>
  <c r="T20" i="54"/>
  <c r="T59" i="54"/>
  <c r="T65" i="54"/>
  <c r="T47" i="54"/>
  <c r="T43" i="54"/>
  <c r="T11" i="54"/>
  <c r="T26" i="54"/>
  <c r="T57" i="54"/>
  <c r="T35" i="54"/>
  <c r="T40" i="54"/>
  <c r="T42" i="54"/>
  <c r="T54" i="54"/>
  <c r="T13" i="54"/>
  <c r="T29" i="54"/>
  <c r="T55" i="54"/>
  <c r="T14" i="54"/>
  <c r="F5" i="50"/>
  <c r="S70" i="52"/>
  <c r="S70" i="58"/>
  <c r="F9" i="50"/>
  <c r="R9" i="50"/>
  <c r="S9" i="50" s="1"/>
  <c r="T2" i="57"/>
  <c r="T10" i="57" s="1"/>
  <c r="T2" i="59"/>
  <c r="T2" i="61"/>
  <c r="T14" i="61" s="1"/>
  <c r="T69" i="60"/>
  <c r="T21" i="60"/>
  <c r="T15" i="60"/>
  <c r="T16" i="60"/>
  <c r="T58" i="60"/>
  <c r="T28" i="60"/>
  <c r="T47" i="60"/>
  <c r="T48" i="60"/>
  <c r="T54" i="60"/>
  <c r="T50" i="60"/>
  <c r="T40" i="60"/>
  <c r="T64" i="60"/>
  <c r="T36" i="60"/>
  <c r="T43" i="60"/>
  <c r="T62" i="60"/>
  <c r="T20" i="60"/>
  <c r="T51" i="60"/>
  <c r="T61" i="60"/>
  <c r="T46" i="60"/>
  <c r="T45" i="60"/>
  <c r="T56" i="60"/>
  <c r="T49" i="60"/>
  <c r="T59" i="60"/>
  <c r="T32" i="60"/>
  <c r="T14" i="60"/>
  <c r="T52" i="60"/>
  <c r="T66" i="60"/>
  <c r="T34" i="60"/>
  <c r="T19" i="60"/>
  <c r="T18" i="60"/>
  <c r="T31" i="60"/>
  <c r="T42" i="60"/>
  <c r="T65" i="60"/>
  <c r="T29" i="60"/>
  <c r="T41" i="60"/>
  <c r="T55" i="60"/>
  <c r="T67" i="60"/>
  <c r="T26" i="60"/>
  <c r="T35" i="60"/>
  <c r="T37" i="60"/>
  <c r="T17" i="60"/>
  <c r="T22" i="60"/>
  <c r="T23" i="60"/>
  <c r="T57" i="60"/>
  <c r="T60" i="60"/>
  <c r="T63" i="60"/>
  <c r="T24" i="60"/>
  <c r="T44" i="60"/>
  <c r="T68" i="60"/>
  <c r="T53" i="60"/>
  <c r="T25" i="60"/>
  <c r="D11" i="50"/>
  <c r="T33" i="60"/>
  <c r="T30" i="60"/>
  <c r="T38" i="60"/>
  <c r="T27" i="60"/>
  <c r="T39" i="60"/>
  <c r="T35" i="53"/>
  <c r="T59" i="53"/>
  <c r="T7" i="53"/>
  <c r="T54" i="53"/>
  <c r="T31" i="53"/>
  <c r="T22" i="53"/>
  <c r="T13" i="53"/>
  <c r="T58" i="53"/>
  <c r="T50" i="53"/>
  <c r="T69" i="53"/>
  <c r="T40" i="53"/>
  <c r="T60" i="53"/>
  <c r="T23" i="53"/>
  <c r="T30" i="53"/>
  <c r="T57" i="53"/>
  <c r="T9" i="53"/>
  <c r="T15" i="53"/>
  <c r="D4" i="50"/>
  <c r="T66" i="53"/>
  <c r="T16" i="53"/>
  <c r="T34" i="53"/>
  <c r="T45" i="53"/>
  <c r="T24" i="53"/>
  <c r="T26" i="53"/>
  <c r="T56" i="53"/>
  <c r="T53" i="53"/>
  <c r="T61" i="53"/>
  <c r="T63" i="53"/>
  <c r="T36" i="53"/>
  <c r="T46" i="53"/>
  <c r="T29" i="53"/>
  <c r="T28" i="53"/>
  <c r="T33" i="53"/>
  <c r="T42" i="53"/>
  <c r="T47" i="53"/>
  <c r="T55" i="53"/>
  <c r="T32" i="53"/>
  <c r="T11" i="53"/>
  <c r="T67" i="53"/>
  <c r="T10" i="53"/>
  <c r="T62" i="53"/>
  <c r="T14" i="53"/>
  <c r="T25" i="53"/>
  <c r="T12" i="53"/>
  <c r="T21" i="53"/>
  <c r="T65" i="53"/>
  <c r="T19" i="53"/>
  <c r="T48" i="53"/>
  <c r="T64" i="53"/>
  <c r="T52" i="53"/>
  <c r="T43" i="53"/>
  <c r="T37" i="53"/>
  <c r="T44" i="53"/>
  <c r="T39" i="53"/>
  <c r="T8" i="53"/>
  <c r="T38" i="53"/>
  <c r="T17" i="53"/>
  <c r="T68" i="53"/>
  <c r="T27" i="53"/>
  <c r="T18" i="53"/>
  <c r="T20" i="53"/>
  <c r="T49" i="53"/>
  <c r="T41" i="53"/>
  <c r="T51" i="53"/>
  <c r="S70" i="55"/>
  <c r="T6" i="53"/>
  <c r="T58" i="56"/>
  <c r="T43" i="56"/>
  <c r="T44" i="56"/>
  <c r="T23" i="56"/>
  <c r="T51" i="56"/>
  <c r="T56" i="56"/>
  <c r="T26" i="56"/>
  <c r="T60" i="56"/>
  <c r="T47" i="56"/>
  <c r="T65" i="56"/>
  <c r="T20" i="56"/>
  <c r="T16" i="56"/>
  <c r="T35" i="56"/>
  <c r="T66" i="56"/>
  <c r="T11" i="56"/>
  <c r="T14" i="56"/>
  <c r="T39" i="56"/>
  <c r="T52" i="56"/>
  <c r="T46" i="56"/>
  <c r="T22" i="56"/>
  <c r="T53" i="56"/>
  <c r="T41" i="56"/>
  <c r="T59" i="56"/>
  <c r="T37" i="56"/>
  <c r="T34" i="56"/>
  <c r="T29" i="56"/>
  <c r="T13" i="56"/>
  <c r="T21" i="56"/>
  <c r="T61" i="56"/>
  <c r="T18" i="56"/>
  <c r="T33" i="56"/>
  <c r="T28" i="56"/>
  <c r="T24" i="56"/>
  <c r="T45" i="56"/>
  <c r="T19" i="56"/>
  <c r="T27" i="56"/>
  <c r="T64" i="56"/>
  <c r="T68" i="56"/>
  <c r="T48" i="56"/>
  <c r="T62" i="56"/>
  <c r="T15" i="56"/>
  <c r="T49" i="56"/>
  <c r="T54" i="56"/>
  <c r="T12" i="56"/>
  <c r="T40" i="56"/>
  <c r="D7" i="50"/>
  <c r="T50" i="56"/>
  <c r="T63" i="56"/>
  <c r="T25" i="56"/>
  <c r="T69" i="56"/>
  <c r="T31" i="56"/>
  <c r="T30" i="56"/>
  <c r="T10" i="56"/>
  <c r="T38" i="56"/>
  <c r="T67" i="56"/>
  <c r="T55" i="56"/>
  <c r="T42" i="56"/>
  <c r="T36" i="56"/>
  <c r="T32" i="56"/>
  <c r="T57" i="56"/>
  <c r="T17" i="56"/>
  <c r="U6" i="50"/>
  <c r="V6" i="50" s="1"/>
  <c r="G6" i="50" s="1"/>
  <c r="F6" i="50"/>
  <c r="R6" i="50"/>
  <c r="S6" i="50" s="1"/>
  <c r="G5" i="50" s="1"/>
  <c r="F3" i="50" l="1"/>
  <c r="S70" i="53"/>
  <c r="S70" i="60"/>
  <c r="T13" i="59"/>
  <c r="T57" i="59"/>
  <c r="T67" i="59"/>
  <c r="T18" i="59"/>
  <c r="T65" i="59"/>
  <c r="T27" i="59"/>
  <c r="T21" i="59"/>
  <c r="T43" i="59"/>
  <c r="T26" i="59"/>
  <c r="T54" i="59"/>
  <c r="T62" i="59"/>
  <c r="T56" i="59"/>
  <c r="T50" i="59"/>
  <c r="T59" i="59"/>
  <c r="T68" i="59"/>
  <c r="T28" i="59"/>
  <c r="T30" i="59"/>
  <c r="T31" i="59"/>
  <c r="T19" i="59"/>
  <c r="T53" i="59"/>
  <c r="T63" i="59"/>
  <c r="T35" i="59"/>
  <c r="T42" i="59"/>
  <c r="T48" i="59"/>
  <c r="T39" i="59"/>
  <c r="T69" i="59"/>
  <c r="T20" i="59"/>
  <c r="T66" i="59"/>
  <c r="T47" i="59"/>
  <c r="T36" i="59"/>
  <c r="T58" i="59"/>
  <c r="T52" i="59"/>
  <c r="T41" i="59"/>
  <c r="T32" i="59"/>
  <c r="T60" i="59"/>
  <c r="T45" i="59"/>
  <c r="T37" i="59"/>
  <c r="T34" i="59"/>
  <c r="T51" i="59"/>
  <c r="T40" i="59"/>
  <c r="T38" i="59"/>
  <c r="T23" i="59"/>
  <c r="T33" i="59"/>
  <c r="T61" i="59"/>
  <c r="T17" i="59"/>
  <c r="T25" i="59"/>
  <c r="T22" i="59"/>
  <c r="T46" i="59"/>
  <c r="T55" i="59"/>
  <c r="T14" i="59"/>
  <c r="T29" i="59"/>
  <c r="T64" i="59"/>
  <c r="T24" i="59"/>
  <c r="T15" i="59"/>
  <c r="T49" i="59"/>
  <c r="T16" i="59"/>
  <c r="T44" i="59"/>
  <c r="D10" i="50"/>
  <c r="L11" i="50"/>
  <c r="M11" i="50" s="1"/>
  <c r="F11" i="50"/>
  <c r="T58" i="57"/>
  <c r="T33" i="57"/>
  <c r="T12" i="57"/>
  <c r="T32" i="57"/>
  <c r="T15" i="57"/>
  <c r="T31" i="57"/>
  <c r="T57" i="57"/>
  <c r="T59" i="57"/>
  <c r="T54" i="57"/>
  <c r="T68" i="57"/>
  <c r="T69" i="57"/>
  <c r="T11" i="57"/>
  <c r="T65" i="57"/>
  <c r="T18" i="57"/>
  <c r="T56" i="57"/>
  <c r="T55" i="57"/>
  <c r="T53" i="57"/>
  <c r="D8" i="50"/>
  <c r="L8" i="50" s="1"/>
  <c r="M8" i="50" s="1"/>
  <c r="T47" i="57"/>
  <c r="T20" i="57"/>
  <c r="T50" i="57"/>
  <c r="T40" i="57"/>
  <c r="T52" i="57"/>
  <c r="T49" i="57"/>
  <c r="T66" i="57"/>
  <c r="T45" i="57"/>
  <c r="T67" i="57"/>
  <c r="T29" i="57"/>
  <c r="T41" i="57"/>
  <c r="T25" i="57"/>
  <c r="T42" i="57"/>
  <c r="T35" i="57"/>
  <c r="T14" i="57"/>
  <c r="T51" i="57"/>
  <c r="T43" i="57"/>
  <c r="T60" i="57"/>
  <c r="T17" i="57"/>
  <c r="T61" i="57"/>
  <c r="T39" i="57"/>
  <c r="T63" i="57"/>
  <c r="T44" i="57"/>
  <c r="T46" i="57"/>
  <c r="T28" i="57"/>
  <c r="T37" i="57"/>
  <c r="T13" i="57"/>
  <c r="T48" i="57"/>
  <c r="T36" i="57"/>
  <c r="T22" i="57"/>
  <c r="T21" i="57"/>
  <c r="T27" i="57"/>
  <c r="T38" i="57"/>
  <c r="T16" i="57"/>
  <c r="T62" i="57"/>
  <c r="T34" i="57"/>
  <c r="T64" i="57"/>
  <c r="T26" i="57"/>
  <c r="T24" i="57"/>
  <c r="T30" i="57"/>
  <c r="T23" i="57"/>
  <c r="T19" i="57"/>
  <c r="T29" i="61"/>
  <c r="T33" i="61"/>
  <c r="T68" i="61"/>
  <c r="T25" i="61"/>
  <c r="T59" i="61"/>
  <c r="T34" i="61"/>
  <c r="T57" i="61"/>
  <c r="T24" i="61"/>
  <c r="T38" i="61"/>
  <c r="T26" i="61"/>
  <c r="T63" i="61"/>
  <c r="T23" i="61"/>
  <c r="T45" i="61"/>
  <c r="T30" i="61"/>
  <c r="T22" i="61"/>
  <c r="T43" i="61"/>
  <c r="T16" i="61"/>
  <c r="T32" i="61"/>
  <c r="T37" i="61"/>
  <c r="T53" i="61"/>
  <c r="T64" i="61"/>
  <c r="T15" i="61"/>
  <c r="T36" i="61"/>
  <c r="T69" i="61"/>
  <c r="T40" i="61"/>
  <c r="T62" i="61"/>
  <c r="T65" i="61"/>
  <c r="T28" i="61"/>
  <c r="T27" i="61"/>
  <c r="T48" i="61"/>
  <c r="T31" i="61"/>
  <c r="T21" i="61"/>
  <c r="T55" i="61"/>
  <c r="T50" i="61"/>
  <c r="T52" i="61"/>
  <c r="T41" i="61"/>
  <c r="T58" i="61"/>
  <c r="T54" i="61"/>
  <c r="T61" i="61"/>
  <c r="T42" i="61"/>
  <c r="T18" i="61"/>
  <c r="T35" i="61"/>
  <c r="T44" i="61"/>
  <c r="T47" i="61"/>
  <c r="T56" i="61"/>
  <c r="T60" i="61"/>
  <c r="D12" i="50"/>
  <c r="L12" i="50" s="1"/>
  <c r="M12" i="50" s="1"/>
  <c r="T51" i="61"/>
  <c r="T19" i="61"/>
  <c r="T67" i="61"/>
  <c r="T17" i="61"/>
  <c r="T39" i="61"/>
  <c r="T46" i="61"/>
  <c r="T66" i="61"/>
  <c r="T20" i="61"/>
  <c r="T49" i="61"/>
  <c r="T12" i="59"/>
  <c r="S70" i="56"/>
  <c r="L4" i="50"/>
  <c r="M4" i="50" s="1"/>
  <c r="O4" i="50"/>
  <c r="P4" i="50" s="1"/>
  <c r="O6" i="50"/>
  <c r="P6" i="50" s="1"/>
  <c r="L5" i="50"/>
  <c r="M5" i="50" s="1"/>
  <c r="O5" i="50"/>
  <c r="P5" i="50" s="1"/>
  <c r="L6" i="50"/>
  <c r="M6" i="50" s="1"/>
  <c r="F4" i="50"/>
  <c r="L7" i="50"/>
  <c r="M7" i="50" s="1"/>
  <c r="F7" i="50"/>
  <c r="L9" i="50" l="1"/>
  <c r="M9" i="50" s="1"/>
  <c r="L10" i="50"/>
  <c r="M10" i="50" s="1"/>
  <c r="S70" i="59"/>
  <c r="S70" i="61"/>
  <c r="S70" i="57"/>
  <c r="U10" i="50"/>
  <c r="V10" i="50" s="1"/>
  <c r="G10" i="50" s="1"/>
  <c r="R10" i="50"/>
  <c r="S10" i="50" s="1"/>
  <c r="G9" i="50" s="1"/>
  <c r="F10" i="50"/>
  <c r="O12" i="50"/>
  <c r="P12" i="50" s="1"/>
  <c r="G12" i="50" s="1"/>
  <c r="F12" i="50"/>
  <c r="F8" i="50"/>
  <c r="O10" i="50"/>
  <c r="P10" i="50" s="1"/>
  <c r="O8" i="50"/>
  <c r="P8" i="50" s="1"/>
  <c r="O9" i="50"/>
  <c r="P9" i="50" s="1"/>
  <c r="G11" i="50"/>
  <c r="G4" i="50"/>
  <c r="G3" i="50"/>
  <c r="G7" i="50" l="1"/>
  <c r="G8" i="50"/>
</calcChain>
</file>

<file path=xl/sharedStrings.xml><?xml version="1.0" encoding="utf-8"?>
<sst xmlns="http://schemas.openxmlformats.org/spreadsheetml/2006/main" count="416" uniqueCount="61">
  <si>
    <t>Age</t>
  </si>
  <si>
    <t>Experience Adjustment</t>
  </si>
  <si>
    <t>Expected Pretax Income</t>
  </si>
  <si>
    <t>Experience Premium</t>
  </si>
  <si>
    <t>Experience Normalization</t>
  </si>
  <si>
    <t>Years of Education</t>
  </si>
  <si>
    <t>Expected Compensation</t>
  </si>
  <si>
    <t>Tuition</t>
  </si>
  <si>
    <t>Completion Probability</t>
  </si>
  <si>
    <t>Unemployment Probability</t>
  </si>
  <si>
    <t>2011 Tax Table, standard deduction 5800, personal exemption 3700, 10% state taxes &amp; local taxes, FICA, $300/week unemployment benefit</t>
  </si>
  <si>
    <t>Start Age</t>
  </si>
  <si>
    <t xml:space="preserve">Taxable Income </t>
  </si>
  <si>
    <t>Return to Education</t>
  </si>
  <si>
    <t>Expected Value</t>
  </si>
  <si>
    <t>Expected Present Value</t>
  </si>
  <si>
    <t>Years of Experience</t>
  </si>
  <si>
    <t>School Happiness</t>
  </si>
  <si>
    <t xml:space="preserve">Expected After-Tax Income </t>
  </si>
  <si>
    <t xml:space="preserve">Expected Taxes </t>
  </si>
  <si>
    <t>Initial Unemployment</t>
  </si>
  <si>
    <t>Return Rate</t>
  </si>
  <si>
    <t>Year 1 Probability Distribution</t>
  </si>
  <si>
    <t>Year 2 Probability Distribution</t>
  </si>
  <si>
    <t>Year 3 Probability Distribution</t>
  </si>
  <si>
    <t>Year 4 Probability Distribution</t>
  </si>
  <si>
    <t>Year 1 Stopping Return</t>
  </si>
  <si>
    <t>Year 2 Stopping Return</t>
  </si>
  <si>
    <t>Year 3 Stopping Return</t>
  </si>
  <si>
    <t>Year 4 Stopping Return</t>
  </si>
  <si>
    <t>Year 1 Stopping Rate</t>
  </si>
  <si>
    <t>Year 2 Stopping Rate</t>
  </si>
  <si>
    <t>Year 3 Stopping Rate</t>
  </si>
  <si>
    <t>Year 4 Stopping Rate</t>
  </si>
  <si>
    <t>Degree Return</t>
  </si>
  <si>
    <t xml:space="preserve"> Pretax Income</t>
  </si>
  <si>
    <t>Benefits</t>
  </si>
  <si>
    <t xml:space="preserve"> Pretax Income if Employed (including student earnings)</t>
  </si>
  <si>
    <t xml:space="preserve"> Benefits if Employed</t>
  </si>
  <si>
    <t>High School Tuition</t>
  </si>
  <si>
    <t>College Tuition</t>
  </si>
  <si>
    <t>School Feelings</t>
  </si>
  <si>
    <t>Participation Rate</t>
  </si>
  <si>
    <t>Social Income</t>
  </si>
  <si>
    <t>Social Benefits</t>
  </si>
  <si>
    <t>Social Unemployment</t>
  </si>
  <si>
    <t>Social Participation</t>
  </si>
  <si>
    <t>Average Net Tax Rate</t>
  </si>
  <si>
    <t>Expected Productivity if Participating</t>
  </si>
  <si>
    <t>Participation</t>
  </si>
  <si>
    <t>Nonparticipation Transfers</t>
  </si>
  <si>
    <t>Crime Risk Factor</t>
  </si>
  <si>
    <t>Crime Risk Factor from crimeworksheet.xls</t>
  </si>
  <si>
    <t>Social Crime Cost</t>
  </si>
  <si>
    <t>Expected Crime Costs</t>
  </si>
  <si>
    <t>Enhanced Participation Benefit</t>
  </si>
  <si>
    <t>Initial Social Participation</t>
  </si>
  <si>
    <t>Social Return to Education</t>
  </si>
  <si>
    <t>Crime Reduction Benefit</t>
  </si>
  <si>
    <t>Expected Productivity Benefit</t>
  </si>
  <si>
    <t>All other variables from metasocialcutexcellentr.xls and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</si>
</sst>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.0000000"/>
    <numFmt numFmtId="166" formatCode="0.0000"/>
    <numFmt numFmtId="167" formatCode="0.0"/>
    <numFmt numFmtId="168" formatCode="0.0%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164" fontId="3" fillId="0" borderId="0" applyFont="0" applyAlignment="0"/>
    <xf numFmtId="3" fontId="3" fillId="0" borderId="0"/>
    <xf numFmtId="1" fontId="3" fillId="0" borderId="0"/>
    <xf numFmtId="168" fontId="3" fillId="0" borderId="0"/>
    <xf numFmtId="164" fontId="6" fillId="0" borderId="0"/>
  </cellStyleXfs>
  <cellXfs count="32">
    <xf numFmtId="0" fontId="0" fillId="0" borderId="0" xfId="0"/>
    <xf numFmtId="164" fontId="0" fillId="0" borderId="0" xfId="0" applyNumberFormat="1"/>
    <xf numFmtId="164" fontId="3" fillId="0" borderId="0" xfId="0" applyNumberFormat="1" applyFont="1"/>
    <xf numFmtId="164" fontId="4" fillId="0" borderId="0" xfId="0" applyNumberFormat="1" applyFont="1"/>
    <xf numFmtId="165" fontId="0" fillId="0" borderId="0" xfId="0" applyNumberFormat="1"/>
    <xf numFmtId="1" fontId="0" fillId="0" borderId="0" xfId="0" applyNumberFormat="1"/>
    <xf numFmtId="166" fontId="0" fillId="0" borderId="0" xfId="0" applyNumberFormat="1"/>
    <xf numFmtId="1" fontId="3" fillId="0" borderId="0" xfId="0" applyNumberFormat="1" applyFont="1"/>
    <xf numFmtId="164" fontId="1" fillId="0" borderId="0" xfId="0" applyNumberFormat="1" applyFont="1"/>
    <xf numFmtId="0" fontId="1" fillId="0" borderId="0" xfId="0" applyFont="1"/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Border="1" applyAlignment="1">
      <alignment vertical="top" wrapText="1"/>
    </xf>
    <xf numFmtId="164" fontId="5" fillId="0" borderId="0" xfId="0" applyNumberFormat="1" applyFont="1"/>
    <xf numFmtId="2" fontId="0" fillId="0" borderId="0" xfId="0" applyNumberFormat="1"/>
    <xf numFmtId="0" fontId="3" fillId="0" borderId="0" xfId="0" applyNumberFormat="1" applyFont="1"/>
    <xf numFmtId="167" fontId="1" fillId="0" borderId="0" xfId="0" applyNumberFormat="1" applyFont="1"/>
    <xf numFmtId="0" fontId="3" fillId="0" borderId="0" xfId="0" applyNumberFormat="1" applyFont="1" applyBorder="1"/>
    <xf numFmtId="0" fontId="4" fillId="0" borderId="0" xfId="0" applyNumberFormat="1" applyFont="1" applyBorder="1" applyAlignment="1">
      <alignment vertical="top" wrapText="1"/>
    </xf>
    <xf numFmtId="1" fontId="1" fillId="0" borderId="0" xfId="0" applyNumberFormat="1" applyFont="1"/>
    <xf numFmtId="3" fontId="0" fillId="0" borderId="0" xfId="0" applyNumberFormat="1" applyAlignment="1">
      <alignment horizontal="right" vertical="center"/>
    </xf>
    <xf numFmtId="164" fontId="0" fillId="0" borderId="0" xfId="0" applyNumberFormat="1" applyFont="1"/>
    <xf numFmtId="3" fontId="3" fillId="0" borderId="0" xfId="2"/>
    <xf numFmtId="1" fontId="3" fillId="0" borderId="0" xfId="3"/>
    <xf numFmtId="0" fontId="0" fillId="0" borderId="0" xfId="0" applyAlignment="1">
      <alignment horizontal="right" vertical="center"/>
    </xf>
    <xf numFmtId="164" fontId="0" fillId="0" borderId="0" xfId="1" applyFont="1" applyAlignment="1">
      <alignment horizontal="right" vertical="center"/>
    </xf>
    <xf numFmtId="3" fontId="0" fillId="0" borderId="0" xfId="0" applyNumberFormat="1" applyFont="1"/>
    <xf numFmtId="164" fontId="3" fillId="0" borderId="0" xfId="1"/>
    <xf numFmtId="1" fontId="0" fillId="0" borderId="0" xfId="0" applyNumberFormat="1" applyFont="1"/>
    <xf numFmtId="0" fontId="0" fillId="0" borderId="0" xfId="0" applyNumberFormat="1" applyFont="1" applyBorder="1"/>
    <xf numFmtId="164" fontId="0" fillId="0" borderId="0" xfId="1" applyFont="1"/>
    <xf numFmtId="49" fontId="1" fillId="0" borderId="0" xfId="0" applyNumberFormat="1" applyFont="1"/>
    <xf numFmtId="0" fontId="7" fillId="0" borderId="0" xfId="0" applyFont="1" applyAlignment="1">
      <alignment horizontal="right" vertical="center"/>
    </xf>
  </cellXfs>
  <cellStyles count="6">
    <cellStyle name="3Decimals" xfId="1"/>
    <cellStyle name="NoDecimals" xfId="2"/>
    <cellStyle name="NoDecimalsNoComma" xfId="3"/>
    <cellStyle name="Normal" xfId="0" builtinId="0" customBuiltin="1"/>
    <cellStyle name="PercentOneDecimal" xfId="4"/>
    <cellStyle name="Style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2"/>
  <sheetViews>
    <sheetView tabSelected="1" workbookViewId="0">
      <selection activeCell="F18" sqref="F18"/>
    </sheetView>
  </sheetViews>
  <sheetFormatPr defaultRowHeight="12.75" x14ac:dyDescent="0.2"/>
  <cols>
    <col min="1" max="1" width="9.140625" style="18"/>
    <col min="2" max="3" width="12.42578125" style="8" customWidth="1"/>
    <col min="4" max="7" width="9.140625" style="8"/>
    <col min="8" max="8" width="9.5703125" style="8" customWidth="1"/>
    <col min="9" max="10" width="9.140625" style="8"/>
    <col min="11" max="11" width="9.5703125" style="8" customWidth="1"/>
    <col min="12" max="12" width="9.140625" style="9"/>
    <col min="13" max="16384" width="9.140625" style="8"/>
  </cols>
  <sheetData>
    <row r="1" spans="1:24" x14ac:dyDescent="0.2">
      <c r="A1" s="18" t="s">
        <v>5</v>
      </c>
      <c r="B1" s="20" t="s">
        <v>35</v>
      </c>
      <c r="C1" s="20" t="s">
        <v>36</v>
      </c>
      <c r="D1" s="8" t="s">
        <v>9</v>
      </c>
      <c r="E1" s="8" t="s">
        <v>8</v>
      </c>
      <c r="F1" s="20" t="s">
        <v>42</v>
      </c>
      <c r="H1" s="8" t="s">
        <v>3</v>
      </c>
      <c r="I1" s="8" t="s">
        <v>4</v>
      </c>
      <c r="L1" s="9" t="s">
        <v>16</v>
      </c>
      <c r="M1" s="8" t="s">
        <v>1</v>
      </c>
      <c r="N1" s="20" t="s">
        <v>0</v>
      </c>
      <c r="O1" s="20" t="s">
        <v>51</v>
      </c>
      <c r="P1" s="8" t="s">
        <v>39</v>
      </c>
      <c r="Q1" s="8" t="s">
        <v>40</v>
      </c>
      <c r="R1" s="8" t="s">
        <v>41</v>
      </c>
      <c r="S1" s="20" t="s">
        <v>50</v>
      </c>
      <c r="T1" s="20" t="s">
        <v>43</v>
      </c>
      <c r="U1" s="20" t="s">
        <v>44</v>
      </c>
      <c r="V1" s="20" t="s">
        <v>45</v>
      </c>
      <c r="W1" s="20" t="s">
        <v>53</v>
      </c>
      <c r="X1" s="20" t="s">
        <v>46</v>
      </c>
    </row>
    <row r="2" spans="1:24" x14ac:dyDescent="0.2">
      <c r="A2" s="18">
        <v>8</v>
      </c>
      <c r="B2" s="19">
        <v>133627</v>
      </c>
      <c r="C2" s="19">
        <v>59170</v>
      </c>
      <c r="D2" s="24">
        <v>5.7000000000000002E-2</v>
      </c>
      <c r="E2" s="24">
        <v>1</v>
      </c>
      <c r="F2" s="24">
        <v>0.60199999999999998</v>
      </c>
      <c r="H2" s="8">
        <v>2.5000000000000001E-2</v>
      </c>
      <c r="I2" s="10">
        <f>AVERAGE(M2:M53)</f>
        <v>2.0085479604911836</v>
      </c>
      <c r="J2" s="13"/>
      <c r="K2" s="18"/>
      <c r="L2" s="9">
        <v>0</v>
      </c>
      <c r="M2" s="8">
        <f t="shared" ref="M2:M33" si="0">(1+experiencepremium)^L2</f>
        <v>1</v>
      </c>
      <c r="N2" s="22">
        <v>14</v>
      </c>
      <c r="O2" s="31">
        <v>1.0940000000000001</v>
      </c>
      <c r="P2" s="25">
        <v>11298</v>
      </c>
      <c r="Q2" s="25">
        <v>8279</v>
      </c>
      <c r="R2" s="8">
        <v>0.28000000000000003</v>
      </c>
      <c r="S2" s="22">
        <f>4362+2192</f>
        <v>6554</v>
      </c>
      <c r="T2" s="19">
        <v>215722</v>
      </c>
      <c r="U2" s="19">
        <v>90954</v>
      </c>
      <c r="V2" s="24">
        <v>3.2000000000000001E-2</v>
      </c>
      <c r="W2" s="19">
        <v>1113</v>
      </c>
      <c r="X2" s="24">
        <v>0.72799999999999998</v>
      </c>
    </row>
    <row r="3" spans="1:24" x14ac:dyDescent="0.2">
      <c r="A3" s="18">
        <v>9</v>
      </c>
      <c r="B3" s="19">
        <v>141307</v>
      </c>
      <c r="C3" s="19">
        <v>62571</v>
      </c>
      <c r="D3" s="24">
        <v>5.3999999999999999E-2</v>
      </c>
      <c r="E3" s="24">
        <v>0.98599999999999999</v>
      </c>
      <c r="F3" s="24">
        <v>0.61799999999999999</v>
      </c>
      <c r="I3" s="10">
        <f>AVERAGE(M2:M52)</f>
        <v>1.978852107996969</v>
      </c>
      <c r="J3" s="13"/>
      <c r="K3" s="18"/>
      <c r="L3" s="9">
        <v>1</v>
      </c>
      <c r="M3" s="8">
        <f t="shared" si="0"/>
        <v>1.0249999999999999</v>
      </c>
      <c r="N3" s="22">
        <v>15</v>
      </c>
      <c r="O3" s="31">
        <v>1.8560000000000001</v>
      </c>
      <c r="Q3" s="15"/>
      <c r="R3" s="15"/>
      <c r="T3" s="19">
        <v>225200</v>
      </c>
      <c r="U3" s="19">
        <v>94950</v>
      </c>
      <c r="V3" s="24">
        <v>3.1E-2</v>
      </c>
      <c r="W3" s="19">
        <v>1090</v>
      </c>
      <c r="X3" s="24">
        <v>0.73599999999999999</v>
      </c>
    </row>
    <row r="4" spans="1:24" x14ac:dyDescent="0.2">
      <c r="A4" s="18">
        <v>10</v>
      </c>
      <c r="B4" s="19">
        <v>149428</v>
      </c>
      <c r="C4" s="19">
        <v>66167</v>
      </c>
      <c r="D4" s="24">
        <v>5.0999999999999997E-2</v>
      </c>
      <c r="E4" s="24">
        <v>0.98599999999999999</v>
      </c>
      <c r="F4" s="24">
        <v>0.63400000000000001</v>
      </c>
      <c r="I4" s="10">
        <f>AVERAGE(M2:M51)</f>
        <v>1.9496869757628374</v>
      </c>
      <c r="J4" s="13"/>
      <c r="K4" s="18"/>
      <c r="L4" s="9">
        <v>2</v>
      </c>
      <c r="M4" s="8">
        <f t="shared" si="0"/>
        <v>1.0506249999999999</v>
      </c>
      <c r="N4" s="22">
        <v>16</v>
      </c>
      <c r="O4" s="31">
        <v>2.3479999999999999</v>
      </c>
      <c r="Q4" s="15"/>
      <c r="R4" s="15"/>
      <c r="T4" s="19">
        <v>235095</v>
      </c>
      <c r="U4" s="19">
        <v>99122</v>
      </c>
      <c r="V4" s="24">
        <v>0.03</v>
      </c>
      <c r="W4" s="19">
        <v>1068</v>
      </c>
      <c r="X4" s="24">
        <v>0.745</v>
      </c>
    </row>
    <row r="5" spans="1:24" x14ac:dyDescent="0.2">
      <c r="A5" s="18">
        <v>11</v>
      </c>
      <c r="B5" s="19">
        <v>158016</v>
      </c>
      <c r="C5" s="19">
        <v>69970</v>
      </c>
      <c r="D5" s="24">
        <v>4.9000000000000002E-2</v>
      </c>
      <c r="E5" s="24">
        <v>0.98599999999999999</v>
      </c>
      <c r="F5" s="24">
        <v>0.65100000000000002</v>
      </c>
      <c r="I5" s="10">
        <f>AVERAGE(M2:M50)</f>
        <v>1.9210422854781857</v>
      </c>
      <c r="J5" s="13"/>
      <c r="K5" s="18"/>
      <c r="L5" s="9">
        <v>3</v>
      </c>
      <c r="M5" s="8">
        <f t="shared" si="0"/>
        <v>1.0768906249999999</v>
      </c>
      <c r="N5" s="22">
        <v>17</v>
      </c>
      <c r="O5" s="31">
        <v>2.7120000000000002</v>
      </c>
      <c r="Q5" s="15"/>
      <c r="R5" s="15"/>
      <c r="T5" s="19">
        <v>245424</v>
      </c>
      <c r="U5" s="19">
        <v>103477</v>
      </c>
      <c r="V5" s="24">
        <v>0.03</v>
      </c>
      <c r="W5" s="19">
        <v>1046</v>
      </c>
      <c r="X5" s="24">
        <v>0.754</v>
      </c>
    </row>
    <row r="6" spans="1:24" x14ac:dyDescent="0.2">
      <c r="A6" s="18">
        <v>12</v>
      </c>
      <c r="B6" s="19">
        <v>188893</v>
      </c>
      <c r="C6" s="19">
        <v>83642</v>
      </c>
      <c r="D6" s="24">
        <v>4.1000000000000002E-2</v>
      </c>
      <c r="E6" s="24">
        <v>0.98599999999999999</v>
      </c>
      <c r="F6" s="24">
        <v>0.70899999999999996</v>
      </c>
      <c r="I6" s="10">
        <f>AVERAGE(M2:M49)</f>
        <v>1.8929079672445346</v>
      </c>
      <c r="J6" s="13"/>
      <c r="K6" s="18"/>
      <c r="L6" s="9">
        <v>4</v>
      </c>
      <c r="M6" s="8">
        <f t="shared" si="0"/>
        <v>1.1038128906249998</v>
      </c>
      <c r="N6" s="22">
        <v>18</v>
      </c>
      <c r="O6" s="31">
        <v>3.2959999999999998</v>
      </c>
      <c r="Q6" s="15"/>
      <c r="R6" s="15"/>
      <c r="T6" s="19">
        <v>256206</v>
      </c>
      <c r="U6" s="19">
        <v>108023</v>
      </c>
      <c r="V6" s="24">
        <v>2.9000000000000001E-2</v>
      </c>
      <c r="W6" s="19">
        <v>1025</v>
      </c>
      <c r="X6" s="24">
        <v>0.76200000000000001</v>
      </c>
    </row>
    <row r="7" spans="1:24" x14ac:dyDescent="0.2">
      <c r="A7" s="18">
        <v>13</v>
      </c>
      <c r="B7" s="19">
        <v>197987</v>
      </c>
      <c r="C7" s="19">
        <v>87178</v>
      </c>
      <c r="D7" s="24">
        <v>0.04</v>
      </c>
      <c r="E7" s="24">
        <v>0.90300000000000002</v>
      </c>
      <c r="F7" s="24">
        <v>0.71599999999999997</v>
      </c>
      <c r="I7" s="10">
        <f>AVERAGE(M2:M48)</f>
        <v>1.8652741552202943</v>
      </c>
      <c r="J7" s="13"/>
      <c r="K7" s="18"/>
      <c r="L7" s="9">
        <v>5</v>
      </c>
      <c r="M7" s="8">
        <f t="shared" si="0"/>
        <v>1.1314082128906247</v>
      </c>
      <c r="N7" s="22">
        <v>19</v>
      </c>
      <c r="O7" s="31">
        <v>3.5230000000000001</v>
      </c>
      <c r="Q7" s="15"/>
      <c r="R7" s="15"/>
      <c r="T7" s="19">
        <v>269342</v>
      </c>
      <c r="U7" s="19">
        <v>113056</v>
      </c>
      <c r="V7" s="24">
        <v>2.9000000000000001E-2</v>
      </c>
      <c r="W7" s="19">
        <v>1017</v>
      </c>
      <c r="X7" s="24">
        <v>0.76600000000000001</v>
      </c>
    </row>
    <row r="8" spans="1:24" x14ac:dyDescent="0.2">
      <c r="A8" s="18">
        <v>14</v>
      </c>
      <c r="B8" s="19">
        <v>207520</v>
      </c>
      <c r="C8" s="19">
        <v>90865</v>
      </c>
      <c r="D8" s="24">
        <v>3.7999999999999999E-2</v>
      </c>
      <c r="E8" s="24">
        <v>0.90300000000000002</v>
      </c>
      <c r="F8" s="24">
        <v>0.72299999999999998</v>
      </c>
      <c r="I8" s="10">
        <f>AVERAGE(M2:M47)</f>
        <v>1.8381311833585117</v>
      </c>
      <c r="J8" s="13"/>
      <c r="K8" s="18"/>
      <c r="L8" s="9">
        <v>6</v>
      </c>
      <c r="M8" s="8">
        <f t="shared" si="0"/>
        <v>1.1596934182128902</v>
      </c>
      <c r="N8" s="22">
        <v>20</v>
      </c>
      <c r="O8" s="31">
        <v>3.3740000000000001</v>
      </c>
      <c r="Q8" s="15"/>
      <c r="R8" s="15"/>
      <c r="T8" s="19">
        <v>283151</v>
      </c>
      <c r="U8" s="19">
        <v>118323</v>
      </c>
      <c r="V8" s="24">
        <v>2.8000000000000001E-2</v>
      </c>
      <c r="W8" s="19">
        <v>1009</v>
      </c>
      <c r="X8" s="24">
        <v>0.77</v>
      </c>
    </row>
    <row r="9" spans="1:24" x14ac:dyDescent="0.2">
      <c r="A9" s="18">
        <v>15</v>
      </c>
      <c r="B9" s="19">
        <v>217511</v>
      </c>
      <c r="C9" s="19">
        <v>94706</v>
      </c>
      <c r="D9" s="24">
        <v>3.6999999999999998E-2</v>
      </c>
      <c r="E9" s="24">
        <v>0.90300000000000002</v>
      </c>
      <c r="F9" s="24">
        <v>0.73</v>
      </c>
      <c r="I9" s="10">
        <f>AVERAGE(M2:M46)</f>
        <v>1.8114695812355892</v>
      </c>
      <c r="J9" s="13"/>
      <c r="K9" s="18"/>
      <c r="L9" s="9">
        <v>7</v>
      </c>
      <c r="M9" s="8">
        <f t="shared" si="0"/>
        <v>1.1886857536682125</v>
      </c>
      <c r="N9" s="22">
        <v>21</v>
      </c>
      <c r="O9" s="31">
        <v>3.0640000000000001</v>
      </c>
      <c r="Q9" s="15"/>
      <c r="R9" s="15"/>
      <c r="T9" s="19">
        <v>297668</v>
      </c>
      <c r="U9" s="19">
        <v>123835</v>
      </c>
      <c r="V9" s="24">
        <v>2.8000000000000001E-2</v>
      </c>
      <c r="W9" s="19">
        <v>1001</v>
      </c>
      <c r="X9" s="24">
        <v>0.77300000000000002</v>
      </c>
    </row>
    <row r="10" spans="1:24" x14ac:dyDescent="0.2">
      <c r="A10" s="18">
        <v>16</v>
      </c>
      <c r="B10" s="19">
        <v>287675</v>
      </c>
      <c r="C10" s="19">
        <v>121535</v>
      </c>
      <c r="D10" s="24">
        <v>0.03</v>
      </c>
      <c r="E10" s="24">
        <v>0.90300000000000002</v>
      </c>
      <c r="F10" s="24">
        <v>0.77700000000000002</v>
      </c>
      <c r="I10" s="10">
        <f>AVERAGE(M2:M45)</f>
        <v>1.7852800699689915</v>
      </c>
      <c r="J10" s="13"/>
      <c r="K10" s="18"/>
      <c r="L10" s="9">
        <v>8</v>
      </c>
      <c r="M10" s="8">
        <f t="shared" si="0"/>
        <v>1.2184028975099177</v>
      </c>
      <c r="N10" s="22">
        <v>22</v>
      </c>
      <c r="O10" s="31">
        <v>2.8079999999999998</v>
      </c>
      <c r="Q10" s="15"/>
      <c r="R10" s="15"/>
      <c r="T10" s="19">
        <v>312929</v>
      </c>
      <c r="U10" s="19">
        <v>129604</v>
      </c>
      <c r="V10" s="24">
        <v>2.8000000000000001E-2</v>
      </c>
      <c r="W10" s="23">
        <v>994</v>
      </c>
      <c r="X10" s="24">
        <v>0.77700000000000002</v>
      </c>
    </row>
    <row r="11" spans="1:24" x14ac:dyDescent="0.2">
      <c r="A11" s="18">
        <v>17</v>
      </c>
      <c r="B11" s="19">
        <v>296241</v>
      </c>
      <c r="C11" s="19">
        <v>124605</v>
      </c>
      <c r="D11" s="24">
        <v>0.03</v>
      </c>
      <c r="E11" s="24">
        <v>0.70699999999999996</v>
      </c>
      <c r="F11" s="24">
        <v>0.77700000000000002</v>
      </c>
      <c r="I11" s="10">
        <f>AVERAGE(M2:M44)</f>
        <v>1.7595535582220223</v>
      </c>
      <c r="J11" s="13"/>
      <c r="K11" s="18"/>
      <c r="L11" s="9">
        <v>9</v>
      </c>
      <c r="M11" s="8">
        <f t="shared" si="0"/>
        <v>1.2488629699476654</v>
      </c>
      <c r="N11" s="22">
        <v>23</v>
      </c>
      <c r="O11" s="31">
        <v>2.6240000000000001</v>
      </c>
      <c r="Q11" s="15"/>
      <c r="R11" s="15"/>
      <c r="T11" s="19">
        <v>333459</v>
      </c>
      <c r="U11" s="19">
        <v>137411</v>
      </c>
      <c r="V11" s="24">
        <v>2.7E-2</v>
      </c>
      <c r="W11" s="23">
        <v>994</v>
      </c>
      <c r="X11" s="24">
        <v>0.77700000000000002</v>
      </c>
    </row>
    <row r="12" spans="1:24" x14ac:dyDescent="0.2">
      <c r="A12" s="18">
        <v>18</v>
      </c>
      <c r="B12" s="19">
        <v>355337</v>
      </c>
      <c r="C12" s="19">
        <v>145688</v>
      </c>
      <c r="D12" s="24">
        <v>2.7E-2</v>
      </c>
      <c r="E12" s="24">
        <v>0.70699999999999996</v>
      </c>
      <c r="F12" s="24">
        <v>0.77700000000000002</v>
      </c>
      <c r="I12" s="10">
        <f>AVERAGE(M2:M43)</f>
        <v>1.7342811382937739</v>
      </c>
      <c r="J12" s="13"/>
      <c r="K12" s="18"/>
      <c r="L12" s="9">
        <v>10</v>
      </c>
      <c r="M12" s="8">
        <f t="shared" si="0"/>
        <v>1.2800845441963571</v>
      </c>
      <c r="N12" s="22">
        <v>24</v>
      </c>
      <c r="O12" s="31">
        <v>2.5070000000000001</v>
      </c>
      <c r="Q12" s="15"/>
      <c r="R12" s="15"/>
      <c r="T12" s="19">
        <v>355337</v>
      </c>
      <c r="U12" s="19">
        <v>145688</v>
      </c>
      <c r="V12" s="24">
        <v>2.7E-2</v>
      </c>
      <c r="W12" s="23">
        <v>994</v>
      </c>
      <c r="X12" s="24">
        <v>0.77700000000000002</v>
      </c>
    </row>
    <row r="13" spans="1:24" x14ac:dyDescent="0.2">
      <c r="B13"/>
      <c r="C13"/>
      <c r="F13" s="2"/>
      <c r="L13" s="9">
        <v>11</v>
      </c>
      <c r="M13" s="8">
        <f t="shared" si="0"/>
        <v>1.312086657801266</v>
      </c>
      <c r="N13" s="22">
        <v>25</v>
      </c>
      <c r="O13" s="31">
        <v>2.105</v>
      </c>
    </row>
    <row r="14" spans="1:24" x14ac:dyDescent="0.2">
      <c r="B14" s="14"/>
      <c r="C14" s="14"/>
      <c r="D14" s="16"/>
      <c r="E14" s="16"/>
      <c r="F14" s="16"/>
      <c r="L14" s="9">
        <v>12</v>
      </c>
      <c r="M14" s="8">
        <f t="shared" si="0"/>
        <v>1.3448888242462975</v>
      </c>
      <c r="N14" s="22">
        <v>26</v>
      </c>
      <c r="O14" s="31">
        <v>2.105</v>
      </c>
    </row>
    <row r="15" spans="1:24" ht="14.25" x14ac:dyDescent="0.2">
      <c r="B15" s="14"/>
      <c r="C15" s="14"/>
      <c r="D15" s="17"/>
      <c r="E15" s="17"/>
      <c r="F15" s="28"/>
      <c r="L15" s="9">
        <v>13</v>
      </c>
      <c r="M15" s="8">
        <f t="shared" si="0"/>
        <v>1.3785110448524549</v>
      </c>
      <c r="N15" s="22">
        <v>27</v>
      </c>
      <c r="O15" s="31">
        <v>2.105</v>
      </c>
    </row>
    <row r="16" spans="1:24" ht="14.25" x14ac:dyDescent="0.2">
      <c r="B16" s="14"/>
      <c r="C16" s="14"/>
      <c r="D16" s="17"/>
      <c r="E16" s="17"/>
      <c r="F16" s="16" t="s">
        <v>52</v>
      </c>
      <c r="L16" s="9">
        <v>14</v>
      </c>
      <c r="M16" s="8">
        <f t="shared" si="0"/>
        <v>1.4129738209737661</v>
      </c>
      <c r="N16" s="22">
        <v>28</v>
      </c>
      <c r="O16" s="31">
        <v>2.105</v>
      </c>
    </row>
    <row r="17" spans="2:15" ht="14.25" x14ac:dyDescent="0.2">
      <c r="B17" s="14"/>
      <c r="C17" s="14"/>
      <c r="D17" s="17"/>
      <c r="E17" s="17"/>
      <c r="F17" s="28" t="s">
        <v>60</v>
      </c>
      <c r="L17" s="9">
        <v>15</v>
      </c>
      <c r="M17" s="8">
        <f t="shared" si="0"/>
        <v>1.4482981664981105</v>
      </c>
      <c r="N17" s="22">
        <v>29</v>
      </c>
      <c r="O17" s="31">
        <v>2.105</v>
      </c>
    </row>
    <row r="18" spans="2:15" ht="14.25" x14ac:dyDescent="0.2">
      <c r="B18" s="14"/>
      <c r="C18" s="14"/>
      <c r="D18" s="17"/>
      <c r="E18" s="17"/>
      <c r="F18" s="16"/>
      <c r="L18" s="9">
        <v>16</v>
      </c>
      <c r="M18" s="8">
        <f t="shared" si="0"/>
        <v>1.4845056206605631</v>
      </c>
      <c r="N18" s="22">
        <v>30</v>
      </c>
      <c r="O18" s="31">
        <v>1.6970000000000001</v>
      </c>
    </row>
    <row r="19" spans="2:15" ht="14.25" x14ac:dyDescent="0.2">
      <c r="B19" s="14"/>
      <c r="C19" s="14"/>
      <c r="D19" s="17"/>
      <c r="E19" s="17"/>
      <c r="F19" s="16"/>
      <c r="L19" s="9">
        <v>17</v>
      </c>
      <c r="M19" s="8">
        <f t="shared" si="0"/>
        <v>1.521618261177077</v>
      </c>
      <c r="N19" s="22">
        <v>31</v>
      </c>
      <c r="O19" s="31">
        <v>1.6970000000000001</v>
      </c>
    </row>
    <row r="20" spans="2:15" ht="14.25" x14ac:dyDescent="0.2">
      <c r="B20" s="14"/>
      <c r="C20" s="14"/>
      <c r="D20" s="17"/>
      <c r="E20" s="17"/>
      <c r="F20" s="16"/>
      <c r="L20" s="9">
        <v>18</v>
      </c>
      <c r="M20" s="8">
        <f t="shared" si="0"/>
        <v>1.559658717706504</v>
      </c>
      <c r="N20" s="22">
        <v>32</v>
      </c>
      <c r="O20" s="31">
        <v>1.6970000000000001</v>
      </c>
    </row>
    <row r="21" spans="2:15" ht="14.25" x14ac:dyDescent="0.2">
      <c r="B21" s="14"/>
      <c r="C21" s="14"/>
      <c r="D21" s="17"/>
      <c r="E21" s="17"/>
      <c r="F21" s="16"/>
      <c r="L21" s="9">
        <v>19</v>
      </c>
      <c r="M21" s="8">
        <f t="shared" si="0"/>
        <v>1.5986501856491666</v>
      </c>
      <c r="N21" s="22">
        <v>33</v>
      </c>
      <c r="O21" s="31">
        <v>1.6970000000000001</v>
      </c>
    </row>
    <row r="22" spans="2:15" ht="14.25" x14ac:dyDescent="0.2">
      <c r="B22" s="14"/>
      <c r="C22" s="14"/>
      <c r="D22" s="17"/>
      <c r="E22" s="17"/>
      <c r="F22" s="16"/>
      <c r="L22" s="9">
        <v>20</v>
      </c>
      <c r="M22" s="8">
        <f t="shared" si="0"/>
        <v>1.6386164402903955</v>
      </c>
      <c r="N22" s="22">
        <v>34</v>
      </c>
      <c r="O22" s="31">
        <v>1.6970000000000001</v>
      </c>
    </row>
    <row r="23" spans="2:15" ht="14.25" x14ac:dyDescent="0.2">
      <c r="B23" s="14"/>
      <c r="C23" s="14"/>
      <c r="D23" s="17"/>
      <c r="E23" s="17"/>
      <c r="F23" s="16"/>
      <c r="L23" s="9">
        <v>21</v>
      </c>
      <c r="M23" s="8">
        <f t="shared" si="0"/>
        <v>1.6795818512976552</v>
      </c>
      <c r="N23" s="22">
        <v>35</v>
      </c>
      <c r="O23" s="31">
        <v>1.3169999999999999</v>
      </c>
    </row>
    <row r="24" spans="2:15" ht="14.25" x14ac:dyDescent="0.2">
      <c r="B24" s="14"/>
      <c r="C24" s="14"/>
      <c r="D24" s="17"/>
      <c r="E24" s="17"/>
      <c r="F24" s="16"/>
      <c r="L24" s="9">
        <v>22</v>
      </c>
      <c r="M24" s="8">
        <f t="shared" si="0"/>
        <v>1.7215713975800966</v>
      </c>
      <c r="N24" s="22">
        <v>36</v>
      </c>
      <c r="O24" s="31">
        <v>1.3169999999999999</v>
      </c>
    </row>
    <row r="25" spans="2:15" ht="14.25" x14ac:dyDescent="0.2">
      <c r="B25" s="14"/>
      <c r="C25" s="14"/>
      <c r="D25" s="17"/>
      <c r="E25" s="17"/>
      <c r="F25" s="16"/>
      <c r="L25" s="9">
        <v>23</v>
      </c>
      <c r="M25" s="8">
        <f t="shared" si="0"/>
        <v>1.7646106825195991</v>
      </c>
      <c r="N25" s="22">
        <v>37</v>
      </c>
      <c r="O25" s="31">
        <v>1.3169999999999999</v>
      </c>
    </row>
    <row r="26" spans="2:15" x14ac:dyDescent="0.2">
      <c r="B26" s="14"/>
      <c r="C26" s="14"/>
      <c r="D26" s="16"/>
      <c r="E26" s="16"/>
      <c r="F26" s="16"/>
      <c r="L26" s="9">
        <v>24</v>
      </c>
      <c r="M26" s="8">
        <f t="shared" si="0"/>
        <v>1.8087259495825889</v>
      </c>
      <c r="N26" s="22">
        <v>38</v>
      </c>
      <c r="O26" s="31">
        <v>1.3169999999999999</v>
      </c>
    </row>
    <row r="27" spans="2:15" x14ac:dyDescent="0.2">
      <c r="B27" s="2"/>
      <c r="C27" s="2"/>
      <c r="D27" s="2"/>
      <c r="E27" s="2"/>
      <c r="F27" s="2"/>
      <c r="L27" s="9">
        <v>25</v>
      </c>
      <c r="M27" s="8">
        <f t="shared" si="0"/>
        <v>1.8539440983221533</v>
      </c>
      <c r="N27" s="22">
        <v>39</v>
      </c>
      <c r="O27" s="31">
        <v>1.3169999999999999</v>
      </c>
    </row>
    <row r="28" spans="2:15" x14ac:dyDescent="0.2">
      <c r="B28" s="2"/>
      <c r="C28" s="2"/>
      <c r="D28" s="2"/>
      <c r="E28" s="2"/>
      <c r="F28" s="2"/>
      <c r="L28" s="9">
        <v>26</v>
      </c>
      <c r="M28" s="8">
        <f t="shared" si="0"/>
        <v>1.9002927007802071</v>
      </c>
      <c r="N28" s="22">
        <v>40</v>
      </c>
      <c r="O28" s="31">
        <v>1.1519999999999999</v>
      </c>
    </row>
    <row r="29" spans="2:15" x14ac:dyDescent="0.2">
      <c r="L29" s="9">
        <v>27</v>
      </c>
      <c r="M29" s="8">
        <f t="shared" si="0"/>
        <v>1.9478000182997122</v>
      </c>
      <c r="N29" s="22">
        <v>41</v>
      </c>
      <c r="O29" s="31">
        <v>1.1519999999999999</v>
      </c>
    </row>
    <row r="30" spans="2:15" x14ac:dyDescent="0.2">
      <c r="L30" s="9">
        <v>28</v>
      </c>
      <c r="M30" s="8">
        <f t="shared" si="0"/>
        <v>1.9964950187572048</v>
      </c>
      <c r="N30" s="22">
        <v>42</v>
      </c>
      <c r="O30" s="31">
        <v>1.1519999999999999</v>
      </c>
    </row>
    <row r="31" spans="2:15" x14ac:dyDescent="0.2">
      <c r="L31" s="9">
        <v>29</v>
      </c>
      <c r="M31" s="8">
        <f t="shared" si="0"/>
        <v>2.0464073942261352</v>
      </c>
      <c r="N31" s="22">
        <v>43</v>
      </c>
      <c r="O31" s="31">
        <v>1.1519999999999999</v>
      </c>
    </row>
    <row r="32" spans="2:15" x14ac:dyDescent="0.2">
      <c r="L32" s="9">
        <v>30</v>
      </c>
      <c r="M32" s="8">
        <f t="shared" si="0"/>
        <v>2.097567579081788</v>
      </c>
      <c r="N32" s="22">
        <v>44</v>
      </c>
      <c r="O32" s="31">
        <v>1.1519999999999999</v>
      </c>
    </row>
    <row r="33" spans="12:15" x14ac:dyDescent="0.2">
      <c r="L33" s="9">
        <v>31</v>
      </c>
      <c r="M33" s="8">
        <f t="shared" si="0"/>
        <v>2.1500067685588333</v>
      </c>
      <c r="N33" s="22">
        <v>45</v>
      </c>
      <c r="O33" s="31">
        <v>0.93100000000000005</v>
      </c>
    </row>
    <row r="34" spans="12:15" x14ac:dyDescent="0.2">
      <c r="L34" s="9">
        <v>32</v>
      </c>
      <c r="M34" s="8">
        <f t="shared" ref="M34:M53" si="1">(1+experiencepremium)^L34</f>
        <v>2.2037569377728037</v>
      </c>
      <c r="N34" s="22">
        <v>46</v>
      </c>
      <c r="O34" s="31">
        <v>0.93100000000000005</v>
      </c>
    </row>
    <row r="35" spans="12:15" x14ac:dyDescent="0.2">
      <c r="L35" s="9">
        <v>33</v>
      </c>
      <c r="M35" s="8">
        <f t="shared" si="1"/>
        <v>2.2588508612171236</v>
      </c>
      <c r="N35" s="22">
        <v>47</v>
      </c>
      <c r="O35" s="31">
        <v>0.93100000000000005</v>
      </c>
    </row>
    <row r="36" spans="12:15" x14ac:dyDescent="0.2">
      <c r="L36" s="9">
        <v>34</v>
      </c>
      <c r="M36" s="8">
        <f t="shared" si="1"/>
        <v>2.3153221327475517</v>
      </c>
      <c r="N36" s="22">
        <v>48</v>
      </c>
      <c r="O36" s="31">
        <v>0.93100000000000005</v>
      </c>
    </row>
    <row r="37" spans="12:15" x14ac:dyDescent="0.2">
      <c r="L37" s="9">
        <v>35</v>
      </c>
      <c r="M37" s="8">
        <f t="shared" si="1"/>
        <v>2.3732051860662402</v>
      </c>
      <c r="N37" s="22">
        <v>49</v>
      </c>
      <c r="O37" s="31">
        <v>0.93100000000000005</v>
      </c>
    </row>
    <row r="38" spans="12:15" x14ac:dyDescent="0.2">
      <c r="L38" s="9">
        <v>36</v>
      </c>
      <c r="M38" s="8">
        <f t="shared" si="1"/>
        <v>2.4325353157178964</v>
      </c>
      <c r="N38" s="22">
        <v>50</v>
      </c>
      <c r="O38" s="31">
        <v>0.622</v>
      </c>
    </row>
    <row r="39" spans="12:15" x14ac:dyDescent="0.2">
      <c r="L39" s="9">
        <v>37</v>
      </c>
      <c r="M39" s="8">
        <f t="shared" si="1"/>
        <v>2.4933486986108435</v>
      </c>
      <c r="N39" s="22">
        <v>51</v>
      </c>
      <c r="O39" s="31">
        <v>0.622</v>
      </c>
    </row>
    <row r="40" spans="12:15" x14ac:dyDescent="0.2">
      <c r="L40" s="9">
        <v>38</v>
      </c>
      <c r="M40" s="8">
        <f t="shared" si="1"/>
        <v>2.555682416076114</v>
      </c>
      <c r="N40" s="22">
        <v>52</v>
      </c>
      <c r="O40" s="31">
        <v>0.622</v>
      </c>
    </row>
    <row r="41" spans="12:15" x14ac:dyDescent="0.2">
      <c r="L41" s="9">
        <v>39</v>
      </c>
      <c r="M41" s="8">
        <f t="shared" si="1"/>
        <v>2.6195744764780171</v>
      </c>
      <c r="N41" s="22">
        <v>53</v>
      </c>
      <c r="O41" s="31">
        <v>0.622</v>
      </c>
    </row>
    <row r="42" spans="12:15" x14ac:dyDescent="0.2">
      <c r="L42" s="9">
        <v>40</v>
      </c>
      <c r="M42" s="8">
        <f t="shared" si="1"/>
        <v>2.6850638383899672</v>
      </c>
      <c r="N42" s="22">
        <v>54</v>
      </c>
      <c r="O42" s="31">
        <v>0.622</v>
      </c>
    </row>
    <row r="43" spans="12:15" x14ac:dyDescent="0.2">
      <c r="L43" s="9">
        <v>41</v>
      </c>
      <c r="M43" s="8">
        <f t="shared" si="1"/>
        <v>2.7521904343497163</v>
      </c>
      <c r="N43" s="22">
        <v>55</v>
      </c>
      <c r="O43" s="31">
        <v>0.34499999999999997</v>
      </c>
    </row>
    <row r="44" spans="12:15" x14ac:dyDescent="0.2">
      <c r="L44" s="9">
        <v>42</v>
      </c>
      <c r="M44" s="8">
        <f t="shared" si="1"/>
        <v>2.8209951952084591</v>
      </c>
      <c r="N44" s="22">
        <v>56</v>
      </c>
      <c r="O44" s="31">
        <v>0.34499999999999997</v>
      </c>
    </row>
    <row r="45" spans="12:15" x14ac:dyDescent="0.2">
      <c r="L45" s="9">
        <v>43</v>
      </c>
      <c r="M45" s="8">
        <f t="shared" si="1"/>
        <v>2.8915200750886707</v>
      </c>
      <c r="N45" s="22">
        <v>57</v>
      </c>
      <c r="O45" s="31">
        <v>0.34499999999999997</v>
      </c>
    </row>
    <row r="46" spans="12:15" x14ac:dyDescent="0.2">
      <c r="L46" s="9">
        <v>44</v>
      </c>
      <c r="M46" s="8">
        <f t="shared" si="1"/>
        <v>2.9638080769658868</v>
      </c>
      <c r="N46" s="22">
        <v>58</v>
      </c>
      <c r="O46" s="31">
        <v>0.34499999999999997</v>
      </c>
    </row>
    <row r="47" spans="12:15" x14ac:dyDescent="0.2">
      <c r="L47" s="9">
        <v>45</v>
      </c>
      <c r="M47" s="8">
        <f t="shared" si="1"/>
        <v>3.0379032788900342</v>
      </c>
      <c r="N47" s="22">
        <v>59</v>
      </c>
      <c r="O47" s="31">
        <v>0.34499999999999997</v>
      </c>
    </row>
    <row r="48" spans="12:15" x14ac:dyDescent="0.2">
      <c r="L48" s="9">
        <v>46</v>
      </c>
      <c r="M48" s="8">
        <f t="shared" si="1"/>
        <v>3.1138508608622844</v>
      </c>
      <c r="N48" s="22">
        <v>60</v>
      </c>
      <c r="O48" s="31">
        <v>0.182</v>
      </c>
    </row>
    <row r="49" spans="12:15" x14ac:dyDescent="0.2">
      <c r="L49" s="9">
        <v>47</v>
      </c>
      <c r="M49" s="8">
        <f t="shared" si="1"/>
        <v>3.1916971323838421</v>
      </c>
      <c r="N49" s="22">
        <v>61</v>
      </c>
      <c r="O49" s="31">
        <v>0.182</v>
      </c>
    </row>
    <row r="50" spans="12:15" x14ac:dyDescent="0.2">
      <c r="L50" s="9">
        <v>48</v>
      </c>
      <c r="M50" s="8">
        <f t="shared" si="1"/>
        <v>3.2714895606934378</v>
      </c>
      <c r="N50" s="22">
        <v>62</v>
      </c>
      <c r="O50" s="31">
        <v>0.182</v>
      </c>
    </row>
    <row r="51" spans="12:15" x14ac:dyDescent="0.2">
      <c r="L51" s="9">
        <v>49</v>
      </c>
      <c r="M51" s="8">
        <f t="shared" si="1"/>
        <v>3.3532767997107733</v>
      </c>
      <c r="N51" s="22">
        <v>63</v>
      </c>
      <c r="O51" s="31">
        <v>0.182</v>
      </c>
    </row>
    <row r="52" spans="12:15" x14ac:dyDescent="0.2">
      <c r="L52" s="9">
        <v>50</v>
      </c>
      <c r="M52" s="8">
        <f t="shared" si="1"/>
        <v>3.4371087197035428</v>
      </c>
      <c r="N52" s="22">
        <v>64</v>
      </c>
      <c r="O52" s="31">
        <v>0.182</v>
      </c>
    </row>
    <row r="53" spans="12:15" x14ac:dyDescent="0.2">
      <c r="L53" s="9">
        <v>51</v>
      </c>
      <c r="M53" s="8">
        <f t="shared" si="1"/>
        <v>3.5230364376961316</v>
      </c>
      <c r="N53" s="22">
        <v>65</v>
      </c>
      <c r="O53" s="31">
        <v>5.5E-2</v>
      </c>
    </row>
    <row r="54" spans="12:15" x14ac:dyDescent="0.2">
      <c r="N54" s="22">
        <v>66</v>
      </c>
      <c r="O54" s="31">
        <v>5.5E-2</v>
      </c>
    </row>
    <row r="55" spans="12:15" x14ac:dyDescent="0.2">
      <c r="N55" s="22">
        <v>67</v>
      </c>
      <c r="O55" s="31">
        <v>5.5E-2</v>
      </c>
    </row>
    <row r="56" spans="12:15" x14ac:dyDescent="0.2">
      <c r="N56" s="22">
        <v>68</v>
      </c>
      <c r="O56" s="31">
        <v>5.5E-2</v>
      </c>
    </row>
    <row r="57" spans="12:15" x14ac:dyDescent="0.2">
      <c r="N57" s="22">
        <v>69</v>
      </c>
      <c r="O57" s="31">
        <v>5.5E-2</v>
      </c>
    </row>
    <row r="58" spans="12:15" x14ac:dyDescent="0.2">
      <c r="N58" s="22">
        <v>70</v>
      </c>
      <c r="O58" s="31">
        <v>5.5E-2</v>
      </c>
    </row>
    <row r="59" spans="12:15" x14ac:dyDescent="0.2">
      <c r="N59" s="22">
        <v>71</v>
      </c>
      <c r="O59" s="31">
        <v>5.5E-2</v>
      </c>
    </row>
    <row r="60" spans="12:15" x14ac:dyDescent="0.2">
      <c r="N60" s="22">
        <v>72</v>
      </c>
      <c r="O60" s="31">
        <v>5.5E-2</v>
      </c>
    </row>
    <row r="61" spans="12:15" x14ac:dyDescent="0.2">
      <c r="N61" s="22">
        <v>73</v>
      </c>
      <c r="O61" s="31">
        <v>5.5E-2</v>
      </c>
    </row>
    <row r="62" spans="12:15" x14ac:dyDescent="0.2">
      <c r="N62" s="22">
        <v>74</v>
      </c>
      <c r="O62" s="31">
        <v>5.5E-2</v>
      </c>
    </row>
    <row r="63" spans="12:15" x14ac:dyDescent="0.2">
      <c r="N63" s="22">
        <v>75</v>
      </c>
      <c r="O63" s="31">
        <v>5.5E-2</v>
      </c>
    </row>
    <row r="64" spans="12:15" x14ac:dyDescent="0.2">
      <c r="N64" s="22">
        <v>76</v>
      </c>
      <c r="O64" s="31">
        <v>5.5E-2</v>
      </c>
    </row>
    <row r="65" spans="14:15" x14ac:dyDescent="0.2">
      <c r="N65" s="22">
        <v>77</v>
      </c>
      <c r="O65" s="31">
        <v>5.5E-2</v>
      </c>
    </row>
    <row r="66" spans="14:15" x14ac:dyDescent="0.2">
      <c r="N66" s="22">
        <v>78</v>
      </c>
      <c r="O66" s="31">
        <v>5.5E-2</v>
      </c>
    </row>
    <row r="67" spans="14:15" x14ac:dyDescent="0.2">
      <c r="N67" s="22">
        <v>79</v>
      </c>
      <c r="O67" s="31">
        <v>5.5E-2</v>
      </c>
    </row>
    <row r="68" spans="14:15" x14ac:dyDescent="0.2">
      <c r="N68" s="22">
        <v>80</v>
      </c>
      <c r="O68" s="31">
        <v>5.5E-2</v>
      </c>
    </row>
    <row r="69" spans="14:15" x14ac:dyDescent="0.2">
      <c r="N69" s="22">
        <v>81</v>
      </c>
      <c r="O69" s="31">
        <v>5.5E-2</v>
      </c>
    </row>
    <row r="70" spans="14:15" x14ac:dyDescent="0.2">
      <c r="N70" s="22">
        <v>82</v>
      </c>
      <c r="O70" s="31">
        <v>5.5E-2</v>
      </c>
    </row>
    <row r="71" spans="14:15" x14ac:dyDescent="0.2">
      <c r="N71" s="22">
        <v>83</v>
      </c>
      <c r="O71" s="31">
        <v>5.5E-2</v>
      </c>
    </row>
    <row r="72" spans="14:15" x14ac:dyDescent="0.2">
      <c r="N72" s="22">
        <v>84</v>
      </c>
      <c r="O72" s="31">
        <v>5.5E-2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Q2" sqref="Q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Meta!A9+6</f>
        <v>21</v>
      </c>
      <c r="C2" s="7">
        <f>Meta!B9</f>
        <v>217511</v>
      </c>
      <c r="D2" s="7">
        <f>Meta!C9</f>
        <v>94706</v>
      </c>
      <c r="E2" s="1">
        <f>Meta!D9</f>
        <v>3.6999999999999998E-2</v>
      </c>
      <c r="F2" s="1">
        <f>Meta!F9</f>
        <v>0.73</v>
      </c>
      <c r="G2" s="1">
        <f>Meta!I9</f>
        <v>1.8114695812355892</v>
      </c>
      <c r="H2" s="1">
        <f>Meta!E9</f>
        <v>0.90300000000000002</v>
      </c>
      <c r="I2" s="13"/>
      <c r="J2" s="1">
        <f>Meta!X8</f>
        <v>0.77</v>
      </c>
      <c r="K2" s="1">
        <f>Meta!D8</f>
        <v>3.7999999999999999E-2</v>
      </c>
      <c r="L2" s="29"/>
      <c r="N2" s="22">
        <f>Meta!T9</f>
        <v>297668</v>
      </c>
      <c r="O2" s="22">
        <f>Meta!U9</f>
        <v>123835</v>
      </c>
      <c r="P2" s="1">
        <f>Meta!V9</f>
        <v>2.8000000000000001E-2</v>
      </c>
      <c r="Q2" s="1">
        <f>Meta!X9</f>
        <v>0.77300000000000002</v>
      </c>
      <c r="R2" s="22">
        <f>Meta!W9</f>
        <v>1001</v>
      </c>
      <c r="T2" s="12">
        <f>IRR(S5:S69)+1</f>
        <v>1.0391726012094973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B11" s="1">
        <v>1</v>
      </c>
      <c r="C11" s="5">
        <f>0.1*Grade14!C11</f>
        <v>11289.72740785743</v>
      </c>
      <c r="D11" s="5">
        <f t="shared" ref="D11:D36" si="0">IF(A11&lt;startage,1,0)*(C11*(1-initialunempprob))+IF(A11=startage,1,0)*(C11*(1-unempprob))+IF(A11&gt;startage,1,0)*(C11*(1-unempprob)+unempprob*300*52)</f>
        <v>10860.717766358848</v>
      </c>
      <c r="E11" s="5">
        <f t="shared" ref="E11:E56" si="1">IF(D11-9500&gt;0,1,0)*(D11-9500)</f>
        <v>1360.7177663588482</v>
      </c>
      <c r="F11" s="5">
        <f t="shared" ref="F11:F56" si="2">IF(E11&lt;=8500,1,0)*(0.1*E11+0.1*E11+0.0765*D11)+IF(AND(E11&gt;8500,E11&lt;=34500),1,0)*(850+0.15*(E11-8500)+0.1*E11+0.0765*D11)+IF(AND(E11&gt;34500,E11&lt;=83600),1,0)*(4750+0.25*(E11-34500)+0.1*E11+0.0765*D11)+IF(AND(E11&gt;83600,E11&lt;=174400,D11&lt;=106800),1,0)*(17025+0.28*(E11-83600)+0.1*E11+0.0765*D11)+IF(AND(E11&gt;83600,E11&lt;=174400,D11&gt;106800),1,0)*(17025+0.28*(E11-83600)+0.1*E11+8170.2+0.0145*(D11-106800))+IF(AND(E11&gt;174400,E11&lt;=379150),1,0)*(42449+0.33*(E11-174400)+0.1*E11+8170.2+0.0145*(D11-106800))+IF(E11&gt;379150,1,0)*(110016.5+0.35*(E11-379150)+0.1*E11+8170.2+0.0145*(D11-106800))</f>
        <v>1102.9884623982216</v>
      </c>
      <c r="G11" s="5">
        <f t="shared" ref="G11:G56" si="3">D11-F11</f>
        <v>9757.7293039606266</v>
      </c>
      <c r="H11" s="22">
        <f>0.1*Grade14!H11</f>
        <v>4943.3359720266262</v>
      </c>
      <c r="I11" s="5">
        <f t="shared" ref="I11:I36" si="4">G11+IF(A11&lt;startage,1,0)*(H11*(1-initialunempprob))+IF(A11&gt;=startage,1,0)*(H11*(1-unempprob))</f>
        <v>14513.218509050241</v>
      </c>
      <c r="J11" s="26">
        <f t="shared" ref="J11:J56" si="5">(F11-(IF(A11&gt;startage,1,0)*(unempprob*300*52)))/(IF(A11&lt;startage,1,0)*((C11+H11)*(1-initialunempprob))+IF(A11&gt;=startage,1,0)*((C11+H11)*(1-unempprob)))</f>
        <v>7.0631009464388217E-2</v>
      </c>
      <c r="L11" s="22">
        <f>0.1*Grade14!L11</f>
        <v>21229.862783079094</v>
      </c>
      <c r="M11" s="5">
        <f>scrimecost*Meta!O8</f>
        <v>3377.3740000000003</v>
      </c>
      <c r="N11" s="5">
        <f>L11-Grade14!L11</f>
        <v>-191068.76504771184</v>
      </c>
      <c r="O11" s="5"/>
      <c r="P11" s="22"/>
      <c r="Q11" s="22">
        <f>0.05*feel*Grade14!G11</f>
        <v>967.86264505423958</v>
      </c>
      <c r="R11" s="22">
        <f>coltuition</f>
        <v>8279</v>
      </c>
      <c r="S11" s="22">
        <f t="shared" ref="S11:S42" si="6">IF(A11&lt;startage,1,0)*(N11-Q11-R11)+IF(A11&gt;=startage,1,0)*completionprob*(N11*spart+O11+P11)</f>
        <v>-200315.62769276608</v>
      </c>
      <c r="T11" s="22">
        <f t="shared" ref="T11:T42" si="7">S11/sreturn^(A11-startage+1)</f>
        <v>-200315.62769276608</v>
      </c>
    </row>
    <row r="12" spans="1:20" x14ac:dyDescent="0.2">
      <c r="A12" s="5">
        <v>21</v>
      </c>
      <c r="B12" s="1">
        <f t="shared" ref="B12:B36" si="8">(1+experiencepremium)^(A12-startage)</f>
        <v>1</v>
      </c>
      <c r="C12" s="5">
        <f t="shared" ref="C12:C36" si="9">pretaxincome*B12/expnorm</f>
        <v>120074.33205234252</v>
      </c>
      <c r="D12" s="5">
        <f t="shared" si="0"/>
        <v>115631.58176640584</v>
      </c>
      <c r="E12" s="5">
        <f t="shared" si="1"/>
        <v>106131.58176640584</v>
      </c>
      <c r="F12" s="5">
        <f t="shared" si="2"/>
        <v>42245.259006847104</v>
      </c>
      <c r="G12" s="5">
        <f t="shared" si="3"/>
        <v>73386.322759558738</v>
      </c>
      <c r="H12" s="22">
        <f t="shared" ref="H12:H36" si="10">benefits*B12/expnorm</f>
        <v>52281.30849175054</v>
      </c>
      <c r="I12" s="5">
        <f t="shared" si="4"/>
        <v>123733.2228371145</v>
      </c>
      <c r="J12" s="26">
        <f t="shared" si="5"/>
        <v>0.25452250519174158</v>
      </c>
      <c r="L12" s="22">
        <f t="shared" ref="L12:L36" si="11">(sincome+sbenefits)*(1-sunemp)*B12/expnorm</f>
        <v>226170.46416012471</v>
      </c>
      <c r="M12" s="5">
        <f>scrimecost*Meta!O9</f>
        <v>3067.0639999999999</v>
      </c>
      <c r="N12" s="5">
        <f>L12-Grade14!L12</f>
        <v>8564.3706335640163</v>
      </c>
      <c r="O12" s="5">
        <f>Grade14!M12-M12</f>
        <v>24.512000000000171</v>
      </c>
      <c r="P12" s="22">
        <f t="shared" ref="P12:P56" si="12">(spart-initialspart)*(L12*J12+nptrans)</f>
        <v>192.358419415242</v>
      </c>
      <c r="Q12" s="22"/>
      <c r="R12" s="22"/>
      <c r="S12" s="22">
        <f t="shared" si="6"/>
        <v>6173.9274140016851</v>
      </c>
      <c r="T12" s="22">
        <f t="shared" si="7"/>
        <v>5941.1953383064811</v>
      </c>
    </row>
    <row r="13" spans="1:20" x14ac:dyDescent="0.2">
      <c r="A13" s="5">
        <v>22</v>
      </c>
      <c r="B13" s="1">
        <f t="shared" si="8"/>
        <v>1.0249999999999999</v>
      </c>
      <c r="C13" s="5">
        <f t="shared" si="9"/>
        <v>123076.19035365108</v>
      </c>
      <c r="D13" s="5">
        <f t="shared" si="0"/>
        <v>119099.57131056598</v>
      </c>
      <c r="E13" s="5">
        <f t="shared" si="1"/>
        <v>109599.57131056598</v>
      </c>
      <c r="F13" s="5">
        <f t="shared" si="2"/>
        <v>43613.380882018282</v>
      </c>
      <c r="G13" s="5">
        <f t="shared" si="3"/>
        <v>75486.190428547707</v>
      </c>
      <c r="H13" s="22">
        <f t="shared" si="10"/>
        <v>53588.3412040443</v>
      </c>
      <c r="I13" s="5">
        <f t="shared" si="4"/>
        <v>127091.76300804236</v>
      </c>
      <c r="J13" s="26">
        <f t="shared" si="5"/>
        <v>0.25296362195400973</v>
      </c>
      <c r="L13" s="22">
        <f t="shared" si="11"/>
        <v>231824.72576412783</v>
      </c>
      <c r="M13" s="5">
        <f>scrimecost*Meta!O10</f>
        <v>2810.808</v>
      </c>
      <c r="N13" s="5">
        <f>L13-Grade14!L13</f>
        <v>8778.4798994031153</v>
      </c>
      <c r="O13" s="5">
        <f>Grade14!M13-M13</f>
        <v>22.463999999999942</v>
      </c>
      <c r="P13" s="22">
        <f t="shared" si="12"/>
        <v>195.59166686336661</v>
      </c>
      <c r="Q13" s="22"/>
      <c r="R13" s="22"/>
      <c r="S13" s="22">
        <f t="shared" si="6"/>
        <v>6324.4500280790826</v>
      </c>
      <c r="T13" s="22">
        <f t="shared" si="7"/>
        <v>5856.6246376796535</v>
      </c>
    </row>
    <row r="14" spans="1:20" x14ac:dyDescent="0.2">
      <c r="A14" s="5">
        <v>23</v>
      </c>
      <c r="B14" s="1">
        <f t="shared" si="8"/>
        <v>1.0506249999999999</v>
      </c>
      <c r="C14" s="5">
        <f t="shared" si="9"/>
        <v>126153.09511249236</v>
      </c>
      <c r="D14" s="5">
        <f t="shared" si="0"/>
        <v>122062.63059333013</v>
      </c>
      <c r="E14" s="5">
        <f t="shared" si="1"/>
        <v>112562.63059333013</v>
      </c>
      <c r="F14" s="5">
        <f t="shared" si="2"/>
        <v>44782.307769068742</v>
      </c>
      <c r="G14" s="5">
        <f t="shared" si="3"/>
        <v>77280.322824261384</v>
      </c>
      <c r="H14" s="22">
        <f t="shared" si="10"/>
        <v>54928.049734145403</v>
      </c>
      <c r="I14" s="5">
        <f t="shared" si="4"/>
        <v>130176.03471824341</v>
      </c>
      <c r="J14" s="26">
        <f t="shared" si="5"/>
        <v>0.25349706475449357</v>
      </c>
      <c r="L14" s="22">
        <f t="shared" si="11"/>
        <v>237620.34390823101</v>
      </c>
      <c r="M14" s="5">
        <f>scrimecost*Meta!O11</f>
        <v>2626.6240000000003</v>
      </c>
      <c r="N14" s="5">
        <f>L14-Grade14!L14</f>
        <v>8997.9418968881655</v>
      </c>
      <c r="O14" s="5">
        <f>Grade14!M14-M14</f>
        <v>20.991999999999734</v>
      </c>
      <c r="P14" s="22">
        <f t="shared" si="12"/>
        <v>200.37017912006982</v>
      </c>
      <c r="Q14" s="22"/>
      <c r="R14" s="22"/>
      <c r="S14" s="22">
        <f t="shared" si="6"/>
        <v>6480.6244526694045</v>
      </c>
      <c r="T14" s="22">
        <f t="shared" si="7"/>
        <v>5775.0239847889497</v>
      </c>
    </row>
    <row r="15" spans="1:20" x14ac:dyDescent="0.2">
      <c r="A15" s="5">
        <v>24</v>
      </c>
      <c r="B15" s="1">
        <f t="shared" si="8"/>
        <v>1.0768906249999999</v>
      </c>
      <c r="C15" s="5">
        <f t="shared" si="9"/>
        <v>129306.92249030467</v>
      </c>
      <c r="D15" s="5">
        <f t="shared" si="0"/>
        <v>125099.7663581634</v>
      </c>
      <c r="E15" s="5">
        <f t="shared" si="1"/>
        <v>115599.7663581634</v>
      </c>
      <c r="F15" s="5">
        <f t="shared" si="2"/>
        <v>45980.457828295454</v>
      </c>
      <c r="G15" s="5">
        <f t="shared" si="3"/>
        <v>79119.308529867936</v>
      </c>
      <c r="H15" s="22">
        <f t="shared" si="10"/>
        <v>56301.250977499032</v>
      </c>
      <c r="I15" s="5">
        <f t="shared" si="4"/>
        <v>133337.4132211995</v>
      </c>
      <c r="J15" s="26">
        <f t="shared" si="5"/>
        <v>0.2540174967549656</v>
      </c>
      <c r="L15" s="22">
        <f t="shared" si="11"/>
        <v>243560.85250593678</v>
      </c>
      <c r="M15" s="5">
        <f>scrimecost*Meta!O12</f>
        <v>2509.5070000000001</v>
      </c>
      <c r="N15" s="5">
        <f>L15-Grade14!L15</f>
        <v>9222.8904443104111</v>
      </c>
      <c r="O15" s="5">
        <f>Grade14!M15-M15</f>
        <v>20.05600000000004</v>
      </c>
      <c r="P15" s="22">
        <f t="shared" si="12"/>
        <v>205.26815418319055</v>
      </c>
      <c r="Q15" s="22"/>
      <c r="R15" s="22"/>
      <c r="S15" s="22">
        <f t="shared" si="6"/>
        <v>6641.2204762745314</v>
      </c>
      <c r="T15" s="22">
        <f t="shared" si="7"/>
        <v>5695.0448388895393</v>
      </c>
    </row>
    <row r="16" spans="1:20" x14ac:dyDescent="0.2">
      <c r="A16" s="5">
        <v>25</v>
      </c>
      <c r="B16" s="1">
        <f t="shared" si="8"/>
        <v>1.1038128906249998</v>
      </c>
      <c r="C16" s="5">
        <f t="shared" si="9"/>
        <v>132539.59555256227</v>
      </c>
      <c r="D16" s="5">
        <f t="shared" si="0"/>
        <v>128212.83051711746</v>
      </c>
      <c r="E16" s="5">
        <f t="shared" si="1"/>
        <v>118712.83051711746</v>
      </c>
      <c r="F16" s="5">
        <f t="shared" si="2"/>
        <v>47208.561639002837</v>
      </c>
      <c r="G16" s="5">
        <f t="shared" si="3"/>
        <v>81004.268878114613</v>
      </c>
      <c r="H16" s="22">
        <f t="shared" si="10"/>
        <v>57708.782251936507</v>
      </c>
      <c r="I16" s="5">
        <f t="shared" si="4"/>
        <v>136577.82618672948</v>
      </c>
      <c r="J16" s="26">
        <f t="shared" si="5"/>
        <v>0.25452523529201149</v>
      </c>
      <c r="L16" s="22">
        <f t="shared" si="11"/>
        <v>249649.87381858518</v>
      </c>
      <c r="M16" s="5">
        <f>scrimecost*Meta!O13</f>
        <v>2107.105</v>
      </c>
      <c r="N16" s="5">
        <f>L16-Grade14!L16</f>
        <v>9453.4627054181765</v>
      </c>
      <c r="O16" s="5">
        <f>Grade14!M16-M16</f>
        <v>16.840000000000146</v>
      </c>
      <c r="P16" s="22">
        <f t="shared" si="12"/>
        <v>210.28857862288928</v>
      </c>
      <c r="Q16" s="22"/>
      <c r="R16" s="22"/>
      <c r="S16" s="22">
        <f t="shared" si="6"/>
        <v>6803.7936906697587</v>
      </c>
      <c r="T16" s="22">
        <f t="shared" si="7"/>
        <v>5614.5208382453702</v>
      </c>
    </row>
    <row r="17" spans="1:20" x14ac:dyDescent="0.2">
      <c r="A17" s="5">
        <v>26</v>
      </c>
      <c r="B17" s="1">
        <f t="shared" si="8"/>
        <v>1.1314082128906247</v>
      </c>
      <c r="C17" s="5">
        <f t="shared" si="9"/>
        <v>135853.08544137632</v>
      </c>
      <c r="D17" s="5">
        <f t="shared" si="0"/>
        <v>131403.7212800454</v>
      </c>
      <c r="E17" s="5">
        <f t="shared" si="1"/>
        <v>121903.7212800454</v>
      </c>
      <c r="F17" s="5">
        <f t="shared" si="2"/>
        <v>48467.368044977906</v>
      </c>
      <c r="G17" s="5">
        <f t="shared" si="3"/>
        <v>82936.353235067494</v>
      </c>
      <c r="H17" s="22">
        <f t="shared" si="10"/>
        <v>59151.501808234912</v>
      </c>
      <c r="I17" s="5">
        <f t="shared" si="4"/>
        <v>139899.2494763977</v>
      </c>
      <c r="J17" s="26">
        <f t="shared" si="5"/>
        <v>0.25502058996230015</v>
      </c>
      <c r="L17" s="22">
        <f t="shared" si="11"/>
        <v>255891.12066404978</v>
      </c>
      <c r="M17" s="5">
        <f>scrimecost*Meta!O14</f>
        <v>2107.105</v>
      </c>
      <c r="N17" s="5">
        <f>L17-Grade14!L17</f>
        <v>9689.7992730536207</v>
      </c>
      <c r="O17" s="5">
        <f>Grade14!M17-M17</f>
        <v>16.840000000000146</v>
      </c>
      <c r="P17" s="22">
        <f t="shared" si="12"/>
        <v>215.43451367358054</v>
      </c>
      <c r="Q17" s="22"/>
      <c r="R17" s="22"/>
      <c r="S17" s="22">
        <f t="shared" si="6"/>
        <v>6973.4078846248585</v>
      </c>
      <c r="T17" s="22">
        <f t="shared" si="7"/>
        <v>5537.566347859467</v>
      </c>
    </row>
    <row r="18" spans="1:20" x14ac:dyDescent="0.2">
      <c r="A18" s="5">
        <v>27</v>
      </c>
      <c r="B18" s="1">
        <f t="shared" si="8"/>
        <v>1.1596934182128902</v>
      </c>
      <c r="C18" s="5">
        <f t="shared" si="9"/>
        <v>139249.41257741069</v>
      </c>
      <c r="D18" s="5">
        <f t="shared" si="0"/>
        <v>134674.38431204652</v>
      </c>
      <c r="E18" s="5">
        <f t="shared" si="1"/>
        <v>125174.38431204652</v>
      </c>
      <c r="F18" s="5">
        <f t="shared" si="2"/>
        <v>49757.644611102354</v>
      </c>
      <c r="G18" s="5">
        <f t="shared" si="3"/>
        <v>84916.739700944163</v>
      </c>
      <c r="H18" s="22">
        <f t="shared" si="10"/>
        <v>60630.289353440785</v>
      </c>
      <c r="I18" s="5">
        <f t="shared" si="4"/>
        <v>143303.70834830764</v>
      </c>
      <c r="J18" s="26">
        <f t="shared" si="5"/>
        <v>0.25550386281136228</v>
      </c>
      <c r="L18" s="22">
        <f t="shared" si="11"/>
        <v>262288.39868065104</v>
      </c>
      <c r="M18" s="5">
        <f>scrimecost*Meta!O15</f>
        <v>2107.105</v>
      </c>
      <c r="N18" s="5">
        <f>L18-Grade14!L18</f>
        <v>9932.044254879962</v>
      </c>
      <c r="O18" s="5">
        <f>Grade14!M18-M18</f>
        <v>16.840000000000146</v>
      </c>
      <c r="P18" s="22">
        <f t="shared" si="12"/>
        <v>220.70909710053905</v>
      </c>
      <c r="Q18" s="22"/>
      <c r="R18" s="22"/>
      <c r="S18" s="22">
        <f t="shared" si="6"/>
        <v>7147.2624334288439</v>
      </c>
      <c r="T18" s="22">
        <f t="shared" si="7"/>
        <v>5461.6757777172261</v>
      </c>
    </row>
    <row r="19" spans="1:20" x14ac:dyDescent="0.2">
      <c r="A19" s="5">
        <v>28</v>
      </c>
      <c r="B19" s="1">
        <f t="shared" si="8"/>
        <v>1.1886857536682125</v>
      </c>
      <c r="C19" s="5">
        <f t="shared" si="9"/>
        <v>142730.64789184596</v>
      </c>
      <c r="D19" s="5">
        <f t="shared" si="0"/>
        <v>138026.81391984766</v>
      </c>
      <c r="E19" s="5">
        <f t="shared" si="1"/>
        <v>128526.81391984766</v>
      </c>
      <c r="F19" s="5">
        <f t="shared" si="2"/>
        <v>51080.178091379901</v>
      </c>
      <c r="G19" s="5">
        <f t="shared" si="3"/>
        <v>86946.635828467755</v>
      </c>
      <c r="H19" s="22">
        <f t="shared" si="10"/>
        <v>62146.046587276804</v>
      </c>
      <c r="I19" s="5">
        <f t="shared" si="4"/>
        <v>146793.27869201533</v>
      </c>
      <c r="J19" s="26">
        <f t="shared" si="5"/>
        <v>0.25597534851776427</v>
      </c>
      <c r="L19" s="22">
        <f t="shared" si="11"/>
        <v>268845.60864766728</v>
      </c>
      <c r="M19" s="5">
        <f>scrimecost*Meta!O16</f>
        <v>2107.105</v>
      </c>
      <c r="N19" s="5">
        <f>L19-Grade14!L19</f>
        <v>10180.345361251937</v>
      </c>
      <c r="O19" s="5">
        <f>Grade14!M19-M19</f>
        <v>16.840000000000146</v>
      </c>
      <c r="P19" s="22">
        <f t="shared" si="12"/>
        <v>226.11554511317146</v>
      </c>
      <c r="Q19" s="22"/>
      <c r="R19" s="22"/>
      <c r="S19" s="22">
        <f t="shared" si="6"/>
        <v>7325.4633459529095</v>
      </c>
      <c r="T19" s="22">
        <f t="shared" si="7"/>
        <v>5386.8340753365101</v>
      </c>
    </row>
    <row r="20" spans="1:20" x14ac:dyDescent="0.2">
      <c r="A20" s="5">
        <v>29</v>
      </c>
      <c r="B20" s="1">
        <f t="shared" si="8"/>
        <v>1.2184028975099177</v>
      </c>
      <c r="C20" s="5">
        <f t="shared" si="9"/>
        <v>146298.91408914214</v>
      </c>
      <c r="D20" s="5">
        <f t="shared" si="0"/>
        <v>141463.05426784389</v>
      </c>
      <c r="E20" s="5">
        <f t="shared" si="1"/>
        <v>131963.05426784389</v>
      </c>
      <c r="F20" s="5">
        <f t="shared" si="2"/>
        <v>52435.774908664418</v>
      </c>
      <c r="G20" s="5">
        <f t="shared" si="3"/>
        <v>89027.279359179476</v>
      </c>
      <c r="H20" s="22">
        <f t="shared" si="10"/>
        <v>63699.697751958724</v>
      </c>
      <c r="I20" s="5">
        <f t="shared" si="4"/>
        <v>150370.08829431573</v>
      </c>
      <c r="J20" s="26">
        <f t="shared" si="5"/>
        <v>0.25643533457279072</v>
      </c>
      <c r="L20" s="22">
        <f t="shared" si="11"/>
        <v>275566.74886385899</v>
      </c>
      <c r="M20" s="5">
        <f>scrimecost*Meta!O17</f>
        <v>2107.105</v>
      </c>
      <c r="N20" s="5">
        <f>L20-Grade14!L20</f>
        <v>10434.853995283309</v>
      </c>
      <c r="O20" s="5">
        <f>Grade14!M20-M20</f>
        <v>16.840000000000146</v>
      </c>
      <c r="P20" s="22">
        <f t="shared" si="12"/>
        <v>231.65715432611981</v>
      </c>
      <c r="Q20" s="22"/>
      <c r="R20" s="22"/>
      <c r="S20" s="22">
        <f t="shared" si="6"/>
        <v>7508.1192812901472</v>
      </c>
      <c r="T20" s="22">
        <f t="shared" si="7"/>
        <v>5313.0264139712326</v>
      </c>
    </row>
    <row r="21" spans="1:20" x14ac:dyDescent="0.2">
      <c r="A21" s="5">
        <v>30</v>
      </c>
      <c r="B21" s="1">
        <f t="shared" si="8"/>
        <v>1.2488629699476654</v>
      </c>
      <c r="C21" s="5">
        <f t="shared" si="9"/>
        <v>149956.38694137064</v>
      </c>
      <c r="D21" s="5">
        <f t="shared" si="0"/>
        <v>144985.20062453992</v>
      </c>
      <c r="E21" s="5">
        <f t="shared" si="1"/>
        <v>135485.20062453992</v>
      </c>
      <c r="F21" s="5">
        <f t="shared" si="2"/>
        <v>53825.261646380997</v>
      </c>
      <c r="G21" s="5">
        <f t="shared" si="3"/>
        <v>91159.938978158927</v>
      </c>
      <c r="H21" s="22">
        <f t="shared" si="10"/>
        <v>65292.190195757677</v>
      </c>
      <c r="I21" s="5">
        <f t="shared" si="4"/>
        <v>154036.31813667357</v>
      </c>
      <c r="J21" s="26">
        <f t="shared" si="5"/>
        <v>0.2568841014557432</v>
      </c>
      <c r="L21" s="22">
        <f t="shared" si="11"/>
        <v>282455.91758545535</v>
      </c>
      <c r="M21" s="5">
        <f>scrimecost*Meta!O18</f>
        <v>1698.6970000000001</v>
      </c>
      <c r="N21" s="5">
        <f>L21-Grade14!L21</f>
        <v>10695.725345165294</v>
      </c>
      <c r="O21" s="5">
        <f>Grade14!M21-M21</f>
        <v>13.576000000000022</v>
      </c>
      <c r="P21" s="22">
        <f t="shared" si="12"/>
        <v>237.33730376939167</v>
      </c>
      <c r="Q21" s="22"/>
      <c r="R21" s="22"/>
      <c r="S21" s="22">
        <f t="shared" si="6"/>
        <v>7692.3942230106932</v>
      </c>
      <c r="T21" s="22">
        <f t="shared" si="7"/>
        <v>5238.231125672336</v>
      </c>
    </row>
    <row r="22" spans="1:20" x14ac:dyDescent="0.2">
      <c r="A22" s="5">
        <v>31</v>
      </c>
      <c r="B22" s="1">
        <f t="shared" si="8"/>
        <v>1.2800845441963571</v>
      </c>
      <c r="C22" s="5">
        <f t="shared" si="9"/>
        <v>153705.29661490492</v>
      </c>
      <c r="D22" s="5">
        <f t="shared" si="0"/>
        <v>148595.40064015344</v>
      </c>
      <c r="E22" s="5">
        <f t="shared" si="1"/>
        <v>139095.40064015344</v>
      </c>
      <c r="F22" s="5">
        <f t="shared" si="2"/>
        <v>55249.485552540536</v>
      </c>
      <c r="G22" s="5">
        <f t="shared" si="3"/>
        <v>93345.915087612899</v>
      </c>
      <c r="H22" s="22">
        <f t="shared" si="10"/>
        <v>66924.494950651628</v>
      </c>
      <c r="I22" s="5">
        <f t="shared" si="4"/>
        <v>157794.20372509042</v>
      </c>
      <c r="J22" s="26">
        <f t="shared" si="5"/>
        <v>0.2573219228049653</v>
      </c>
      <c r="L22" s="22">
        <f t="shared" si="11"/>
        <v>289517.31552509178</v>
      </c>
      <c r="M22" s="5">
        <f>scrimecost*Meta!O19</f>
        <v>1698.6970000000001</v>
      </c>
      <c r="N22" s="5">
        <f>L22-Grade14!L22</f>
        <v>10963.118478794466</v>
      </c>
      <c r="O22" s="5">
        <f>Grade14!M22-M22</f>
        <v>13.576000000000022</v>
      </c>
      <c r="P22" s="22">
        <f t="shared" si="12"/>
        <v>243.15945694874557</v>
      </c>
      <c r="Q22" s="22"/>
      <c r="R22" s="22"/>
      <c r="S22" s="22">
        <f t="shared" si="6"/>
        <v>7884.2971150743515</v>
      </c>
      <c r="T22" s="22">
        <f t="shared" si="7"/>
        <v>5166.5236080332452</v>
      </c>
    </row>
    <row r="23" spans="1:20" x14ac:dyDescent="0.2">
      <c r="A23" s="5">
        <v>32</v>
      </c>
      <c r="B23" s="1">
        <f t="shared" si="8"/>
        <v>1.312086657801266</v>
      </c>
      <c r="C23" s="5">
        <f t="shared" si="9"/>
        <v>157547.92903027753</v>
      </c>
      <c r="D23" s="5">
        <f t="shared" si="0"/>
        <v>152295.85565615728</v>
      </c>
      <c r="E23" s="5">
        <f t="shared" si="1"/>
        <v>142795.85565615728</v>
      </c>
      <c r="F23" s="5">
        <f t="shared" si="2"/>
        <v>56709.315056354048</v>
      </c>
      <c r="G23" s="5">
        <f t="shared" si="3"/>
        <v>95586.540599803237</v>
      </c>
      <c r="H23" s="22">
        <f t="shared" si="10"/>
        <v>68597.607324417913</v>
      </c>
      <c r="I23" s="5">
        <f t="shared" si="4"/>
        <v>161646.03645321768</v>
      </c>
      <c r="J23" s="26">
        <f t="shared" si="5"/>
        <v>0.25774906558469413</v>
      </c>
      <c r="L23" s="22">
        <f t="shared" si="11"/>
        <v>296755.24841321906</v>
      </c>
      <c r="M23" s="5">
        <f>scrimecost*Meta!O20</f>
        <v>1698.6970000000001</v>
      </c>
      <c r="N23" s="5">
        <f>L23-Grade14!L23</f>
        <v>11237.196440764354</v>
      </c>
      <c r="O23" s="5">
        <f>Grade14!M23-M23</f>
        <v>13.576000000000022</v>
      </c>
      <c r="P23" s="22">
        <f t="shared" si="12"/>
        <v>249.12716395758324</v>
      </c>
      <c r="Q23" s="22"/>
      <c r="R23" s="22"/>
      <c r="S23" s="22">
        <f t="shared" si="6"/>
        <v>8080.9975794395914</v>
      </c>
      <c r="T23" s="22">
        <f t="shared" si="7"/>
        <v>5095.8041154925995</v>
      </c>
    </row>
    <row r="24" spans="1:20" x14ac:dyDescent="0.2">
      <c r="A24" s="5">
        <v>33</v>
      </c>
      <c r="B24" s="1">
        <f t="shared" si="8"/>
        <v>1.3448888242462975</v>
      </c>
      <c r="C24" s="5">
        <f t="shared" si="9"/>
        <v>161486.62725603447</v>
      </c>
      <c r="D24" s="5">
        <f t="shared" si="0"/>
        <v>156088.8220475612</v>
      </c>
      <c r="E24" s="5">
        <f t="shared" si="1"/>
        <v>146588.8220475612</v>
      </c>
      <c r="F24" s="5">
        <f t="shared" si="2"/>
        <v>58205.640297762897</v>
      </c>
      <c r="G24" s="5">
        <f t="shared" si="3"/>
        <v>97883.181749798299</v>
      </c>
      <c r="H24" s="22">
        <f t="shared" si="10"/>
        <v>70312.547507528347</v>
      </c>
      <c r="I24" s="5">
        <f t="shared" si="4"/>
        <v>165594.16499954811</v>
      </c>
      <c r="J24" s="26">
        <f t="shared" si="5"/>
        <v>0.2581657902478442</v>
      </c>
      <c r="L24" s="22">
        <f t="shared" si="11"/>
        <v>304174.12962354952</v>
      </c>
      <c r="M24" s="5">
        <f>scrimecost*Meta!O21</f>
        <v>1698.6970000000001</v>
      </c>
      <c r="N24" s="5">
        <f>L24-Grade14!L24</f>
        <v>11518.12635178346</v>
      </c>
      <c r="O24" s="5">
        <f>Grade14!M24-M24</f>
        <v>13.576000000000022</v>
      </c>
      <c r="P24" s="22">
        <f t="shared" si="12"/>
        <v>255.24406364164182</v>
      </c>
      <c r="Q24" s="22"/>
      <c r="R24" s="22"/>
      <c r="S24" s="22">
        <f t="shared" si="6"/>
        <v>8282.6155554139405</v>
      </c>
      <c r="T24" s="22">
        <f t="shared" si="7"/>
        <v>5026.0587940681662</v>
      </c>
    </row>
    <row r="25" spans="1:20" x14ac:dyDescent="0.2">
      <c r="A25" s="5">
        <v>34</v>
      </c>
      <c r="B25" s="1">
        <f t="shared" si="8"/>
        <v>1.3785110448524549</v>
      </c>
      <c r="C25" s="5">
        <f t="shared" si="9"/>
        <v>165523.7929374353</v>
      </c>
      <c r="D25" s="5">
        <f t="shared" si="0"/>
        <v>159976.61259875019</v>
      </c>
      <c r="E25" s="5">
        <f t="shared" si="1"/>
        <v>150476.61259875019</v>
      </c>
      <c r="F25" s="5">
        <f t="shared" si="2"/>
        <v>59739.373670206951</v>
      </c>
      <c r="G25" s="5">
        <f t="shared" si="3"/>
        <v>100237.23892854323</v>
      </c>
      <c r="H25" s="22">
        <f t="shared" si="10"/>
        <v>72070.361195216552</v>
      </c>
      <c r="I25" s="5">
        <f t="shared" si="4"/>
        <v>169640.99675953676</v>
      </c>
      <c r="J25" s="26">
        <f t="shared" si="5"/>
        <v>0.25857235089481978</v>
      </c>
      <c r="L25" s="22">
        <f t="shared" si="11"/>
        <v>311778.4828641382</v>
      </c>
      <c r="M25" s="5">
        <f>scrimecost*Meta!O22</f>
        <v>1698.6970000000001</v>
      </c>
      <c r="N25" s="5">
        <f>L25-Grade14!L25</f>
        <v>11806.079510578013</v>
      </c>
      <c r="O25" s="5">
        <f>Grade14!M25-M25</f>
        <v>13.576000000000022</v>
      </c>
      <c r="P25" s="22">
        <f t="shared" si="12"/>
        <v>261.51388581780174</v>
      </c>
      <c r="Q25" s="22"/>
      <c r="R25" s="22"/>
      <c r="S25" s="22">
        <f t="shared" si="6"/>
        <v>8489.2739807876296</v>
      </c>
      <c r="T25" s="22">
        <f t="shared" si="7"/>
        <v>4957.2739930080243</v>
      </c>
    </row>
    <row r="26" spans="1:20" x14ac:dyDescent="0.2">
      <c r="A26" s="5">
        <v>35</v>
      </c>
      <c r="B26" s="1">
        <f t="shared" si="8"/>
        <v>1.4129738209737661</v>
      </c>
      <c r="C26" s="5">
        <f t="shared" si="9"/>
        <v>169661.88776087118</v>
      </c>
      <c r="D26" s="5">
        <f t="shared" si="0"/>
        <v>163961.59791371896</v>
      </c>
      <c r="E26" s="5">
        <f t="shared" si="1"/>
        <v>154461.59791371896</v>
      </c>
      <c r="F26" s="5">
        <f t="shared" si="2"/>
        <v>61311.450376962122</v>
      </c>
      <c r="G26" s="5">
        <f t="shared" si="3"/>
        <v>102650.14753675683</v>
      </c>
      <c r="H26" s="22">
        <f t="shared" si="10"/>
        <v>73872.120225096951</v>
      </c>
      <c r="I26" s="5">
        <f t="shared" si="4"/>
        <v>173788.99931352522</v>
      </c>
      <c r="J26" s="26">
        <f t="shared" si="5"/>
        <v>0.25896899542845458</v>
      </c>
      <c r="L26" s="22">
        <f t="shared" si="11"/>
        <v>319572.94493574166</v>
      </c>
      <c r="M26" s="5">
        <f>scrimecost*Meta!O23</f>
        <v>1318.317</v>
      </c>
      <c r="N26" s="5">
        <f>L26-Grade14!L26</f>
        <v>12101.231498342415</v>
      </c>
      <c r="O26" s="5">
        <f>Grade14!M26-M26</f>
        <v>10.535999999999831</v>
      </c>
      <c r="P26" s="22">
        <f t="shared" si="12"/>
        <v>267.94045354836578</v>
      </c>
      <c r="Q26" s="22"/>
      <c r="R26" s="22"/>
      <c r="S26" s="22">
        <f t="shared" si="6"/>
        <v>8698.3537467956503</v>
      </c>
      <c r="T26" s="22">
        <f t="shared" si="7"/>
        <v>4887.8936874359097</v>
      </c>
    </row>
    <row r="27" spans="1:20" x14ac:dyDescent="0.2">
      <c r="A27" s="5">
        <v>36</v>
      </c>
      <c r="B27" s="1">
        <f t="shared" si="8"/>
        <v>1.4482981664981105</v>
      </c>
      <c r="C27" s="5">
        <f t="shared" si="9"/>
        <v>173903.43495489299</v>
      </c>
      <c r="D27" s="5">
        <f t="shared" si="0"/>
        <v>168046.20786156197</v>
      </c>
      <c r="E27" s="5">
        <f t="shared" si="1"/>
        <v>158546.20786156197</v>
      </c>
      <c r="F27" s="5">
        <f t="shared" si="2"/>
        <v>62922.829001386199</v>
      </c>
      <c r="G27" s="5">
        <f t="shared" si="3"/>
        <v>105123.37886017577</v>
      </c>
      <c r="H27" s="22">
        <f t="shared" si="10"/>
        <v>75718.923230724409</v>
      </c>
      <c r="I27" s="5">
        <f t="shared" si="4"/>
        <v>178040.70193136338</v>
      </c>
      <c r="J27" s="26">
        <f t="shared" si="5"/>
        <v>0.2593559657051715</v>
      </c>
      <c r="L27" s="22">
        <f t="shared" si="11"/>
        <v>327562.26855913526</v>
      </c>
      <c r="M27" s="5">
        <f>scrimecost*Meta!O24</f>
        <v>1318.317</v>
      </c>
      <c r="N27" s="5">
        <f>L27-Grade14!L27</f>
        <v>12403.762285801058</v>
      </c>
      <c r="O27" s="5">
        <f>Grade14!M27-M27</f>
        <v>10.535999999999831</v>
      </c>
      <c r="P27" s="22">
        <f t="shared" si="12"/>
        <v>274.52768547219404</v>
      </c>
      <c r="Q27" s="22"/>
      <c r="R27" s="22"/>
      <c r="S27" s="22">
        <f t="shared" si="6"/>
        <v>8915.4742549539606</v>
      </c>
      <c r="T27" s="22">
        <f t="shared" si="7"/>
        <v>4821.0479200824966</v>
      </c>
    </row>
    <row r="28" spans="1:20" x14ac:dyDescent="0.2">
      <c r="A28" s="5">
        <v>37</v>
      </c>
      <c r="B28" s="1">
        <f t="shared" si="8"/>
        <v>1.4845056206605631</v>
      </c>
      <c r="C28" s="5">
        <f t="shared" si="9"/>
        <v>178251.02082876529</v>
      </c>
      <c r="D28" s="5">
        <f t="shared" si="0"/>
        <v>172232.93305810099</v>
      </c>
      <c r="E28" s="5">
        <f t="shared" si="1"/>
        <v>162732.93305810099</v>
      </c>
      <c r="F28" s="5">
        <f t="shared" si="2"/>
        <v>64574.492091420834</v>
      </c>
      <c r="G28" s="5">
        <f t="shared" si="3"/>
        <v>107658.44096668015</v>
      </c>
      <c r="H28" s="22">
        <f t="shared" si="10"/>
        <v>77611.896311492499</v>
      </c>
      <c r="I28" s="5">
        <f t="shared" si="4"/>
        <v>182398.69711464742</v>
      </c>
      <c r="J28" s="26">
        <f t="shared" si="5"/>
        <v>0.25973349768245624</v>
      </c>
      <c r="L28" s="22">
        <f t="shared" si="11"/>
        <v>335751.32527311356</v>
      </c>
      <c r="M28" s="5">
        <f>scrimecost*Meta!O25</f>
        <v>1318.317</v>
      </c>
      <c r="N28" s="5">
        <f>L28-Grade14!L28</f>
        <v>12713.856342946005</v>
      </c>
      <c r="O28" s="5">
        <f>Grade14!M28-M28</f>
        <v>10.535999999999831</v>
      </c>
      <c r="P28" s="22">
        <f t="shared" si="12"/>
        <v>281.2795981941178</v>
      </c>
      <c r="Q28" s="22"/>
      <c r="R28" s="22"/>
      <c r="S28" s="22">
        <f t="shared" si="6"/>
        <v>9138.0227758161163</v>
      </c>
      <c r="T28" s="22">
        <f t="shared" si="7"/>
        <v>4755.1207154685699</v>
      </c>
    </row>
    <row r="29" spans="1:20" x14ac:dyDescent="0.2">
      <c r="A29" s="5">
        <v>38</v>
      </c>
      <c r="B29" s="1">
        <f t="shared" si="8"/>
        <v>1.521618261177077</v>
      </c>
      <c r="C29" s="5">
        <f t="shared" si="9"/>
        <v>182707.29634948439</v>
      </c>
      <c r="D29" s="5">
        <f t="shared" si="0"/>
        <v>176524.32638455348</v>
      </c>
      <c r="E29" s="5">
        <f t="shared" si="1"/>
        <v>167024.32638455348</v>
      </c>
      <c r="F29" s="5">
        <f t="shared" si="2"/>
        <v>66267.446758706355</v>
      </c>
      <c r="G29" s="5">
        <f t="shared" si="3"/>
        <v>110256.87962584713</v>
      </c>
      <c r="H29" s="22">
        <f t="shared" si="10"/>
        <v>79552.193719279807</v>
      </c>
      <c r="I29" s="5">
        <f t="shared" si="4"/>
        <v>186865.64217751357</v>
      </c>
      <c r="J29" s="26">
        <f t="shared" si="5"/>
        <v>0.26010182156273409</v>
      </c>
      <c r="L29" s="22">
        <f t="shared" si="11"/>
        <v>344145.10840494139</v>
      </c>
      <c r="M29" s="5">
        <f>scrimecost*Meta!O26</f>
        <v>1318.317</v>
      </c>
      <c r="N29" s="5">
        <f>L29-Grade14!L29</f>
        <v>13031.702751519624</v>
      </c>
      <c r="O29" s="5">
        <f>Grade14!M29-M29</f>
        <v>10.535999999999831</v>
      </c>
      <c r="P29" s="22">
        <f t="shared" si="12"/>
        <v>288.20030873408979</v>
      </c>
      <c r="Q29" s="22"/>
      <c r="R29" s="22"/>
      <c r="S29" s="22">
        <f t="shared" si="6"/>
        <v>9366.1350096998594</v>
      </c>
      <c r="T29" s="22">
        <f t="shared" si="7"/>
        <v>4690.0992859362268</v>
      </c>
    </row>
    <row r="30" spans="1:20" x14ac:dyDescent="0.2">
      <c r="A30" s="5">
        <v>39</v>
      </c>
      <c r="B30" s="1">
        <f t="shared" si="8"/>
        <v>1.559658717706504</v>
      </c>
      <c r="C30" s="5">
        <f t="shared" si="9"/>
        <v>187274.97875822149</v>
      </c>
      <c r="D30" s="5">
        <f t="shared" si="0"/>
        <v>180923.00454416731</v>
      </c>
      <c r="E30" s="5">
        <f t="shared" si="1"/>
        <v>171423.00454416731</v>
      </c>
      <c r="F30" s="5">
        <f t="shared" si="2"/>
        <v>68002.725292674004</v>
      </c>
      <c r="G30" s="5">
        <f t="shared" si="3"/>
        <v>112920.27925149331</v>
      </c>
      <c r="H30" s="22">
        <f t="shared" si="10"/>
        <v>81540.998562261797</v>
      </c>
      <c r="I30" s="5">
        <f t="shared" si="4"/>
        <v>191444.26086695143</v>
      </c>
      <c r="J30" s="26">
        <f t="shared" si="5"/>
        <v>0.26046116193373675</v>
      </c>
      <c r="L30" s="22">
        <f t="shared" si="11"/>
        <v>352748.73611506494</v>
      </c>
      <c r="M30" s="5">
        <f>scrimecost*Meta!O27</f>
        <v>1318.317</v>
      </c>
      <c r="N30" s="5">
        <f>L30-Grade14!L30</f>
        <v>13357.495320307673</v>
      </c>
      <c r="O30" s="5">
        <f>Grade14!M30-M30</f>
        <v>10.535999999999831</v>
      </c>
      <c r="P30" s="22">
        <f t="shared" si="12"/>
        <v>295.29403703756094</v>
      </c>
      <c r="Q30" s="22"/>
      <c r="R30" s="22"/>
      <c r="S30" s="22">
        <f t="shared" si="6"/>
        <v>9599.9500494307613</v>
      </c>
      <c r="T30" s="22">
        <f t="shared" si="7"/>
        <v>4625.9710280301306</v>
      </c>
    </row>
    <row r="31" spans="1:20" x14ac:dyDescent="0.2">
      <c r="A31" s="5">
        <v>40</v>
      </c>
      <c r="B31" s="1">
        <f t="shared" si="8"/>
        <v>1.5986501856491666</v>
      </c>
      <c r="C31" s="5">
        <f t="shared" si="9"/>
        <v>191956.85322717705</v>
      </c>
      <c r="D31" s="5">
        <f t="shared" si="0"/>
        <v>185431.64965777152</v>
      </c>
      <c r="E31" s="5">
        <f t="shared" si="1"/>
        <v>175931.64965777152</v>
      </c>
      <c r="F31" s="5">
        <f t="shared" si="2"/>
        <v>69857.968272879443</v>
      </c>
      <c r="G31" s="5">
        <f t="shared" si="3"/>
        <v>115573.68138489207</v>
      </c>
      <c r="H31" s="22">
        <f t="shared" si="10"/>
        <v>83579.523526318342</v>
      </c>
      <c r="I31" s="5">
        <f t="shared" si="4"/>
        <v>196060.76254073664</v>
      </c>
      <c r="J31" s="26">
        <f t="shared" si="5"/>
        <v>0.26110035643664226</v>
      </c>
      <c r="L31" s="22">
        <f t="shared" si="11"/>
        <v>361567.45451794157</v>
      </c>
      <c r="M31" s="5">
        <f>scrimecost*Meta!O28</f>
        <v>1153.1519999999998</v>
      </c>
      <c r="N31" s="5">
        <f>L31-Grade14!L31</f>
        <v>13691.432703315397</v>
      </c>
      <c r="O31" s="5">
        <f>Grade14!M31-M31</f>
        <v>9.2160000000001219</v>
      </c>
      <c r="P31" s="22">
        <f t="shared" si="12"/>
        <v>302.87817375157221</v>
      </c>
      <c r="Q31" s="22"/>
      <c r="R31" s="22"/>
      <c r="S31" s="22">
        <f t="shared" si="6"/>
        <v>9838.7012030331807</v>
      </c>
      <c r="T31" s="22">
        <f t="shared" si="7"/>
        <v>4562.3018858852556</v>
      </c>
    </row>
    <row r="32" spans="1:20" x14ac:dyDescent="0.2">
      <c r="A32" s="5">
        <v>41</v>
      </c>
      <c r="B32" s="1">
        <f t="shared" si="8"/>
        <v>1.6386164402903955</v>
      </c>
      <c r="C32" s="5">
        <f t="shared" si="9"/>
        <v>196755.77455785646</v>
      </c>
      <c r="D32" s="5">
        <f t="shared" si="0"/>
        <v>190053.01089921579</v>
      </c>
      <c r="E32" s="5">
        <f t="shared" si="1"/>
        <v>180553.01089921579</v>
      </c>
      <c r="F32" s="5">
        <f t="shared" si="2"/>
        <v>71912.163344701417</v>
      </c>
      <c r="G32" s="5">
        <f t="shared" si="3"/>
        <v>118140.84755451437</v>
      </c>
      <c r="H32" s="22">
        <f t="shared" si="10"/>
        <v>85669.011614476301</v>
      </c>
      <c r="I32" s="5">
        <f t="shared" si="4"/>
        <v>200640.10573925503</v>
      </c>
      <c r="J32" s="26">
        <f t="shared" si="5"/>
        <v>0.26228493510440443</v>
      </c>
      <c r="L32" s="22">
        <f t="shared" si="11"/>
        <v>370606.64088089002</v>
      </c>
      <c r="M32" s="5">
        <f>scrimecost*Meta!O29</f>
        <v>1153.1519999999998</v>
      </c>
      <c r="N32" s="5">
        <f>L32-Grade14!L32</f>
        <v>14033.718520898256</v>
      </c>
      <c r="O32" s="5">
        <f>Grade14!M32-M32</f>
        <v>9.2160000000001219</v>
      </c>
      <c r="P32" s="22">
        <f t="shared" si="12"/>
        <v>311.27561625811694</v>
      </c>
      <c r="Q32" s="22"/>
      <c r="R32" s="22"/>
      <c r="S32" s="22">
        <f t="shared" si="6"/>
        <v>10085.20609771996</v>
      </c>
      <c r="T32" s="22">
        <f t="shared" si="7"/>
        <v>4500.3193971917399</v>
      </c>
    </row>
    <row r="33" spans="1:20" x14ac:dyDescent="0.2">
      <c r="A33" s="5">
        <v>42</v>
      </c>
      <c r="B33" s="1">
        <f t="shared" si="8"/>
        <v>1.6795818512976552</v>
      </c>
      <c r="C33" s="5">
        <f t="shared" si="9"/>
        <v>201674.66892180283</v>
      </c>
      <c r="D33" s="5">
        <f t="shared" si="0"/>
        <v>194789.90617169614</v>
      </c>
      <c r="E33" s="5">
        <f t="shared" si="1"/>
        <v>185289.90617169614</v>
      </c>
      <c r="F33" s="5">
        <f t="shared" si="2"/>
        <v>74017.713293318928</v>
      </c>
      <c r="G33" s="5">
        <f t="shared" si="3"/>
        <v>120772.19287837722</v>
      </c>
      <c r="H33" s="22">
        <f t="shared" si="10"/>
        <v>87810.736904838195</v>
      </c>
      <c r="I33" s="5">
        <f t="shared" si="4"/>
        <v>205333.93251773639</v>
      </c>
      <c r="J33" s="26">
        <f t="shared" si="5"/>
        <v>0.26344062160953818</v>
      </c>
      <c r="L33" s="22">
        <f t="shared" si="11"/>
        <v>379871.80690291227</v>
      </c>
      <c r="M33" s="5">
        <f>scrimecost*Meta!O30</f>
        <v>1153.1519999999998</v>
      </c>
      <c r="N33" s="5">
        <f>L33-Grade14!L33</f>
        <v>14384.561483920726</v>
      </c>
      <c r="O33" s="5">
        <f>Grade14!M33-M33</f>
        <v>9.2160000000001219</v>
      </c>
      <c r="P33" s="22">
        <f t="shared" si="12"/>
        <v>319.88299482732526</v>
      </c>
      <c r="Q33" s="22"/>
      <c r="R33" s="22"/>
      <c r="S33" s="22">
        <f t="shared" si="6"/>
        <v>10337.873614773936</v>
      </c>
      <c r="T33" s="22">
        <f t="shared" si="7"/>
        <v>4439.173208425409</v>
      </c>
    </row>
    <row r="34" spans="1:20" x14ac:dyDescent="0.2">
      <c r="A34" s="5">
        <v>43</v>
      </c>
      <c r="B34" s="1">
        <f t="shared" si="8"/>
        <v>1.7215713975800966</v>
      </c>
      <c r="C34" s="5">
        <f t="shared" si="9"/>
        <v>206716.5356448479</v>
      </c>
      <c r="D34" s="5">
        <f t="shared" si="0"/>
        <v>199645.22382598853</v>
      </c>
      <c r="E34" s="5">
        <f t="shared" si="1"/>
        <v>190145.22382598853</v>
      </c>
      <c r="F34" s="5">
        <f t="shared" si="2"/>
        <v>76175.90199065191</v>
      </c>
      <c r="G34" s="5">
        <f t="shared" si="3"/>
        <v>123469.32183533662</v>
      </c>
      <c r="H34" s="22">
        <f t="shared" si="10"/>
        <v>90006.005327459134</v>
      </c>
      <c r="I34" s="5">
        <f t="shared" si="4"/>
        <v>210145.10496567975</v>
      </c>
      <c r="J34" s="26">
        <f t="shared" si="5"/>
        <v>0.26456812063893714</v>
      </c>
      <c r="L34" s="22">
        <f t="shared" si="11"/>
        <v>389368.60207548505</v>
      </c>
      <c r="M34" s="5">
        <f>scrimecost*Meta!O31</f>
        <v>1153.1519999999998</v>
      </c>
      <c r="N34" s="5">
        <f>L34-Grade14!L34</f>
        <v>14744.175521018682</v>
      </c>
      <c r="O34" s="5">
        <f>Grade14!M34-M34</f>
        <v>9.2160000000001219</v>
      </c>
      <c r="P34" s="22">
        <f t="shared" si="12"/>
        <v>328.70555786076397</v>
      </c>
      <c r="Q34" s="22"/>
      <c r="R34" s="22"/>
      <c r="S34" s="22">
        <f t="shared" si="6"/>
        <v>10596.85781975421</v>
      </c>
      <c r="T34" s="22">
        <f t="shared" si="7"/>
        <v>4378.8522545691112</v>
      </c>
    </row>
    <row r="35" spans="1:20" x14ac:dyDescent="0.2">
      <c r="A35" s="5">
        <v>44</v>
      </c>
      <c r="B35" s="1">
        <f t="shared" si="8"/>
        <v>1.7646106825195991</v>
      </c>
      <c r="C35" s="5">
        <f t="shared" si="9"/>
        <v>211884.44903596913</v>
      </c>
      <c r="D35" s="5">
        <f t="shared" si="0"/>
        <v>204621.92442163828</v>
      </c>
      <c r="E35" s="5">
        <f t="shared" si="1"/>
        <v>195121.92442163828</v>
      </c>
      <c r="F35" s="5">
        <f t="shared" si="2"/>
        <v>78388.045405418219</v>
      </c>
      <c r="G35" s="5">
        <f t="shared" si="3"/>
        <v>126233.87901622006</v>
      </c>
      <c r="H35" s="22">
        <f t="shared" si="10"/>
        <v>92256.155460645634</v>
      </c>
      <c r="I35" s="5">
        <f t="shared" si="4"/>
        <v>215076.5567248218</v>
      </c>
      <c r="J35" s="26">
        <f t="shared" si="5"/>
        <v>0.26566811969200915</v>
      </c>
      <c r="L35" s="22">
        <f t="shared" si="11"/>
        <v>399102.8171273722</v>
      </c>
      <c r="M35" s="5">
        <f>scrimecost*Meta!O32</f>
        <v>1153.1519999999998</v>
      </c>
      <c r="N35" s="5">
        <f>L35-Grade14!L35</f>
        <v>15112.779909044213</v>
      </c>
      <c r="O35" s="5">
        <f>Grade14!M35-M35</f>
        <v>9.2160000000001219</v>
      </c>
      <c r="P35" s="22">
        <f t="shared" si="12"/>
        <v>337.7486849700386</v>
      </c>
      <c r="Q35" s="22"/>
      <c r="R35" s="22"/>
      <c r="S35" s="22">
        <f t="shared" si="6"/>
        <v>10862.316629859079</v>
      </c>
      <c r="T35" s="22">
        <f t="shared" si="7"/>
        <v>4319.3456086700417</v>
      </c>
    </row>
    <row r="36" spans="1:20" x14ac:dyDescent="0.2">
      <c r="A36" s="5">
        <v>45</v>
      </c>
      <c r="B36" s="1">
        <f t="shared" si="8"/>
        <v>1.8087259495825889</v>
      </c>
      <c r="C36" s="5">
        <f t="shared" si="9"/>
        <v>217181.56026186832</v>
      </c>
      <c r="D36" s="5">
        <f t="shared" si="0"/>
        <v>209723.04253217918</v>
      </c>
      <c r="E36" s="5">
        <f t="shared" si="1"/>
        <v>200223.04253217918</v>
      </c>
      <c r="F36" s="5">
        <f t="shared" si="2"/>
        <v>80655.492405553639</v>
      </c>
      <c r="G36" s="5">
        <f t="shared" si="3"/>
        <v>129067.55012662555</v>
      </c>
      <c r="H36" s="22">
        <f t="shared" si="10"/>
        <v>94562.559347161761</v>
      </c>
      <c r="I36" s="5">
        <f t="shared" si="4"/>
        <v>220131.2947779423</v>
      </c>
      <c r="J36" s="26">
        <f t="shared" si="5"/>
        <v>0.26674128949988424</v>
      </c>
      <c r="L36" s="22">
        <f t="shared" si="11"/>
        <v>409080.38755555649</v>
      </c>
      <c r="M36" s="5">
        <f>scrimecost*Meta!O33</f>
        <v>931.93100000000004</v>
      </c>
      <c r="N36" s="5">
        <f>L36-Grade14!L36</f>
        <v>15490.599406770372</v>
      </c>
      <c r="O36" s="5">
        <f>Grade14!M36-M36</f>
        <v>7.4479999999999791</v>
      </c>
      <c r="P36" s="22">
        <f t="shared" si="12"/>
        <v>347.01789025704494</v>
      </c>
      <c r="Q36" s="22"/>
      <c r="R36" s="22"/>
      <c r="S36" s="22">
        <f t="shared" si="6"/>
        <v>11132.815406216561</v>
      </c>
      <c r="T36" s="22">
        <f t="shared" si="7"/>
        <v>4260.0315696160615</v>
      </c>
    </row>
    <row r="37" spans="1:20" x14ac:dyDescent="0.2">
      <c r="A37" s="5">
        <v>46</v>
      </c>
      <c r="B37" s="1">
        <f t="shared" ref="B37:B56" si="13">(1+experiencepremium)^(A37-startage)</f>
        <v>1.8539440983221533</v>
      </c>
      <c r="C37" s="5">
        <f t="shared" ref="C37:C56" si="14">pretaxincome*B37/expnorm</f>
        <v>222611.09926841501</v>
      </c>
      <c r="D37" s="5">
        <f t="shared" ref="D37:D56" si="15">IF(A37&lt;startage,1,0)*(C37*(1-initialunempprob))+IF(A37=startage,1,0)*(C37*(1-unempprob))+IF(A37&gt;startage,1,0)*(C37*(1-unempprob)+unempprob*300*52)</f>
        <v>214951.68859548366</v>
      </c>
      <c r="E37" s="5">
        <f t="shared" si="1"/>
        <v>205451.68859548366</v>
      </c>
      <c r="F37" s="5">
        <f t="shared" si="2"/>
        <v>82979.625580692489</v>
      </c>
      <c r="G37" s="5">
        <f t="shared" si="3"/>
        <v>131972.06301479117</v>
      </c>
      <c r="H37" s="22">
        <f t="shared" ref="H37:H56" si="16">benefits*B37/expnorm</f>
        <v>96926.623330840797</v>
      </c>
      <c r="I37" s="5">
        <f t="shared" ref="I37:I56" si="17">G37+IF(A37&lt;startage,1,0)*(H37*(1-initialunempprob))+IF(A37&gt;=startage,1,0)*(H37*(1-unempprob))</f>
        <v>225312.40128239087</v>
      </c>
      <c r="J37" s="26">
        <f t="shared" si="5"/>
        <v>0.26778828443439667</v>
      </c>
      <c r="L37" s="22">
        <f t="shared" ref="L37:L56" si="18">(sincome+sbenefits)*(1-sunemp)*B37/expnorm</f>
        <v>419307.39724444534</v>
      </c>
      <c r="M37" s="5">
        <f>scrimecost*Meta!O34</f>
        <v>931.93100000000004</v>
      </c>
      <c r="N37" s="5">
        <f>L37-Grade14!L37</f>
        <v>15877.864391939598</v>
      </c>
      <c r="O37" s="5">
        <f>Grade14!M37-M37</f>
        <v>7.4479999999999791</v>
      </c>
      <c r="P37" s="22">
        <f t="shared" si="12"/>
        <v>356.51882567622658</v>
      </c>
      <c r="Q37" s="22"/>
      <c r="R37" s="22"/>
      <c r="S37" s="22">
        <f t="shared" si="6"/>
        <v>11411.71306858292</v>
      </c>
      <c r="T37" s="22">
        <f t="shared" si="7"/>
        <v>4202.1443329021895</v>
      </c>
    </row>
    <row r="38" spans="1:20" x14ac:dyDescent="0.2">
      <c r="A38" s="5">
        <v>47</v>
      </c>
      <c r="B38" s="1">
        <f t="shared" si="13"/>
        <v>1.9002927007802071</v>
      </c>
      <c r="C38" s="5">
        <f t="shared" si="14"/>
        <v>228176.37675012535</v>
      </c>
      <c r="D38" s="5">
        <f t="shared" si="15"/>
        <v>220311.05081037071</v>
      </c>
      <c r="E38" s="5">
        <f t="shared" si="1"/>
        <v>210811.05081037071</v>
      </c>
      <c r="F38" s="5">
        <f t="shared" si="2"/>
        <v>85361.862085209796</v>
      </c>
      <c r="G38" s="5">
        <f t="shared" si="3"/>
        <v>134949.1887251609</v>
      </c>
      <c r="H38" s="22">
        <f t="shared" si="16"/>
        <v>99349.788914111792</v>
      </c>
      <c r="I38" s="5">
        <f t="shared" si="17"/>
        <v>230623.03544945054</v>
      </c>
      <c r="J38" s="26">
        <f t="shared" si="5"/>
        <v>0.26880974290709175</v>
      </c>
      <c r="L38" s="22">
        <f t="shared" si="18"/>
        <v>429790.08217555645</v>
      </c>
      <c r="M38" s="5">
        <f>scrimecost*Meta!O35</f>
        <v>931.93100000000004</v>
      </c>
      <c r="N38" s="5">
        <f>L38-Grade14!L38</f>
        <v>16274.811001738068</v>
      </c>
      <c r="O38" s="5">
        <f>Grade14!M38-M38</f>
        <v>7.4479999999999791</v>
      </c>
      <c r="P38" s="22">
        <f t="shared" si="12"/>
        <v>366.25728448088785</v>
      </c>
      <c r="Q38" s="22"/>
      <c r="R38" s="22"/>
      <c r="S38" s="22">
        <f t="shared" si="6"/>
        <v>11697.583172508446</v>
      </c>
      <c r="T38" s="22">
        <f t="shared" si="7"/>
        <v>4145.038569594326</v>
      </c>
    </row>
    <row r="39" spans="1:20" x14ac:dyDescent="0.2">
      <c r="A39" s="5">
        <v>48</v>
      </c>
      <c r="B39" s="1">
        <f t="shared" si="13"/>
        <v>1.9478000182997122</v>
      </c>
      <c r="C39" s="5">
        <f t="shared" si="14"/>
        <v>233880.78616887849</v>
      </c>
      <c r="D39" s="5">
        <f t="shared" si="15"/>
        <v>225804.39708062998</v>
      </c>
      <c r="E39" s="5">
        <f t="shared" si="1"/>
        <v>216304.39708062998</v>
      </c>
      <c r="F39" s="5">
        <f t="shared" si="2"/>
        <v>87803.654502340025</v>
      </c>
      <c r="G39" s="5">
        <f t="shared" si="3"/>
        <v>138000.74257828994</v>
      </c>
      <c r="H39" s="22">
        <f t="shared" si="16"/>
        <v>101833.5336369646</v>
      </c>
      <c r="I39" s="5">
        <f t="shared" si="17"/>
        <v>236066.43547068682</v>
      </c>
      <c r="J39" s="26">
        <f t="shared" si="5"/>
        <v>0.26980628775850141</v>
      </c>
      <c r="L39" s="22">
        <f t="shared" si="18"/>
        <v>440534.83422994532</v>
      </c>
      <c r="M39" s="5">
        <f>scrimecost*Meta!O36</f>
        <v>931.93100000000004</v>
      </c>
      <c r="N39" s="5">
        <f>L39-Grade14!L39</f>
        <v>16681.681276781543</v>
      </c>
      <c r="O39" s="5">
        <f>Grade14!M39-M39</f>
        <v>7.4479999999999791</v>
      </c>
      <c r="P39" s="22">
        <f t="shared" si="12"/>
        <v>376.23920475566536</v>
      </c>
      <c r="Q39" s="22"/>
      <c r="R39" s="22"/>
      <c r="S39" s="22">
        <f t="shared" si="6"/>
        <v>11990.600029032143</v>
      </c>
      <c r="T39" s="22">
        <f t="shared" si="7"/>
        <v>4088.703923744004</v>
      </c>
    </row>
    <row r="40" spans="1:20" x14ac:dyDescent="0.2">
      <c r="A40" s="5">
        <v>49</v>
      </c>
      <c r="B40" s="1">
        <f t="shared" si="13"/>
        <v>1.9964950187572048</v>
      </c>
      <c r="C40" s="5">
        <f t="shared" si="14"/>
        <v>239727.80582310041</v>
      </c>
      <c r="D40" s="5">
        <f t="shared" si="15"/>
        <v>231435.07700764571</v>
      </c>
      <c r="E40" s="5">
        <f t="shared" si="1"/>
        <v>221935.07700764571</v>
      </c>
      <c r="F40" s="5">
        <f t="shared" si="2"/>
        <v>90306.491729898524</v>
      </c>
      <c r="G40" s="5">
        <f t="shared" si="3"/>
        <v>141128.58527774719</v>
      </c>
      <c r="H40" s="22">
        <f t="shared" si="16"/>
        <v>104379.3719778887</v>
      </c>
      <c r="I40" s="5">
        <f t="shared" si="17"/>
        <v>241645.92049245402</v>
      </c>
      <c r="J40" s="26">
        <f t="shared" si="5"/>
        <v>0.27077852663792562</v>
      </c>
      <c r="L40" s="22">
        <f t="shared" si="18"/>
        <v>451548.20508569392</v>
      </c>
      <c r="M40" s="5">
        <f>scrimecost*Meta!O37</f>
        <v>931.93100000000004</v>
      </c>
      <c r="N40" s="5">
        <f>L40-Grade14!L40</f>
        <v>17098.72330870101</v>
      </c>
      <c r="O40" s="5">
        <f>Grade14!M40-M40</f>
        <v>7.4479999999999791</v>
      </c>
      <c r="P40" s="22">
        <f t="shared" si="12"/>
        <v>386.47067303731257</v>
      </c>
      <c r="Q40" s="22"/>
      <c r="R40" s="22"/>
      <c r="S40" s="22">
        <f t="shared" si="6"/>
        <v>12290.942306968866</v>
      </c>
      <c r="T40" s="22">
        <f t="shared" si="7"/>
        <v>4033.1301692543279</v>
      </c>
    </row>
    <row r="41" spans="1:20" x14ac:dyDescent="0.2">
      <c r="A41" s="5">
        <v>50</v>
      </c>
      <c r="B41" s="1">
        <f t="shared" si="13"/>
        <v>2.0464073942261352</v>
      </c>
      <c r="C41" s="5">
        <f t="shared" si="14"/>
        <v>245721.00096867798</v>
      </c>
      <c r="D41" s="5">
        <f t="shared" si="15"/>
        <v>237206.52393283689</v>
      </c>
      <c r="E41" s="5">
        <f t="shared" si="1"/>
        <v>227706.52393283689</v>
      </c>
      <c r="F41" s="5">
        <f t="shared" si="2"/>
        <v>92871.899888145999</v>
      </c>
      <c r="G41" s="5">
        <f t="shared" si="3"/>
        <v>144334.62404469089</v>
      </c>
      <c r="H41" s="22">
        <f t="shared" si="16"/>
        <v>106988.85627733593</v>
      </c>
      <c r="I41" s="5">
        <f t="shared" si="17"/>
        <v>247364.8926397654</v>
      </c>
      <c r="J41" s="26">
        <f t="shared" si="5"/>
        <v>0.27172705237394912</v>
      </c>
      <c r="L41" s="22">
        <f t="shared" si="18"/>
        <v>462836.91021283634</v>
      </c>
      <c r="M41" s="5">
        <f>scrimecost*Meta!O38</f>
        <v>622.62199999999996</v>
      </c>
      <c r="N41" s="5">
        <f>L41-Grade14!L41</f>
        <v>17526.191391418688</v>
      </c>
      <c r="O41" s="5">
        <f>Grade14!M41-M41</f>
        <v>4.9759999999999991</v>
      </c>
      <c r="P41" s="22">
        <f t="shared" si="12"/>
        <v>396.95792802600084</v>
      </c>
      <c r="Q41" s="22"/>
      <c r="R41" s="22"/>
      <c r="S41" s="22">
        <f t="shared" si="6"/>
        <v>12596.560925854161</v>
      </c>
      <c r="T41" s="22">
        <f t="shared" si="7"/>
        <v>3977.6023441197058</v>
      </c>
    </row>
    <row r="42" spans="1:20" x14ac:dyDescent="0.2">
      <c r="A42" s="5">
        <v>51</v>
      </c>
      <c r="B42" s="1">
        <f t="shared" si="13"/>
        <v>2.097567579081788</v>
      </c>
      <c r="C42" s="5">
        <f t="shared" si="14"/>
        <v>251864.02599289484</v>
      </c>
      <c r="D42" s="5">
        <f t="shared" si="15"/>
        <v>243122.25703115773</v>
      </c>
      <c r="E42" s="5">
        <f t="shared" si="1"/>
        <v>233622.25703115773</v>
      </c>
      <c r="F42" s="5">
        <f t="shared" si="2"/>
        <v>95501.443250349606</v>
      </c>
      <c r="G42" s="5">
        <f t="shared" si="3"/>
        <v>147620.81378080812</v>
      </c>
      <c r="H42" s="22">
        <f t="shared" si="16"/>
        <v>109663.5776842693</v>
      </c>
      <c r="I42" s="5">
        <f t="shared" si="17"/>
        <v>253226.83909075946</v>
      </c>
      <c r="J42" s="26">
        <f t="shared" si="5"/>
        <v>0.27265244333592331</v>
      </c>
      <c r="L42" s="22">
        <f t="shared" si="18"/>
        <v>474407.83296815713</v>
      </c>
      <c r="M42" s="5">
        <f>scrimecost*Meta!O39</f>
        <v>622.62199999999996</v>
      </c>
      <c r="N42" s="5">
        <f>L42-Grade14!L42</f>
        <v>17964.346176203922</v>
      </c>
      <c r="O42" s="5">
        <f>Grade14!M42-M42</f>
        <v>4.9759999999999991</v>
      </c>
      <c r="P42" s="22">
        <f t="shared" si="12"/>
        <v>407.70736438940628</v>
      </c>
      <c r="Q42" s="22"/>
      <c r="R42" s="22"/>
      <c r="S42" s="22">
        <f t="shared" si="6"/>
        <v>12912.10803161132</v>
      </c>
      <c r="T42" s="22">
        <f t="shared" si="7"/>
        <v>3923.5467772963625</v>
      </c>
    </row>
    <row r="43" spans="1:20" x14ac:dyDescent="0.2">
      <c r="A43" s="5">
        <v>52</v>
      </c>
      <c r="B43" s="1">
        <f t="shared" si="13"/>
        <v>2.1500067685588333</v>
      </c>
      <c r="C43" s="5">
        <f t="shared" si="14"/>
        <v>258160.62664271728</v>
      </c>
      <c r="D43" s="5">
        <f t="shared" si="15"/>
        <v>249185.88345693675</v>
      </c>
      <c r="E43" s="5">
        <f t="shared" si="1"/>
        <v>239685.88345693675</v>
      </c>
      <c r="F43" s="5">
        <f t="shared" si="2"/>
        <v>98196.725196608386</v>
      </c>
      <c r="G43" s="5">
        <f t="shared" si="3"/>
        <v>150989.15826032835</v>
      </c>
      <c r="H43" s="22">
        <f t="shared" si="16"/>
        <v>112405.16712637607</v>
      </c>
      <c r="I43" s="5">
        <f t="shared" si="17"/>
        <v>259235.3342030285</v>
      </c>
      <c r="J43" s="26">
        <f t="shared" si="5"/>
        <v>0.27355526378662992</v>
      </c>
      <c r="L43" s="22">
        <f t="shared" si="18"/>
        <v>486268.0287923612</v>
      </c>
      <c r="M43" s="5">
        <f>scrimecost*Meta!O40</f>
        <v>622.62199999999996</v>
      </c>
      <c r="N43" s="5">
        <f>L43-Grade14!L43</f>
        <v>18413.454830609204</v>
      </c>
      <c r="O43" s="5">
        <f>Grade14!M43-M43</f>
        <v>4.9759999999999991</v>
      </c>
      <c r="P43" s="22">
        <f t="shared" si="12"/>
        <v>418.72553666189714</v>
      </c>
      <c r="Q43" s="22"/>
      <c r="R43" s="22"/>
      <c r="S43" s="22">
        <f t="shared" ref="S43:S69" si="19">IF(A43&lt;startage,1,0)*(N43-Q43-R43)+IF(A43&gt;=startage,1,0)*completionprob*(N43*spart+O43+P43)</f>
        <v>13235.543815012699</v>
      </c>
      <c r="T43" s="22">
        <f t="shared" ref="T43:T69" si="20">S43/sreturn^(A43-startage+1)</f>
        <v>3870.2211876449464</v>
      </c>
    </row>
    <row r="44" spans="1:20" x14ac:dyDescent="0.2">
      <c r="A44" s="5">
        <v>53</v>
      </c>
      <c r="B44" s="1">
        <f t="shared" si="13"/>
        <v>2.2037569377728037</v>
      </c>
      <c r="C44" s="5">
        <f t="shared" si="14"/>
        <v>264614.64230878517</v>
      </c>
      <c r="D44" s="5">
        <f t="shared" si="15"/>
        <v>255401.10054336014</v>
      </c>
      <c r="E44" s="5">
        <f t="shared" si="1"/>
        <v>245901.10054336014</v>
      </c>
      <c r="F44" s="5">
        <f t="shared" si="2"/>
        <v>100959.38919152357</v>
      </c>
      <c r="G44" s="5">
        <f t="shared" si="3"/>
        <v>154441.71135183657</v>
      </c>
      <c r="H44" s="22">
        <f t="shared" si="16"/>
        <v>115215.29630453544</v>
      </c>
      <c r="I44" s="5">
        <f t="shared" si="17"/>
        <v>265394.0416931042</v>
      </c>
      <c r="J44" s="26">
        <f t="shared" si="5"/>
        <v>0.27443606422634359</v>
      </c>
      <c r="L44" s="22">
        <f t="shared" si="18"/>
        <v>498424.72951217007</v>
      </c>
      <c r="M44" s="5">
        <f>scrimecost*Meta!O41</f>
        <v>622.62199999999996</v>
      </c>
      <c r="N44" s="5">
        <f>L44-Grade14!L44</f>
        <v>18873.791201374319</v>
      </c>
      <c r="O44" s="5">
        <f>Grade14!M44-M44</f>
        <v>4.9759999999999991</v>
      </c>
      <c r="P44" s="22">
        <f t="shared" si="12"/>
        <v>430.01916324119992</v>
      </c>
      <c r="Q44" s="22"/>
      <c r="R44" s="22"/>
      <c r="S44" s="22">
        <f t="shared" si="19"/>
        <v>13567.065492998907</v>
      </c>
      <c r="T44" s="22">
        <f t="shared" si="20"/>
        <v>3817.6158928378786</v>
      </c>
    </row>
    <row r="45" spans="1:20" x14ac:dyDescent="0.2">
      <c r="A45" s="5">
        <v>54</v>
      </c>
      <c r="B45" s="1">
        <f t="shared" si="13"/>
        <v>2.2588508612171236</v>
      </c>
      <c r="C45" s="5">
        <f t="shared" si="14"/>
        <v>271230.0083665048</v>
      </c>
      <c r="D45" s="5">
        <f t="shared" si="15"/>
        <v>261771.69805694412</v>
      </c>
      <c r="E45" s="5">
        <f t="shared" si="1"/>
        <v>252271.69805694412</v>
      </c>
      <c r="F45" s="5">
        <f t="shared" si="2"/>
        <v>103791.11978631167</v>
      </c>
      <c r="G45" s="5">
        <f t="shared" si="3"/>
        <v>157980.57827063245</v>
      </c>
      <c r="H45" s="22">
        <f t="shared" si="16"/>
        <v>118095.67871214882</v>
      </c>
      <c r="I45" s="5">
        <f t="shared" si="17"/>
        <v>271706.71687043179</v>
      </c>
      <c r="J45" s="26">
        <f t="shared" si="5"/>
        <v>0.27529538172850332</v>
      </c>
      <c r="L45" s="22">
        <f t="shared" si="18"/>
        <v>510885.34774997435</v>
      </c>
      <c r="M45" s="5">
        <f>scrimecost*Meta!O42</f>
        <v>622.62199999999996</v>
      </c>
      <c r="N45" s="5">
        <f>L45-Grade14!L45</f>
        <v>19345.635981408763</v>
      </c>
      <c r="O45" s="5">
        <f>Grade14!M45-M45</f>
        <v>4.9759999999999991</v>
      </c>
      <c r="P45" s="22">
        <f t="shared" si="12"/>
        <v>441.59513048498548</v>
      </c>
      <c r="Q45" s="22"/>
      <c r="R45" s="22"/>
      <c r="S45" s="22">
        <f t="shared" si="19"/>
        <v>13906.875212934907</v>
      </c>
      <c r="T45" s="22">
        <f t="shared" si="20"/>
        <v>3765.721332294328</v>
      </c>
    </row>
    <row r="46" spans="1:20" x14ac:dyDescent="0.2">
      <c r="A46" s="5">
        <v>55</v>
      </c>
      <c r="B46" s="1">
        <f t="shared" si="13"/>
        <v>2.3153221327475517</v>
      </c>
      <c r="C46" s="5">
        <f t="shared" si="14"/>
        <v>278010.75857566739</v>
      </c>
      <c r="D46" s="5">
        <f t="shared" si="15"/>
        <v>268301.56050836772</v>
      </c>
      <c r="E46" s="5">
        <f t="shared" si="1"/>
        <v>258801.56050836772</v>
      </c>
      <c r="F46" s="5">
        <f t="shared" si="2"/>
        <v>106693.64364596945</v>
      </c>
      <c r="G46" s="5">
        <f t="shared" si="3"/>
        <v>161607.91686239827</v>
      </c>
      <c r="H46" s="22">
        <f t="shared" si="16"/>
        <v>121048.07067995254</v>
      </c>
      <c r="I46" s="5">
        <f t="shared" si="17"/>
        <v>278177.20892719255</v>
      </c>
      <c r="J46" s="26">
        <f t="shared" si="5"/>
        <v>0.27613374026719573</v>
      </c>
      <c r="L46" s="22">
        <f t="shared" si="18"/>
        <v>523657.48144372366</v>
      </c>
      <c r="M46" s="5">
        <f>scrimecost*Meta!O43</f>
        <v>345.34499999999997</v>
      </c>
      <c r="N46" s="5">
        <f>L46-Grade14!L46</f>
        <v>19829.276880943973</v>
      </c>
      <c r="O46" s="5">
        <f>Grade14!M46-M46</f>
        <v>2.7599999999999909</v>
      </c>
      <c r="P46" s="22">
        <f t="shared" si="12"/>
        <v>453.46049690986553</v>
      </c>
      <c r="Q46" s="22"/>
      <c r="R46" s="22"/>
      <c r="S46" s="22">
        <f t="shared" si="19"/>
        <v>14253.17912786924</v>
      </c>
      <c r="T46" s="22">
        <f t="shared" si="20"/>
        <v>3714.0066450021927</v>
      </c>
    </row>
    <row r="47" spans="1:20" x14ac:dyDescent="0.2">
      <c r="A47" s="5">
        <v>56</v>
      </c>
      <c r="B47" s="1">
        <f t="shared" si="13"/>
        <v>2.3732051860662402</v>
      </c>
      <c r="C47" s="5">
        <f t="shared" si="14"/>
        <v>284961.02754005906</v>
      </c>
      <c r="D47" s="5">
        <f t="shared" si="15"/>
        <v>274994.6695210769</v>
      </c>
      <c r="E47" s="5">
        <f t="shared" si="1"/>
        <v>265494.6695210769</v>
      </c>
      <c r="F47" s="5">
        <f t="shared" si="2"/>
        <v>109668.73060211867</v>
      </c>
      <c r="G47" s="5">
        <f t="shared" si="3"/>
        <v>165325.93891895824</v>
      </c>
      <c r="H47" s="22">
        <f t="shared" si="16"/>
        <v>124074.27244695133</v>
      </c>
      <c r="I47" s="5">
        <f t="shared" si="17"/>
        <v>284809.46328537236</v>
      </c>
      <c r="J47" s="26">
        <f t="shared" si="5"/>
        <v>0.27695165103665165</v>
      </c>
      <c r="L47" s="22">
        <f t="shared" si="18"/>
        <v>536748.91847981676</v>
      </c>
      <c r="M47" s="5">
        <f>scrimecost*Meta!O44</f>
        <v>345.34499999999997</v>
      </c>
      <c r="N47" s="5">
        <f>L47-Grade14!L47</f>
        <v>20325.008802967495</v>
      </c>
      <c r="O47" s="5">
        <f>Grade14!M47-M47</f>
        <v>2.7599999999999909</v>
      </c>
      <c r="P47" s="22">
        <f t="shared" si="12"/>
        <v>465.62249749536761</v>
      </c>
      <c r="Q47" s="22"/>
      <c r="R47" s="22"/>
      <c r="S47" s="22">
        <f t="shared" si="19"/>
        <v>14610.191714876886</v>
      </c>
      <c r="T47" s="22">
        <f t="shared" si="20"/>
        <v>3663.5250073293537</v>
      </c>
    </row>
    <row r="48" spans="1:20" x14ac:dyDescent="0.2">
      <c r="A48" s="5">
        <v>57</v>
      </c>
      <c r="B48" s="1">
        <f t="shared" si="13"/>
        <v>2.4325353157178964</v>
      </c>
      <c r="C48" s="5">
        <f t="shared" si="14"/>
        <v>292085.05322856054</v>
      </c>
      <c r="D48" s="5">
        <f t="shared" si="15"/>
        <v>281855.10625910381</v>
      </c>
      <c r="E48" s="5">
        <f t="shared" si="1"/>
        <v>272355.10625910381</v>
      </c>
      <c r="F48" s="5">
        <f t="shared" si="2"/>
        <v>112718.19473217163</v>
      </c>
      <c r="G48" s="5">
        <f t="shared" si="3"/>
        <v>169136.91152693218</v>
      </c>
      <c r="H48" s="22">
        <f t="shared" si="16"/>
        <v>127176.12925812513</v>
      </c>
      <c r="I48" s="5">
        <f t="shared" si="17"/>
        <v>291607.52400250669</v>
      </c>
      <c r="J48" s="26">
        <f t="shared" si="5"/>
        <v>0.27774961276295013</v>
      </c>
      <c r="L48" s="22">
        <f t="shared" si="18"/>
        <v>550167.64144181216</v>
      </c>
      <c r="M48" s="5">
        <f>scrimecost*Meta!O45</f>
        <v>345.34499999999997</v>
      </c>
      <c r="N48" s="5">
        <f>L48-Grade14!L48</f>
        <v>20833.134023041814</v>
      </c>
      <c r="O48" s="5">
        <f>Grade14!M48-M48</f>
        <v>2.7599999999999909</v>
      </c>
      <c r="P48" s="22">
        <f t="shared" si="12"/>
        <v>478.08854809550718</v>
      </c>
      <c r="Q48" s="22"/>
      <c r="R48" s="22"/>
      <c r="S48" s="22">
        <f t="shared" si="19"/>
        <v>14976.129616559865</v>
      </c>
      <c r="T48" s="22">
        <f t="shared" si="20"/>
        <v>3613.7253990192366</v>
      </c>
    </row>
    <row r="49" spans="1:20" x14ac:dyDescent="0.2">
      <c r="A49" s="5">
        <v>58</v>
      </c>
      <c r="B49" s="1">
        <f t="shared" si="13"/>
        <v>2.4933486986108435</v>
      </c>
      <c r="C49" s="5">
        <f t="shared" si="14"/>
        <v>299387.17955927452</v>
      </c>
      <c r="D49" s="5">
        <f t="shared" si="15"/>
        <v>288887.05391558137</v>
      </c>
      <c r="E49" s="5">
        <f t="shared" si="1"/>
        <v>279387.05391558137</v>
      </c>
      <c r="F49" s="5">
        <f t="shared" si="2"/>
        <v>115843.89546547591</v>
      </c>
      <c r="G49" s="5">
        <f t="shared" si="3"/>
        <v>173043.15845010546</v>
      </c>
      <c r="H49" s="22">
        <f t="shared" si="16"/>
        <v>130355.53248957825</v>
      </c>
      <c r="I49" s="5">
        <f t="shared" si="17"/>
        <v>298575.53623756929</v>
      </c>
      <c r="J49" s="26">
        <f t="shared" si="5"/>
        <v>0.2785281120081195</v>
      </c>
      <c r="L49" s="22">
        <f t="shared" si="18"/>
        <v>563921.83247785736</v>
      </c>
      <c r="M49" s="5">
        <f>scrimecost*Meta!O46</f>
        <v>345.34499999999997</v>
      </c>
      <c r="N49" s="5">
        <f>L49-Grade14!L49</f>
        <v>21353.962373617804</v>
      </c>
      <c r="O49" s="5">
        <f>Grade14!M49-M49</f>
        <v>2.7599999999999909</v>
      </c>
      <c r="P49" s="22">
        <f t="shared" si="12"/>
        <v>490.86624996065041</v>
      </c>
      <c r="Q49" s="22"/>
      <c r="R49" s="22"/>
      <c r="S49" s="22">
        <f t="shared" si="19"/>
        <v>15351.215965784793</v>
      </c>
      <c r="T49" s="22">
        <f t="shared" si="20"/>
        <v>3564.5987617167129</v>
      </c>
    </row>
    <row r="50" spans="1:20" x14ac:dyDescent="0.2">
      <c r="A50" s="5">
        <v>59</v>
      </c>
      <c r="B50" s="1">
        <f t="shared" si="13"/>
        <v>2.555682416076114</v>
      </c>
      <c r="C50" s="5">
        <f t="shared" si="14"/>
        <v>306871.8590482563</v>
      </c>
      <c r="D50" s="5">
        <f t="shared" si="15"/>
        <v>296094.8002634708</v>
      </c>
      <c r="E50" s="5">
        <f t="shared" si="1"/>
        <v>286594.8002634708</v>
      </c>
      <c r="F50" s="5">
        <f t="shared" si="2"/>
        <v>119047.73871711278</v>
      </c>
      <c r="G50" s="5">
        <f t="shared" si="3"/>
        <v>177047.06154635802</v>
      </c>
      <c r="H50" s="22">
        <f t="shared" si="16"/>
        <v>133614.42080181767</v>
      </c>
      <c r="I50" s="5">
        <f t="shared" si="17"/>
        <v>305717.74877850845</v>
      </c>
      <c r="J50" s="26">
        <f t="shared" si="5"/>
        <v>0.27928762346682123</v>
      </c>
      <c r="L50" s="22">
        <f t="shared" si="18"/>
        <v>578019.87828980363</v>
      </c>
      <c r="M50" s="5">
        <f>scrimecost*Meta!O47</f>
        <v>345.34499999999997</v>
      </c>
      <c r="N50" s="5">
        <f>L50-Grade14!L50</f>
        <v>21887.811432957998</v>
      </c>
      <c r="O50" s="5">
        <f>Grade14!M50-M50</f>
        <v>2.7599999999999909</v>
      </c>
      <c r="P50" s="22">
        <f t="shared" si="12"/>
        <v>503.96339437242199</v>
      </c>
      <c r="Q50" s="22"/>
      <c r="R50" s="22"/>
      <c r="S50" s="22">
        <f t="shared" si="19"/>
        <v>15735.679473740205</v>
      </c>
      <c r="T50" s="22">
        <f t="shared" si="20"/>
        <v>3516.1361514325167</v>
      </c>
    </row>
    <row r="51" spans="1:20" x14ac:dyDescent="0.2">
      <c r="A51" s="5">
        <v>60</v>
      </c>
      <c r="B51" s="1">
        <f t="shared" si="13"/>
        <v>2.6195744764780171</v>
      </c>
      <c r="C51" s="5">
        <f t="shared" si="14"/>
        <v>314543.65552446275</v>
      </c>
      <c r="D51" s="5">
        <f t="shared" si="15"/>
        <v>303482.74027005763</v>
      </c>
      <c r="E51" s="5">
        <f t="shared" si="1"/>
        <v>293982.74027005763</v>
      </c>
      <c r="F51" s="5">
        <f t="shared" si="2"/>
        <v>122331.67805004063</v>
      </c>
      <c r="G51" s="5">
        <f t="shared" si="3"/>
        <v>181151.06222001702</v>
      </c>
      <c r="H51" s="22">
        <f t="shared" si="16"/>
        <v>136954.78132186312</v>
      </c>
      <c r="I51" s="5">
        <f t="shared" si="17"/>
        <v>313038.51663297124</v>
      </c>
      <c r="J51" s="26">
        <f t="shared" si="5"/>
        <v>0.28002861025579862</v>
      </c>
      <c r="L51" s="22">
        <f t="shared" si="18"/>
        <v>592470.3752470488</v>
      </c>
      <c r="M51" s="5">
        <f>scrimecost*Meta!O48</f>
        <v>182.18199999999999</v>
      </c>
      <c r="N51" s="5">
        <f>L51-Grade14!L51</f>
        <v>22435.006718782242</v>
      </c>
      <c r="O51" s="5">
        <f>Grade14!M51-M51</f>
        <v>1.4560000000000173</v>
      </c>
      <c r="P51" s="22">
        <f t="shared" si="12"/>
        <v>517.38796739448821</v>
      </c>
      <c r="Q51" s="22"/>
      <c r="R51" s="22"/>
      <c r="S51" s="22">
        <f t="shared" si="19"/>
        <v>16128.577057394881</v>
      </c>
      <c r="T51" s="22">
        <f t="shared" si="20"/>
        <v>3468.0755407484685</v>
      </c>
    </row>
    <row r="52" spans="1:20" x14ac:dyDescent="0.2">
      <c r="A52" s="5">
        <v>61</v>
      </c>
      <c r="B52" s="1">
        <f t="shared" si="13"/>
        <v>2.6850638383899672</v>
      </c>
      <c r="C52" s="5">
        <f t="shared" si="14"/>
        <v>322407.24691257428</v>
      </c>
      <c r="D52" s="5">
        <f t="shared" si="15"/>
        <v>311055.37877680903</v>
      </c>
      <c r="E52" s="5">
        <f t="shared" si="1"/>
        <v>301555.37877680903</v>
      </c>
      <c r="F52" s="5">
        <f t="shared" si="2"/>
        <v>125697.71586629162</v>
      </c>
      <c r="G52" s="5">
        <f t="shared" si="3"/>
        <v>185357.66291051742</v>
      </c>
      <c r="H52" s="22">
        <f t="shared" si="16"/>
        <v>140378.65085490968</v>
      </c>
      <c r="I52" s="5">
        <f t="shared" si="17"/>
        <v>320542.30368379544</v>
      </c>
      <c r="J52" s="26">
        <f t="shared" si="5"/>
        <v>0.28075152419626426</v>
      </c>
      <c r="L52" s="22">
        <f t="shared" si="18"/>
        <v>607282.13462822489</v>
      </c>
      <c r="M52" s="5">
        <f>scrimecost*Meta!O49</f>
        <v>182.18199999999999</v>
      </c>
      <c r="N52" s="5">
        <f>L52-Grade14!L52</f>
        <v>22995.881886751624</v>
      </c>
      <c r="O52" s="5">
        <f>Grade14!M52-M52</f>
        <v>1.4560000000000173</v>
      </c>
      <c r="P52" s="22">
        <f t="shared" si="12"/>
        <v>531.1481547421057</v>
      </c>
      <c r="Q52" s="22"/>
      <c r="R52" s="22"/>
      <c r="S52" s="22">
        <f t="shared" si="19"/>
        <v>16532.504030440603</v>
      </c>
      <c r="T52" s="22">
        <f t="shared" si="20"/>
        <v>3420.9241484167665</v>
      </c>
    </row>
    <row r="53" spans="1:20" x14ac:dyDescent="0.2">
      <c r="A53" s="5">
        <v>62</v>
      </c>
      <c r="B53" s="1">
        <f t="shared" si="13"/>
        <v>2.7521904343497163</v>
      </c>
      <c r="C53" s="5">
        <f t="shared" si="14"/>
        <v>330467.42808538867</v>
      </c>
      <c r="D53" s="5">
        <f t="shared" si="15"/>
        <v>318817.33324622927</v>
      </c>
      <c r="E53" s="5">
        <f t="shared" si="1"/>
        <v>309317.33324622927</v>
      </c>
      <c r="F53" s="5">
        <f t="shared" si="2"/>
        <v>129147.90462794891</v>
      </c>
      <c r="G53" s="5">
        <f t="shared" si="3"/>
        <v>189669.42861828036</v>
      </c>
      <c r="H53" s="22">
        <f t="shared" si="16"/>
        <v>143888.11712628242</v>
      </c>
      <c r="I53" s="5">
        <f t="shared" si="17"/>
        <v>328233.68541089032</v>
      </c>
      <c r="J53" s="26">
        <f t="shared" si="5"/>
        <v>0.28145680608940149</v>
      </c>
      <c r="L53" s="22">
        <f t="shared" si="18"/>
        <v>622464.18799393065</v>
      </c>
      <c r="M53" s="5">
        <f>scrimecost*Meta!O50</f>
        <v>182.18199999999999</v>
      </c>
      <c r="N53" s="5">
        <f>L53-Grade14!L53</f>
        <v>23570.778933920548</v>
      </c>
      <c r="O53" s="5">
        <f>Grade14!M53-M53</f>
        <v>1.4560000000000173</v>
      </c>
      <c r="P53" s="22">
        <f t="shared" si="12"/>
        <v>545.25234677341393</v>
      </c>
      <c r="Q53" s="22"/>
      <c r="R53" s="22"/>
      <c r="S53" s="22">
        <f t="shared" si="19"/>
        <v>16946.529177812681</v>
      </c>
      <c r="T53" s="22">
        <f t="shared" si="20"/>
        <v>3374.4102654210324</v>
      </c>
    </row>
    <row r="54" spans="1:20" x14ac:dyDescent="0.2">
      <c r="A54" s="5">
        <v>63</v>
      </c>
      <c r="B54" s="1">
        <f t="shared" si="13"/>
        <v>2.8209951952084591</v>
      </c>
      <c r="C54" s="5">
        <f t="shared" si="14"/>
        <v>338729.11378752335</v>
      </c>
      <c r="D54" s="5">
        <f t="shared" si="15"/>
        <v>326773.33657738497</v>
      </c>
      <c r="E54" s="5">
        <f t="shared" si="1"/>
        <v>317273.33657738497</v>
      </c>
      <c r="F54" s="5">
        <f t="shared" si="2"/>
        <v>132684.34810864759</v>
      </c>
      <c r="G54" s="5">
        <f t="shared" si="3"/>
        <v>194088.98846873737</v>
      </c>
      <c r="H54" s="22">
        <f t="shared" si="16"/>
        <v>147485.32005443948</v>
      </c>
      <c r="I54" s="5">
        <f t="shared" si="17"/>
        <v>336117.3516811626</v>
      </c>
      <c r="J54" s="26">
        <f t="shared" si="5"/>
        <v>0.28214488598514509</v>
      </c>
      <c r="L54" s="22">
        <f t="shared" si="18"/>
        <v>638025.79269377887</v>
      </c>
      <c r="M54" s="5">
        <f>scrimecost*Meta!O51</f>
        <v>182.18199999999999</v>
      </c>
      <c r="N54" s="5">
        <f>L54-Grade14!L54</f>
        <v>24160.048407268594</v>
      </c>
      <c r="O54" s="5">
        <f>Grade14!M54-M54</f>
        <v>1.4560000000000173</v>
      </c>
      <c r="P54" s="22">
        <f t="shared" si="12"/>
        <v>559.70914360550466</v>
      </c>
      <c r="Q54" s="22"/>
      <c r="R54" s="22"/>
      <c r="S54" s="22">
        <f t="shared" si="19"/>
        <v>17370.904953868991</v>
      </c>
      <c r="T54" s="22">
        <f t="shared" si="20"/>
        <v>3328.5254066961365</v>
      </c>
    </row>
    <row r="55" spans="1:20" x14ac:dyDescent="0.2">
      <c r="A55" s="5">
        <v>64</v>
      </c>
      <c r="B55" s="1">
        <f t="shared" si="13"/>
        <v>2.8915200750886707</v>
      </c>
      <c r="C55" s="5">
        <f t="shared" si="14"/>
        <v>347197.34163221146</v>
      </c>
      <c r="D55" s="5">
        <f t="shared" si="15"/>
        <v>334928.23999181966</v>
      </c>
      <c r="E55" s="5">
        <f t="shared" si="1"/>
        <v>325428.23999181966</v>
      </c>
      <c r="F55" s="5">
        <f t="shared" si="2"/>
        <v>136309.20267636384</v>
      </c>
      <c r="G55" s="5">
        <f t="shared" si="3"/>
        <v>198619.03731545582</v>
      </c>
      <c r="H55" s="22">
        <f t="shared" si="16"/>
        <v>151172.45305580049</v>
      </c>
      <c r="I55" s="5">
        <f t="shared" si="17"/>
        <v>344198.10960819165</v>
      </c>
      <c r="J55" s="26">
        <f t="shared" si="5"/>
        <v>0.28281618344440729</v>
      </c>
      <c r="L55" s="22">
        <f t="shared" si="18"/>
        <v>653976.43751112337</v>
      </c>
      <c r="M55" s="5">
        <f>scrimecost*Meta!O52</f>
        <v>182.18199999999999</v>
      </c>
      <c r="N55" s="5">
        <f>L55-Grade14!L55</f>
        <v>24764.049617450451</v>
      </c>
      <c r="O55" s="5">
        <f>Grade14!M55-M55</f>
        <v>1.4560000000000173</v>
      </c>
      <c r="P55" s="22">
        <f t="shared" si="12"/>
        <v>574.52736035839803</v>
      </c>
      <c r="Q55" s="22"/>
      <c r="R55" s="22"/>
      <c r="S55" s="22">
        <f t="shared" si="19"/>
        <v>17805.890124326779</v>
      </c>
      <c r="T55" s="22">
        <f t="shared" si="20"/>
        <v>3283.2611950016048</v>
      </c>
    </row>
    <row r="56" spans="1:20" x14ac:dyDescent="0.2">
      <c r="A56" s="5">
        <v>65</v>
      </c>
      <c r="B56" s="1">
        <f t="shared" si="13"/>
        <v>2.9638080769658868</v>
      </c>
      <c r="C56" s="5">
        <f t="shared" si="14"/>
        <v>355877.27517301665</v>
      </c>
      <c r="D56" s="5">
        <f t="shared" si="15"/>
        <v>343287.01599161502</v>
      </c>
      <c r="E56" s="5">
        <f t="shared" si="1"/>
        <v>333787.01599161502</v>
      </c>
      <c r="F56" s="5">
        <f t="shared" si="2"/>
        <v>140024.67860827286</v>
      </c>
      <c r="G56" s="5">
        <f t="shared" si="3"/>
        <v>203262.33738334215</v>
      </c>
      <c r="H56" s="22">
        <f t="shared" si="16"/>
        <v>154951.76438219546</v>
      </c>
      <c r="I56" s="5">
        <f t="shared" si="17"/>
        <v>352480.8864833964</v>
      </c>
      <c r="J56" s="26">
        <f t="shared" si="5"/>
        <v>0.28347110779490681</v>
      </c>
      <c r="L56" s="22">
        <f t="shared" si="18"/>
        <v>670325.8484489012</v>
      </c>
      <c r="M56" s="5">
        <f>scrimecost*Meta!O53</f>
        <v>55.055</v>
      </c>
      <c r="N56" s="5">
        <f>L56-Grade14!L56</f>
        <v>25383.150857886299</v>
      </c>
      <c r="O56" s="5">
        <f>Grade14!M56-M56</f>
        <v>0.43999999999999773</v>
      </c>
      <c r="P56" s="22">
        <f t="shared" si="12"/>
        <v>589.71603253011301</v>
      </c>
      <c r="Q56" s="22"/>
      <c r="R56" s="22"/>
      <c r="S56" s="22">
        <f t="shared" si="19"/>
        <v>18250.832476045631</v>
      </c>
      <c r="T56" s="22">
        <f t="shared" si="20"/>
        <v>3238.4465668277876</v>
      </c>
    </row>
    <row r="57" spans="1:20" x14ac:dyDescent="0.2">
      <c r="A57" s="5">
        <v>66</v>
      </c>
      <c r="C57" s="5"/>
      <c r="H57" s="21"/>
      <c r="I57" s="5"/>
      <c r="M57" s="5">
        <f>scrimecost*Meta!O54</f>
        <v>55.055</v>
      </c>
      <c r="N57" s="5">
        <f>L57-Grade14!L57</f>
        <v>0</v>
      </c>
      <c r="O57" s="5">
        <f>Grade14!M57-M57</f>
        <v>0.43999999999999773</v>
      </c>
      <c r="Q57" s="22"/>
      <c r="R57" s="22"/>
      <c r="S57" s="22">
        <f t="shared" si="19"/>
        <v>0.39731999999999795</v>
      </c>
      <c r="T57" s="22">
        <f t="shared" si="20"/>
        <v>6.7843273707753046E-2</v>
      </c>
    </row>
    <row r="58" spans="1:20" x14ac:dyDescent="0.2">
      <c r="A58" s="5">
        <v>67</v>
      </c>
      <c r="C58" s="5"/>
      <c r="H58" s="21"/>
      <c r="I58" s="5"/>
      <c r="M58" s="5">
        <f>scrimecost*Meta!O55</f>
        <v>55.055</v>
      </c>
      <c r="N58" s="5">
        <f>L58-Grade14!L58</f>
        <v>0</v>
      </c>
      <c r="O58" s="5">
        <f>Grade14!M58-M58</f>
        <v>0.43999999999999773</v>
      </c>
      <c r="Q58" s="22"/>
      <c r="R58" s="22"/>
      <c r="S58" s="22">
        <f t="shared" si="19"/>
        <v>0.39731999999999795</v>
      </c>
      <c r="T58" s="22">
        <f t="shared" si="20"/>
        <v>6.5285856871890174E-2</v>
      </c>
    </row>
    <row r="59" spans="1:20" x14ac:dyDescent="0.2">
      <c r="A59" s="5">
        <v>68</v>
      </c>
      <c r="H59" s="21"/>
      <c r="I59" s="5"/>
      <c r="M59" s="5">
        <f>scrimecost*Meta!O56</f>
        <v>55.055</v>
      </c>
      <c r="N59" s="5">
        <f>L59-Grade14!L59</f>
        <v>0</v>
      </c>
      <c r="O59" s="5">
        <f>Grade14!M59-M59</f>
        <v>0.43999999999999773</v>
      </c>
      <c r="Q59" s="22"/>
      <c r="R59" s="22"/>
      <c r="S59" s="22">
        <f t="shared" si="19"/>
        <v>0.39731999999999795</v>
      </c>
      <c r="T59" s="22">
        <f t="shared" si="20"/>
        <v>6.2824844300074595E-2</v>
      </c>
    </row>
    <row r="60" spans="1:20" x14ac:dyDescent="0.2">
      <c r="A60" s="5">
        <v>69</v>
      </c>
      <c r="H60" s="21"/>
      <c r="I60" s="5"/>
      <c r="M60" s="5">
        <f>scrimecost*Meta!O57</f>
        <v>55.055</v>
      </c>
      <c r="N60" s="5">
        <f>L60-Grade14!L60</f>
        <v>0</v>
      </c>
      <c r="O60" s="5">
        <f>Grade14!M60-M60</f>
        <v>0.43999999999999773</v>
      </c>
      <c r="Q60" s="22"/>
      <c r="R60" s="22"/>
      <c r="S60" s="22">
        <f t="shared" si="19"/>
        <v>0.39731999999999795</v>
      </c>
      <c r="T60" s="22">
        <f t="shared" si="20"/>
        <v>6.0456601941729887E-2</v>
      </c>
    </row>
    <row r="61" spans="1:20" x14ac:dyDescent="0.2">
      <c r="A61" s="5">
        <v>70</v>
      </c>
      <c r="H61" s="21"/>
      <c r="I61" s="5"/>
      <c r="M61" s="5">
        <f>scrimecost*Meta!O58</f>
        <v>55.055</v>
      </c>
      <c r="N61" s="5">
        <f>L61-Grade14!L61</f>
        <v>0</v>
      </c>
      <c r="O61" s="5">
        <f>Grade14!M61-M61</f>
        <v>0.43999999999999773</v>
      </c>
      <c r="Q61" s="22"/>
      <c r="R61" s="22"/>
      <c r="S61" s="22">
        <f t="shared" si="19"/>
        <v>0.39731999999999795</v>
      </c>
      <c r="T61" s="22">
        <f t="shared" si="20"/>
        <v>5.8177632735278241E-2</v>
      </c>
    </row>
    <row r="62" spans="1:20" x14ac:dyDescent="0.2">
      <c r="A62" s="5">
        <v>71</v>
      </c>
      <c r="H62" s="21"/>
      <c r="I62" s="5"/>
      <c r="M62" s="5">
        <f>scrimecost*Meta!O59</f>
        <v>55.055</v>
      </c>
      <c r="N62" s="5">
        <f>L62-Grade14!L62</f>
        <v>0</v>
      </c>
      <c r="O62" s="5">
        <f>Grade14!M62-M62</f>
        <v>0.43999999999999773</v>
      </c>
      <c r="Q62" s="22"/>
      <c r="R62" s="22"/>
      <c r="S62" s="22">
        <f t="shared" si="19"/>
        <v>0.39731999999999795</v>
      </c>
      <c r="T62" s="22">
        <f t="shared" si="20"/>
        <v>5.5984571444209617E-2</v>
      </c>
    </row>
    <row r="63" spans="1:20" x14ac:dyDescent="0.2">
      <c r="A63" s="5">
        <v>72</v>
      </c>
      <c r="H63" s="21"/>
      <c r="M63" s="5">
        <f>scrimecost*Meta!O60</f>
        <v>55.055</v>
      </c>
      <c r="N63" s="5">
        <f>L63-Grade14!L63</f>
        <v>0</v>
      </c>
      <c r="O63" s="5">
        <f>Grade14!M63-M63</f>
        <v>0.43999999999999773</v>
      </c>
      <c r="Q63" s="22"/>
      <c r="R63" s="22"/>
      <c r="S63" s="22">
        <f t="shared" si="19"/>
        <v>0.39731999999999795</v>
      </c>
      <c r="T63" s="22">
        <f t="shared" si="20"/>
        <v>5.387417968781022E-2</v>
      </c>
    </row>
    <row r="64" spans="1:20" x14ac:dyDescent="0.2">
      <c r="A64" s="5">
        <v>73</v>
      </c>
      <c r="H64" s="21"/>
      <c r="M64" s="5">
        <f>scrimecost*Meta!O61</f>
        <v>55.055</v>
      </c>
      <c r="N64" s="5">
        <f>L64-Grade14!L64</f>
        <v>0</v>
      </c>
      <c r="O64" s="5">
        <f>Grade14!M64-M64</f>
        <v>0.43999999999999773</v>
      </c>
      <c r="Q64" s="22"/>
      <c r="R64" s="22"/>
      <c r="S64" s="22">
        <f t="shared" si="19"/>
        <v>0.39731999999999795</v>
      </c>
      <c r="T64" s="22">
        <f t="shared" si="20"/>
        <v>5.1843341159212471E-2</v>
      </c>
    </row>
    <row r="65" spans="1:20" x14ac:dyDescent="0.2">
      <c r="A65" s="5">
        <v>74</v>
      </c>
      <c r="H65" s="21"/>
      <c r="M65" s="5">
        <f>scrimecost*Meta!O62</f>
        <v>55.055</v>
      </c>
      <c r="N65" s="5">
        <f>L65-Grade14!L65</f>
        <v>0</v>
      </c>
      <c r="O65" s="5">
        <f>Grade14!M65-M65</f>
        <v>0.43999999999999773</v>
      </c>
      <c r="Q65" s="22"/>
      <c r="R65" s="22"/>
      <c r="S65" s="22">
        <f t="shared" si="19"/>
        <v>0.39731999999999795</v>
      </c>
      <c r="T65" s="22">
        <f t="shared" si="20"/>
        <v>4.9889057023705011E-2</v>
      </c>
    </row>
    <row r="66" spans="1:20" x14ac:dyDescent="0.2">
      <c r="A66" s="5">
        <v>75</v>
      </c>
      <c r="H66" s="21"/>
      <c r="M66" s="5">
        <f>scrimecost*Meta!O63</f>
        <v>55.055</v>
      </c>
      <c r="N66" s="5">
        <f>L66-Grade14!L66</f>
        <v>0</v>
      </c>
      <c r="O66" s="5">
        <f>Grade14!M66-M66</f>
        <v>0.43999999999999773</v>
      </c>
      <c r="Q66" s="22"/>
      <c r="R66" s="22"/>
      <c r="S66" s="22">
        <f t="shared" si="19"/>
        <v>0.39731999999999795</v>
      </c>
      <c r="T66" s="22">
        <f t="shared" si="20"/>
        <v>4.8008441490507855E-2</v>
      </c>
    </row>
    <row r="67" spans="1:20" x14ac:dyDescent="0.2">
      <c r="A67" s="5">
        <v>76</v>
      </c>
      <c r="H67" s="21"/>
      <c r="M67" s="5">
        <f>scrimecost*Meta!O64</f>
        <v>55.055</v>
      </c>
      <c r="N67" s="5">
        <f>L67-Grade14!L67</f>
        <v>0</v>
      </c>
      <c r="O67" s="5">
        <f>Grade14!M67-M67</f>
        <v>0.43999999999999773</v>
      </c>
      <c r="Q67" s="22"/>
      <c r="R67" s="22"/>
      <c r="S67" s="22">
        <f t="shared" si="19"/>
        <v>0.39731999999999795</v>
      </c>
      <c r="T67" s="22">
        <f t="shared" si="20"/>
        <v>4.6198717551473784E-2</v>
      </c>
    </row>
    <row r="68" spans="1:20" x14ac:dyDescent="0.2">
      <c r="A68" s="5">
        <v>77</v>
      </c>
      <c r="H68" s="21"/>
      <c r="M68" s="5">
        <f>scrimecost*Meta!O65</f>
        <v>55.055</v>
      </c>
      <c r="N68" s="5">
        <f>L68-Grade14!L68</f>
        <v>0</v>
      </c>
      <c r="O68" s="5">
        <f>Grade14!M68-M68</f>
        <v>0.43999999999999773</v>
      </c>
      <c r="Q68" s="22"/>
      <c r="R68" s="22"/>
      <c r="S68" s="22">
        <f t="shared" si="19"/>
        <v>0.39731999999999795</v>
      </c>
      <c r="T68" s="22">
        <f t="shared" si="20"/>
        <v>4.4457212880423237E-2</v>
      </c>
    </row>
    <row r="69" spans="1:20" x14ac:dyDescent="0.2">
      <c r="A69" s="5">
        <v>78</v>
      </c>
      <c r="H69" s="21"/>
      <c r="M69" s="5">
        <f>scrimecost*Meta!O66</f>
        <v>55.055</v>
      </c>
      <c r="N69" s="5">
        <f>L69-Grade14!L69</f>
        <v>0</v>
      </c>
      <c r="O69" s="5">
        <f>Grade14!M69-M69</f>
        <v>0.43999999999999773</v>
      </c>
      <c r="Q69" s="22"/>
      <c r="R69" s="22"/>
      <c r="S69" s="22">
        <f t="shared" si="19"/>
        <v>0.39731999999999795</v>
      </c>
      <c r="T69" s="22">
        <f t="shared" si="20"/>
        <v>4.2781355887057941E-2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2.627511541675176E-10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12" sqref="S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Meta!A10+6</f>
        <v>22</v>
      </c>
      <c r="C2" s="7">
        <f>Meta!B10</f>
        <v>287675</v>
      </c>
      <c r="D2" s="7">
        <f>Meta!C10</f>
        <v>121535</v>
      </c>
      <c r="E2" s="1">
        <f>Meta!D10</f>
        <v>0.03</v>
      </c>
      <c r="F2" s="1">
        <f>Meta!F10</f>
        <v>0.77700000000000002</v>
      </c>
      <c r="G2" s="1">
        <f>Meta!I10</f>
        <v>1.7852800699689915</v>
      </c>
      <c r="H2" s="1">
        <f>Meta!E10</f>
        <v>0.90300000000000002</v>
      </c>
      <c r="I2" s="13"/>
      <c r="J2" s="1">
        <f>Meta!X9</f>
        <v>0.77300000000000002</v>
      </c>
      <c r="K2" s="1">
        <f>Meta!D9</f>
        <v>3.6999999999999998E-2</v>
      </c>
      <c r="L2" s="29"/>
      <c r="N2" s="22">
        <f>Meta!T10</f>
        <v>312929</v>
      </c>
      <c r="O2" s="22">
        <f>Meta!U10</f>
        <v>129604</v>
      </c>
      <c r="P2" s="1">
        <f>Meta!V10</f>
        <v>2.8000000000000001E-2</v>
      </c>
      <c r="Q2" s="1">
        <f>Meta!X10</f>
        <v>0.77700000000000002</v>
      </c>
      <c r="R2" s="22">
        <f>Meta!W10</f>
        <v>994</v>
      </c>
      <c r="T2" s="12">
        <f>IRR(S5:S69)+1</f>
        <v>1.0391995844237669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B12" s="1">
        <v>1</v>
      </c>
      <c r="C12" s="5">
        <f>0.1*Grade15!C12</f>
        <v>12007.433205234252</v>
      </c>
      <c r="D12" s="5">
        <f t="shared" ref="D12:D36" si="0">IF(A12&lt;startage,1,0)*(C12*(1-initialunempprob))+IF(A12=startage,1,0)*(C12*(1-unempprob))+IF(A12&gt;startage,1,0)*(C12*(1-unempprob)+unempprob*300*52)</f>
        <v>11563.158176640585</v>
      </c>
      <c r="E12" s="5">
        <f t="shared" ref="E12:E56" si="1">IF(D12-9500&gt;0,1,0)*(D12-9500)</f>
        <v>2063.1581766405852</v>
      </c>
      <c r="F12" s="5">
        <f t="shared" ref="F12:F56" si="2">IF(E12&lt;=8500,1,0)*(0.1*E12+0.1*E12+0.0765*D12)+IF(AND(E12&gt;8500,E12&lt;=34500),1,0)*(850+0.15*(E12-8500)+0.1*E12+0.0765*D12)+IF(AND(E12&gt;34500,E12&lt;=83600),1,0)*(4750+0.25*(E12-34500)+0.1*E12+0.0765*D12)+IF(AND(E12&gt;83600,E12&lt;=174400,D12&lt;=106800),1,0)*(17025+0.28*(E12-83600)+0.1*E12+0.0765*D12)+IF(AND(E12&gt;83600,E12&lt;=174400,D12&gt;106800),1,0)*(17025+0.28*(E12-83600)+0.1*E12+8170.2+0.0145*(D12-106800))+IF(AND(E12&gt;174400,E12&lt;=379150),1,0)*(42449+0.33*(E12-174400)+0.1*E12+8170.2+0.0145*(D12-106800))+IF(E12&gt;379150,1,0)*(110016.5+0.35*(E12-379150)+0.1*E12+8170.2+0.0145*(D12-106800))</f>
        <v>1297.2132358411218</v>
      </c>
      <c r="G12" s="5">
        <f t="shared" ref="G12:G56" si="3">D12-F12</f>
        <v>10265.944940799463</v>
      </c>
      <c r="H12" s="22">
        <f>0.1*Grade15!H12</f>
        <v>5228.1308491750542</v>
      </c>
      <c r="I12" s="5">
        <f t="shared" ref="I12:I36" si="4">G12+IF(A12&lt;startage,1,0)*(H12*(1-initialunempprob))+IF(A12&gt;=startage,1,0)*(H12*(1-unempprob))</f>
        <v>15300.634948555042</v>
      </c>
      <c r="J12" s="26">
        <f t="shared" ref="J12:J56" si="5">(F12-(IF(A12&gt;startage,1,0)*(unempprob*300*52)))/(IF(A12&lt;startage,1,0)*((C12+H12)*(1-initialunempprob))+IF(A12&gt;=startage,1,0)*((C12+H12)*(1-unempprob)))</f>
        <v>7.8155506751811807E-2</v>
      </c>
      <c r="L12" s="22">
        <f>0.1*Grade15!L12</f>
        <v>22617.046416012472</v>
      </c>
      <c r="M12" s="5">
        <f>scrimecost*Meta!O9</f>
        <v>3045.616</v>
      </c>
      <c r="N12" s="5">
        <f>L12-Grade15!L12</f>
        <v>-203553.41774411223</v>
      </c>
      <c r="O12" s="5"/>
      <c r="P12" s="22"/>
      <c r="Q12" s="22">
        <f>0.05*feel*Grade15!G12</f>
        <v>1027.4085186338225</v>
      </c>
      <c r="R12" s="22">
        <f>coltuition</f>
        <v>8279</v>
      </c>
      <c r="S12" s="22">
        <f t="shared" ref="S12:S43" si="6">IF(A12&lt;startage,1,0)*(N12-Q12-R12)+IF(A12&gt;=startage,1,0)*completionprob*(N12*spart+O12+P12)</f>
        <v>-212859.82626274606</v>
      </c>
      <c r="T12" s="22">
        <f t="shared" ref="T12:T43" si="7">S12/sreturn^(A12-startage+1)</f>
        <v>-212859.82626274606</v>
      </c>
    </row>
    <row r="13" spans="1:20" x14ac:dyDescent="0.2">
      <c r="A13" s="5">
        <v>22</v>
      </c>
      <c r="B13" s="1">
        <f t="shared" ref="B13:B36" si="8">(1+experiencepremium)^(A13-startage)</f>
        <v>1</v>
      </c>
      <c r="C13" s="5">
        <f t="shared" ref="C13:C36" si="9">pretaxincome*B13/expnorm</f>
        <v>161137.18224894351</v>
      </c>
      <c r="D13" s="5">
        <f t="shared" si="0"/>
        <v>156303.06678147521</v>
      </c>
      <c r="E13" s="5">
        <f t="shared" si="1"/>
        <v>146803.06678147521</v>
      </c>
      <c r="F13" s="5">
        <f t="shared" si="2"/>
        <v>58290.159845291964</v>
      </c>
      <c r="G13" s="5">
        <f t="shared" si="3"/>
        <v>98012.906936183252</v>
      </c>
      <c r="H13" s="22">
        <f t="shared" ref="H13:H36" si="10">benefits*B13/expnorm</f>
        <v>68076.153453116713</v>
      </c>
      <c r="I13" s="5">
        <f t="shared" si="4"/>
        <v>164046.77578570647</v>
      </c>
      <c r="J13" s="26">
        <f t="shared" si="5"/>
        <v>0.26217038424075995</v>
      </c>
      <c r="L13" s="22">
        <f t="shared" ref="L13:L36" si="11">(sincome+sbenefits)*(1-sunemp)*B13/expnorm</f>
        <v>240938.14927731262</v>
      </c>
      <c r="M13" s="5">
        <f>scrimecost*Meta!O10</f>
        <v>2791.152</v>
      </c>
      <c r="N13" s="5">
        <f>L13-Grade15!L13</f>
        <v>9113.4235131847963</v>
      </c>
      <c r="O13" s="5">
        <f>Grade15!M13-M13</f>
        <v>19.655999999999949</v>
      </c>
      <c r="P13" s="22">
        <f t="shared" ref="P13:P56" si="12">(spart-initialspart)*(L13*J13+nptrans)</f>
        <v>278.88338869716273</v>
      </c>
      <c r="Q13" s="22"/>
      <c r="R13" s="22"/>
      <c r="S13" s="22">
        <f t="shared" si="6"/>
        <v>6663.8415209729001</v>
      </c>
      <c r="T13" s="22">
        <f t="shared" si="7"/>
        <v>6412.4751595892722</v>
      </c>
    </row>
    <row r="14" spans="1:20" x14ac:dyDescent="0.2">
      <c r="A14" s="5">
        <v>23</v>
      </c>
      <c r="B14" s="1">
        <f t="shared" si="8"/>
        <v>1.0249999999999999</v>
      </c>
      <c r="C14" s="5">
        <f t="shared" si="9"/>
        <v>165165.61180516711</v>
      </c>
      <c r="D14" s="5">
        <f t="shared" si="0"/>
        <v>160678.64345101209</v>
      </c>
      <c r="E14" s="5">
        <f t="shared" si="1"/>
        <v>151178.64345101209</v>
      </c>
      <c r="F14" s="5">
        <f t="shared" si="2"/>
        <v>60016.32484142427</v>
      </c>
      <c r="G14" s="5">
        <f t="shared" si="3"/>
        <v>100662.31860958782</v>
      </c>
      <c r="H14" s="22">
        <f t="shared" si="10"/>
        <v>69778.057289444623</v>
      </c>
      <c r="I14" s="5">
        <f t="shared" si="4"/>
        <v>168347.03418034909</v>
      </c>
      <c r="J14" s="26">
        <f t="shared" si="5"/>
        <v>0.26129678593294636</v>
      </c>
      <c r="L14" s="22">
        <f t="shared" si="11"/>
        <v>246961.60300924542</v>
      </c>
      <c r="M14" s="5">
        <f>scrimecost*Meta!O11</f>
        <v>2608.2560000000003</v>
      </c>
      <c r="N14" s="5">
        <f>L14-Grade15!L14</f>
        <v>9341.2591010144097</v>
      </c>
      <c r="O14" s="5">
        <f>Grade15!M14-M14</f>
        <v>18.367999999999938</v>
      </c>
      <c r="P14" s="22">
        <f t="shared" si="12"/>
        <v>284.33709246065655</v>
      </c>
      <c r="Q14" s="22"/>
      <c r="R14" s="22"/>
      <c r="S14" s="22">
        <f t="shared" si="6"/>
        <v>6827.4596627958144</v>
      </c>
      <c r="T14" s="22">
        <f t="shared" si="7"/>
        <v>6322.0978625221387</v>
      </c>
    </row>
    <row r="15" spans="1:20" x14ac:dyDescent="0.2">
      <c r="A15" s="5">
        <v>24</v>
      </c>
      <c r="B15" s="1">
        <f t="shared" si="8"/>
        <v>1.0506249999999999</v>
      </c>
      <c r="C15" s="5">
        <f t="shared" si="9"/>
        <v>169294.75210029629</v>
      </c>
      <c r="D15" s="5">
        <f t="shared" si="0"/>
        <v>164683.9095372874</v>
      </c>
      <c r="E15" s="5">
        <f t="shared" si="1"/>
        <v>155183.9095372874</v>
      </c>
      <c r="F15" s="5">
        <f t="shared" si="2"/>
        <v>61596.402312459875</v>
      </c>
      <c r="G15" s="5">
        <f t="shared" si="3"/>
        <v>103087.50722482752</v>
      </c>
      <c r="H15" s="22">
        <f t="shared" si="10"/>
        <v>71522.508721680744</v>
      </c>
      <c r="I15" s="5">
        <f t="shared" si="4"/>
        <v>172464.34068485786</v>
      </c>
      <c r="J15" s="26">
        <f t="shared" si="5"/>
        <v>0.26168793400042312</v>
      </c>
      <c r="L15" s="22">
        <f t="shared" si="11"/>
        <v>253135.64308447659</v>
      </c>
      <c r="M15" s="5">
        <f>scrimecost*Meta!O12</f>
        <v>2491.9580000000001</v>
      </c>
      <c r="N15" s="5">
        <f>L15-Grade15!L15</f>
        <v>9574.7905785398034</v>
      </c>
      <c r="O15" s="5">
        <f>Grade15!M15-M15</f>
        <v>17.548999999999978</v>
      </c>
      <c r="P15" s="22">
        <f t="shared" si="12"/>
        <v>291.18617384258096</v>
      </c>
      <c r="Q15" s="22"/>
      <c r="R15" s="22"/>
      <c r="S15" s="22">
        <f t="shared" si="6"/>
        <v>6996.7577503913126</v>
      </c>
      <c r="T15" s="22">
        <f t="shared" si="7"/>
        <v>6234.4758124494419</v>
      </c>
    </row>
    <row r="16" spans="1:20" x14ac:dyDescent="0.2">
      <c r="A16" s="5">
        <v>25</v>
      </c>
      <c r="B16" s="1">
        <f t="shared" si="8"/>
        <v>1.0768906249999999</v>
      </c>
      <c r="C16" s="5">
        <f t="shared" si="9"/>
        <v>173527.12090280367</v>
      </c>
      <c r="D16" s="5">
        <f t="shared" si="0"/>
        <v>168789.30727571956</v>
      </c>
      <c r="E16" s="5">
        <f t="shared" si="1"/>
        <v>159289.30727571956</v>
      </c>
      <c r="F16" s="5">
        <f t="shared" si="2"/>
        <v>63215.98172027136</v>
      </c>
      <c r="G16" s="5">
        <f t="shared" si="3"/>
        <v>105573.3255554482</v>
      </c>
      <c r="H16" s="22">
        <f t="shared" si="10"/>
        <v>73310.571439722757</v>
      </c>
      <c r="I16" s="5">
        <f t="shared" si="4"/>
        <v>176684.57985197927</v>
      </c>
      <c r="J16" s="26">
        <f t="shared" si="5"/>
        <v>0.26206954187113213</v>
      </c>
      <c r="L16" s="22">
        <f t="shared" si="11"/>
        <v>259464.03416158847</v>
      </c>
      <c r="M16" s="5">
        <f>scrimecost*Meta!O13</f>
        <v>2092.37</v>
      </c>
      <c r="N16" s="5">
        <f>L16-Grade15!L16</f>
        <v>9814.1603430032847</v>
      </c>
      <c r="O16" s="5">
        <f>Grade15!M16-M16</f>
        <v>14.735000000000127</v>
      </c>
      <c r="P16" s="22">
        <f t="shared" si="12"/>
        <v>298.2064822590533</v>
      </c>
      <c r="Q16" s="22"/>
      <c r="R16" s="22"/>
      <c r="S16" s="22">
        <f t="shared" si="6"/>
        <v>7168.5052941016638</v>
      </c>
      <c r="T16" s="22">
        <f t="shared" si="7"/>
        <v>6146.5688793279696</v>
      </c>
    </row>
    <row r="17" spans="1:20" x14ac:dyDescent="0.2">
      <c r="A17" s="5">
        <v>26</v>
      </c>
      <c r="B17" s="1">
        <f t="shared" si="8"/>
        <v>1.1038128906249998</v>
      </c>
      <c r="C17" s="5">
        <f t="shared" si="9"/>
        <v>177865.29892537373</v>
      </c>
      <c r="D17" s="5">
        <f t="shared" si="0"/>
        <v>172997.33995761251</v>
      </c>
      <c r="E17" s="5">
        <f t="shared" si="1"/>
        <v>163497.33995761251</v>
      </c>
      <c r="F17" s="5">
        <f t="shared" si="2"/>
        <v>64876.05061327813</v>
      </c>
      <c r="G17" s="5">
        <f t="shared" si="3"/>
        <v>108121.28934433438</v>
      </c>
      <c r="H17" s="22">
        <f t="shared" si="10"/>
        <v>75143.33572571582</v>
      </c>
      <c r="I17" s="5">
        <f t="shared" si="4"/>
        <v>181010.32499827872</v>
      </c>
      <c r="J17" s="26">
        <f t="shared" si="5"/>
        <v>0.26244184223279948</v>
      </c>
      <c r="L17" s="22">
        <f t="shared" si="11"/>
        <v>265950.63501562813</v>
      </c>
      <c r="M17" s="5">
        <f>scrimecost*Meta!O14</f>
        <v>2092.37</v>
      </c>
      <c r="N17" s="5">
        <f>L17-Grade15!L17</f>
        <v>10059.514351578342</v>
      </c>
      <c r="O17" s="5">
        <f>Grade15!M17-M17</f>
        <v>14.735000000000127</v>
      </c>
      <c r="P17" s="22">
        <f t="shared" si="12"/>
        <v>305.40229838593751</v>
      </c>
      <c r="Q17" s="22"/>
      <c r="R17" s="22"/>
      <c r="S17" s="22">
        <f t="shared" si="6"/>
        <v>7347.1510944547663</v>
      </c>
      <c r="T17" s="22">
        <f t="shared" si="7"/>
        <v>6062.1146994819583</v>
      </c>
    </row>
    <row r="18" spans="1:20" x14ac:dyDescent="0.2">
      <c r="A18" s="5">
        <v>27</v>
      </c>
      <c r="B18" s="1">
        <f t="shared" si="8"/>
        <v>1.1314082128906247</v>
      </c>
      <c r="C18" s="5">
        <f t="shared" si="9"/>
        <v>182311.93139850805</v>
      </c>
      <c r="D18" s="5">
        <f t="shared" si="0"/>
        <v>177310.57345655281</v>
      </c>
      <c r="E18" s="5">
        <f t="shared" si="1"/>
        <v>167810.57345655281</v>
      </c>
      <c r="F18" s="5">
        <f t="shared" si="2"/>
        <v>66577.621228610078</v>
      </c>
      <c r="G18" s="5">
        <f t="shared" si="3"/>
        <v>110732.95222794273</v>
      </c>
      <c r="H18" s="22">
        <f t="shared" si="10"/>
        <v>77021.919118858699</v>
      </c>
      <c r="I18" s="5">
        <f t="shared" si="4"/>
        <v>185444.21377323568</v>
      </c>
      <c r="J18" s="26">
        <f t="shared" si="5"/>
        <v>0.26280506209784082</v>
      </c>
      <c r="L18" s="22">
        <f t="shared" si="11"/>
        <v>272599.4008910188</v>
      </c>
      <c r="M18" s="5">
        <f>scrimecost*Meta!O15</f>
        <v>2092.37</v>
      </c>
      <c r="N18" s="5">
        <f>L18-Grade15!L18</f>
        <v>10311.002210367762</v>
      </c>
      <c r="O18" s="5">
        <f>Grade15!M18-M18</f>
        <v>14.735000000000127</v>
      </c>
      <c r="P18" s="22">
        <f t="shared" si="12"/>
        <v>312.77800991599389</v>
      </c>
      <c r="Q18" s="22"/>
      <c r="R18" s="22"/>
      <c r="S18" s="22">
        <f t="shared" si="6"/>
        <v>7530.2630398166866</v>
      </c>
      <c r="T18" s="22">
        <f t="shared" si="7"/>
        <v>5978.8321401695812</v>
      </c>
    </row>
    <row r="19" spans="1:20" x14ac:dyDescent="0.2">
      <c r="A19" s="5">
        <v>28</v>
      </c>
      <c r="B19" s="1">
        <f t="shared" si="8"/>
        <v>1.1596934182128902</v>
      </c>
      <c r="C19" s="5">
        <f t="shared" si="9"/>
        <v>186869.72968347077</v>
      </c>
      <c r="D19" s="5">
        <f t="shared" si="0"/>
        <v>181731.63779296665</v>
      </c>
      <c r="E19" s="5">
        <f t="shared" si="1"/>
        <v>172231.63779296665</v>
      </c>
      <c r="F19" s="5">
        <f t="shared" si="2"/>
        <v>68321.731109325337</v>
      </c>
      <c r="G19" s="5">
        <f t="shared" si="3"/>
        <v>113409.90668364131</v>
      </c>
      <c r="H19" s="22">
        <f t="shared" si="10"/>
        <v>78947.467096830165</v>
      </c>
      <c r="I19" s="5">
        <f t="shared" si="4"/>
        <v>189988.94976756658</v>
      </c>
      <c r="J19" s="26">
        <f t="shared" si="5"/>
        <v>0.26315942294178363</v>
      </c>
      <c r="L19" s="22">
        <f t="shared" si="11"/>
        <v>279414.38591329427</v>
      </c>
      <c r="M19" s="5">
        <f>scrimecost*Meta!O16</f>
        <v>2092.37</v>
      </c>
      <c r="N19" s="5">
        <f>L19-Grade15!L19</f>
        <v>10568.777265626995</v>
      </c>
      <c r="O19" s="5">
        <f>Grade15!M19-M19</f>
        <v>14.735000000000127</v>
      </c>
      <c r="P19" s="22">
        <f t="shared" si="12"/>
        <v>320.33811423430171</v>
      </c>
      <c r="Q19" s="22"/>
      <c r="R19" s="22"/>
      <c r="S19" s="22">
        <f t="shared" si="6"/>
        <v>7717.9527838127105</v>
      </c>
      <c r="T19" s="22">
        <f t="shared" si="7"/>
        <v>5896.7045269475921</v>
      </c>
    </row>
    <row r="20" spans="1:20" x14ac:dyDescent="0.2">
      <c r="A20" s="5">
        <v>29</v>
      </c>
      <c r="B20" s="1">
        <f t="shared" si="8"/>
        <v>1.1886857536682125</v>
      </c>
      <c r="C20" s="5">
        <f t="shared" si="9"/>
        <v>191541.47292555755</v>
      </c>
      <c r="D20" s="5">
        <f t="shared" si="0"/>
        <v>186263.22873779081</v>
      </c>
      <c r="E20" s="5">
        <f t="shared" si="1"/>
        <v>176763.22873779081</v>
      </c>
      <c r="F20" s="5">
        <f t="shared" si="2"/>
        <v>70227.605173948017</v>
      </c>
      <c r="G20" s="5">
        <f t="shared" si="3"/>
        <v>116035.62356384279</v>
      </c>
      <c r="H20" s="22">
        <f t="shared" si="10"/>
        <v>80921.153774250924</v>
      </c>
      <c r="I20" s="5">
        <f t="shared" si="4"/>
        <v>194529.14272486616</v>
      </c>
      <c r="J20" s="26">
        <f t="shared" si="5"/>
        <v>0.2639522330351205</v>
      </c>
      <c r="L20" s="22">
        <f t="shared" si="11"/>
        <v>286399.74556112662</v>
      </c>
      <c r="M20" s="5">
        <f>scrimecost*Meta!O17</f>
        <v>2092.37</v>
      </c>
      <c r="N20" s="5">
        <f>L20-Grade15!L20</f>
        <v>10832.996697267634</v>
      </c>
      <c r="O20" s="5">
        <f>Grade15!M20-M20</f>
        <v>14.735000000000127</v>
      </c>
      <c r="P20" s="22">
        <f t="shared" si="12"/>
        <v>328.59940952619917</v>
      </c>
      <c r="Q20" s="22"/>
      <c r="R20" s="22"/>
      <c r="S20" s="22">
        <f t="shared" si="6"/>
        <v>7910.7972775027474</v>
      </c>
      <c r="T20" s="22">
        <f t="shared" si="7"/>
        <v>5816.0554749756639</v>
      </c>
    </row>
    <row r="21" spans="1:20" x14ac:dyDescent="0.2">
      <c r="A21" s="5">
        <v>30</v>
      </c>
      <c r="B21" s="1">
        <f t="shared" si="8"/>
        <v>1.2184028975099177</v>
      </c>
      <c r="C21" s="5">
        <f t="shared" si="9"/>
        <v>196330.00974869647</v>
      </c>
      <c r="D21" s="5">
        <f t="shared" si="0"/>
        <v>190908.10945623557</v>
      </c>
      <c r="E21" s="5">
        <f t="shared" si="1"/>
        <v>181408.10945623557</v>
      </c>
      <c r="F21" s="5">
        <f t="shared" si="2"/>
        <v>72292.25465329671</v>
      </c>
      <c r="G21" s="5">
        <f t="shared" si="3"/>
        <v>118615.85480293886</v>
      </c>
      <c r="H21" s="22">
        <f t="shared" si="10"/>
        <v>82944.182618607199</v>
      </c>
      <c r="I21" s="5">
        <f t="shared" si="4"/>
        <v>199071.71194298784</v>
      </c>
      <c r="J21" s="26">
        <f t="shared" si="5"/>
        <v>0.26513593227593596</v>
      </c>
      <c r="L21" s="22">
        <f t="shared" si="11"/>
        <v>293559.73920015479</v>
      </c>
      <c r="M21" s="5">
        <f>scrimecost*Meta!O18</f>
        <v>1686.818</v>
      </c>
      <c r="N21" s="5">
        <f>L21-Grade15!L21</f>
        <v>11103.821614699438</v>
      </c>
      <c r="O21" s="5">
        <f>Grade15!M21-M21</f>
        <v>11.879000000000133</v>
      </c>
      <c r="P21" s="22">
        <f t="shared" si="12"/>
        <v>337.54894052605493</v>
      </c>
      <c r="Q21" s="22"/>
      <c r="R21" s="22"/>
      <c r="S21" s="22">
        <f t="shared" si="6"/>
        <v>8106.3188936382094</v>
      </c>
      <c r="T21" s="22">
        <f t="shared" si="7"/>
        <v>5734.9944888318614</v>
      </c>
    </row>
    <row r="22" spans="1:20" x14ac:dyDescent="0.2">
      <c r="A22" s="5">
        <v>31</v>
      </c>
      <c r="B22" s="1">
        <f t="shared" si="8"/>
        <v>1.2488629699476654</v>
      </c>
      <c r="C22" s="5">
        <f t="shared" si="9"/>
        <v>201238.2599924138</v>
      </c>
      <c r="D22" s="5">
        <f t="shared" si="0"/>
        <v>195669.11219264139</v>
      </c>
      <c r="E22" s="5">
        <f t="shared" si="1"/>
        <v>186169.11219264139</v>
      </c>
      <c r="F22" s="5">
        <f t="shared" si="2"/>
        <v>74408.520369629099</v>
      </c>
      <c r="G22" s="5">
        <f t="shared" si="3"/>
        <v>121260.59182301229</v>
      </c>
      <c r="H22" s="22">
        <f t="shared" si="10"/>
        <v>85017.787184072367</v>
      </c>
      <c r="I22" s="5">
        <f t="shared" si="4"/>
        <v>203727.8453915625</v>
      </c>
      <c r="J22" s="26">
        <f t="shared" si="5"/>
        <v>0.26629076080356079</v>
      </c>
      <c r="L22" s="22">
        <f t="shared" si="11"/>
        <v>300898.73268015863</v>
      </c>
      <c r="M22" s="5">
        <f>scrimecost*Meta!O19</f>
        <v>1686.818</v>
      </c>
      <c r="N22" s="5">
        <f>L22-Grade15!L22</f>
        <v>11381.417155066854</v>
      </c>
      <c r="O22" s="5">
        <f>Grade15!M22-M22</f>
        <v>11.879000000000133</v>
      </c>
      <c r="P22" s="22">
        <f t="shared" si="12"/>
        <v>346.72220980090714</v>
      </c>
      <c r="Q22" s="22"/>
      <c r="R22" s="22"/>
      <c r="S22" s="22">
        <f t="shared" si="6"/>
        <v>8309.3719923769331</v>
      </c>
      <c r="T22" s="22">
        <f t="shared" si="7"/>
        <v>5656.9007340554253</v>
      </c>
    </row>
    <row r="23" spans="1:20" x14ac:dyDescent="0.2">
      <c r="A23" s="5">
        <v>32</v>
      </c>
      <c r="B23" s="1">
        <f t="shared" si="8"/>
        <v>1.2800845441963571</v>
      </c>
      <c r="C23" s="5">
        <f t="shared" si="9"/>
        <v>206269.21649222416</v>
      </c>
      <c r="D23" s="5">
        <f t="shared" si="0"/>
        <v>200549.13999745745</v>
      </c>
      <c r="E23" s="5">
        <f t="shared" si="1"/>
        <v>191049.13999745745</v>
      </c>
      <c r="F23" s="5">
        <f t="shared" si="2"/>
        <v>76577.692728869835</v>
      </c>
      <c r="G23" s="5">
        <f t="shared" si="3"/>
        <v>123971.44726858761</v>
      </c>
      <c r="H23" s="22">
        <f t="shared" si="10"/>
        <v>87143.231863674155</v>
      </c>
      <c r="I23" s="5">
        <f t="shared" si="4"/>
        <v>208500.38217635156</v>
      </c>
      <c r="J23" s="26">
        <f t="shared" si="5"/>
        <v>0.26741742278173147</v>
      </c>
      <c r="L23" s="22">
        <f t="shared" si="11"/>
        <v>308421.20099716255</v>
      </c>
      <c r="M23" s="5">
        <f>scrimecost*Meta!O20</f>
        <v>1686.818</v>
      </c>
      <c r="N23" s="5">
        <f>L23-Grade15!L23</f>
        <v>11665.952583943494</v>
      </c>
      <c r="O23" s="5">
        <f>Grade15!M23-M23</f>
        <v>11.879000000000133</v>
      </c>
      <c r="P23" s="22">
        <f t="shared" si="12"/>
        <v>356.12481080763075</v>
      </c>
      <c r="Q23" s="22"/>
      <c r="R23" s="22"/>
      <c r="S23" s="22">
        <f t="shared" si="6"/>
        <v>8517.5014185841483</v>
      </c>
      <c r="T23" s="22">
        <f t="shared" si="7"/>
        <v>5579.863902640891</v>
      </c>
    </row>
    <row r="24" spans="1:20" x14ac:dyDescent="0.2">
      <c r="A24" s="5">
        <v>33</v>
      </c>
      <c r="B24" s="1">
        <f t="shared" si="8"/>
        <v>1.312086657801266</v>
      </c>
      <c r="C24" s="5">
        <f t="shared" si="9"/>
        <v>211425.94690452979</v>
      </c>
      <c r="D24" s="5">
        <f t="shared" si="0"/>
        <v>205551.1684973939</v>
      </c>
      <c r="E24" s="5">
        <f t="shared" si="1"/>
        <v>196051.1684973939</v>
      </c>
      <c r="F24" s="5">
        <f t="shared" si="2"/>
        <v>78801.094397091583</v>
      </c>
      <c r="G24" s="5">
        <f t="shared" si="3"/>
        <v>126750.07410030231</v>
      </c>
      <c r="H24" s="22">
        <f t="shared" si="10"/>
        <v>89321.81266026602</v>
      </c>
      <c r="I24" s="5">
        <f t="shared" si="4"/>
        <v>213392.23238076037</v>
      </c>
      <c r="J24" s="26">
        <f t="shared" si="5"/>
        <v>0.2685166051994588</v>
      </c>
      <c r="L24" s="22">
        <f t="shared" si="11"/>
        <v>316131.73102209164</v>
      </c>
      <c r="M24" s="5">
        <f>scrimecost*Meta!O21</f>
        <v>1686.818</v>
      </c>
      <c r="N24" s="5">
        <f>L24-Grade15!L24</f>
        <v>11957.601398542116</v>
      </c>
      <c r="O24" s="5">
        <f>Grade15!M24-M24</f>
        <v>11.879000000000133</v>
      </c>
      <c r="P24" s="22">
        <f t="shared" si="12"/>
        <v>365.76247683952226</v>
      </c>
      <c r="Q24" s="22"/>
      <c r="R24" s="22"/>
      <c r="S24" s="22">
        <f t="shared" si="6"/>
        <v>8730.8340804465934</v>
      </c>
      <c r="T24" s="22">
        <f t="shared" si="7"/>
        <v>5503.869935573467</v>
      </c>
    </row>
    <row r="25" spans="1:20" x14ac:dyDescent="0.2">
      <c r="A25" s="5">
        <v>34</v>
      </c>
      <c r="B25" s="1">
        <f t="shared" si="8"/>
        <v>1.3448888242462975</v>
      </c>
      <c r="C25" s="5">
        <f t="shared" si="9"/>
        <v>216711.59557714299</v>
      </c>
      <c r="D25" s="5">
        <f t="shared" si="0"/>
        <v>210678.24770982869</v>
      </c>
      <c r="E25" s="5">
        <f t="shared" si="1"/>
        <v>201178.24770982869</v>
      </c>
      <c r="F25" s="5">
        <f t="shared" si="2"/>
        <v>81080.08110701885</v>
      </c>
      <c r="G25" s="5">
        <f t="shared" si="3"/>
        <v>129598.16660280984</v>
      </c>
      <c r="H25" s="22">
        <f t="shared" si="10"/>
        <v>91554.857976772662</v>
      </c>
      <c r="I25" s="5">
        <f t="shared" si="4"/>
        <v>218406.3788402793</v>
      </c>
      <c r="J25" s="26">
        <f t="shared" si="5"/>
        <v>0.26958897828992456</v>
      </c>
      <c r="L25" s="22">
        <f t="shared" si="11"/>
        <v>324035.02429764392</v>
      </c>
      <c r="M25" s="5">
        <f>scrimecost*Meta!O22</f>
        <v>1686.818</v>
      </c>
      <c r="N25" s="5">
        <f>L25-Grade15!L25</f>
        <v>12256.541433505714</v>
      </c>
      <c r="O25" s="5">
        <f>Grade15!M25-M25</f>
        <v>11.879000000000133</v>
      </c>
      <c r="P25" s="22">
        <f t="shared" si="12"/>
        <v>375.64108452221114</v>
      </c>
      <c r="Q25" s="22"/>
      <c r="R25" s="22"/>
      <c r="S25" s="22">
        <f t="shared" si="6"/>
        <v>8949.5000588556049</v>
      </c>
      <c r="T25" s="22">
        <f t="shared" si="7"/>
        <v>5428.9049515026054</v>
      </c>
    </row>
    <row r="26" spans="1:20" x14ac:dyDescent="0.2">
      <c r="A26" s="5">
        <v>35</v>
      </c>
      <c r="B26" s="1">
        <f t="shared" si="8"/>
        <v>1.3785110448524549</v>
      </c>
      <c r="C26" s="5">
        <f t="shared" si="9"/>
        <v>222129.38546657158</v>
      </c>
      <c r="D26" s="5">
        <f t="shared" si="0"/>
        <v>215933.50390257442</v>
      </c>
      <c r="E26" s="5">
        <f t="shared" si="1"/>
        <v>206433.50390257442</v>
      </c>
      <c r="F26" s="5">
        <f t="shared" si="2"/>
        <v>83416.042484694321</v>
      </c>
      <c r="G26" s="5">
        <f t="shared" si="3"/>
        <v>132517.46141788008</v>
      </c>
      <c r="H26" s="22">
        <f t="shared" si="10"/>
        <v>93843.729426191974</v>
      </c>
      <c r="I26" s="5">
        <f t="shared" si="4"/>
        <v>223545.87896128627</v>
      </c>
      <c r="J26" s="26">
        <f t="shared" si="5"/>
        <v>0.27063519593915947</v>
      </c>
      <c r="L26" s="22">
        <f t="shared" si="11"/>
        <v>332135.89990508498</v>
      </c>
      <c r="M26" s="5">
        <f>scrimecost*Meta!O23</f>
        <v>1309.098</v>
      </c>
      <c r="N26" s="5">
        <f>L26-Grade15!L26</f>
        <v>12562.954969343322</v>
      </c>
      <c r="O26" s="5">
        <f>Grade15!M26-M26</f>
        <v>9.2190000000000509</v>
      </c>
      <c r="P26" s="22">
        <f t="shared" si="12"/>
        <v>385.76665739696728</v>
      </c>
      <c r="Q26" s="22"/>
      <c r="R26" s="22"/>
      <c r="S26" s="22">
        <f t="shared" si="6"/>
        <v>9171.2307067247875</v>
      </c>
      <c r="T26" s="22">
        <f t="shared" si="7"/>
        <v>5353.5531290518957</v>
      </c>
    </row>
    <row r="27" spans="1:20" x14ac:dyDescent="0.2">
      <c r="A27" s="5">
        <v>36</v>
      </c>
      <c r="B27" s="1">
        <f t="shared" si="8"/>
        <v>1.4129738209737661</v>
      </c>
      <c r="C27" s="5">
        <f t="shared" si="9"/>
        <v>227682.62010323585</v>
      </c>
      <c r="D27" s="5">
        <f t="shared" si="0"/>
        <v>221320.14150013876</v>
      </c>
      <c r="E27" s="5">
        <f t="shared" si="1"/>
        <v>211820.14150013876</v>
      </c>
      <c r="F27" s="5">
        <f t="shared" si="2"/>
        <v>85810.402896811676</v>
      </c>
      <c r="G27" s="5">
        <f t="shared" si="3"/>
        <v>135509.73860332707</v>
      </c>
      <c r="H27" s="22">
        <f t="shared" si="10"/>
        <v>96189.82266184676</v>
      </c>
      <c r="I27" s="5">
        <f t="shared" si="4"/>
        <v>228813.86658531844</v>
      </c>
      <c r="J27" s="26">
        <f t="shared" si="5"/>
        <v>0.27165589608475454</v>
      </c>
      <c r="L27" s="22">
        <f t="shared" si="11"/>
        <v>340439.29740271205</v>
      </c>
      <c r="M27" s="5">
        <f>scrimecost*Meta!O24</f>
        <v>1309.098</v>
      </c>
      <c r="N27" s="5">
        <f>L27-Grade15!L27</f>
        <v>12877.028843576787</v>
      </c>
      <c r="O27" s="5">
        <f>Grade15!M27-M27</f>
        <v>9.2190000000000509</v>
      </c>
      <c r="P27" s="22">
        <f t="shared" si="12"/>
        <v>396.14536959359231</v>
      </c>
      <c r="Q27" s="22"/>
      <c r="R27" s="22"/>
      <c r="S27" s="22">
        <f t="shared" si="6"/>
        <v>9400.9666502906384</v>
      </c>
      <c r="T27" s="22">
        <f t="shared" si="7"/>
        <v>5280.6580572951143</v>
      </c>
    </row>
    <row r="28" spans="1:20" x14ac:dyDescent="0.2">
      <c r="A28" s="5">
        <v>37</v>
      </c>
      <c r="B28" s="1">
        <f t="shared" si="8"/>
        <v>1.4482981664981105</v>
      </c>
      <c r="C28" s="5">
        <f t="shared" si="9"/>
        <v>233374.68560581678</v>
      </c>
      <c r="D28" s="5">
        <f t="shared" si="0"/>
        <v>226841.44503764226</v>
      </c>
      <c r="E28" s="5">
        <f t="shared" si="1"/>
        <v>217341.44503764226</v>
      </c>
      <c r="F28" s="5">
        <f t="shared" si="2"/>
        <v>88264.622319231974</v>
      </c>
      <c r="G28" s="5">
        <f t="shared" si="3"/>
        <v>138576.82271841029</v>
      </c>
      <c r="H28" s="22">
        <f t="shared" si="10"/>
        <v>98594.568228392949</v>
      </c>
      <c r="I28" s="5">
        <f t="shared" si="4"/>
        <v>234213.55389995145</v>
      </c>
      <c r="J28" s="26">
        <f t="shared" si="5"/>
        <v>0.27265170110484721</v>
      </c>
      <c r="L28" s="22">
        <f t="shared" si="11"/>
        <v>348950.27983777993</v>
      </c>
      <c r="M28" s="5">
        <f>scrimecost*Meta!O25</f>
        <v>1309.098</v>
      </c>
      <c r="N28" s="5">
        <f>L28-Grade15!L28</f>
        <v>13198.954564666376</v>
      </c>
      <c r="O28" s="5">
        <f>Grade15!M28-M28</f>
        <v>9.2190000000000509</v>
      </c>
      <c r="P28" s="22">
        <f t="shared" si="12"/>
        <v>406.78354959513302</v>
      </c>
      <c r="Q28" s="22"/>
      <c r="R28" s="22"/>
      <c r="S28" s="22">
        <f t="shared" si="6"/>
        <v>9636.4459924458406</v>
      </c>
      <c r="T28" s="22">
        <f t="shared" si="7"/>
        <v>5208.7493766383632</v>
      </c>
    </row>
    <row r="29" spans="1:20" x14ac:dyDescent="0.2">
      <c r="A29" s="5">
        <v>38</v>
      </c>
      <c r="B29" s="1">
        <f t="shared" si="8"/>
        <v>1.4845056206605631</v>
      </c>
      <c r="C29" s="5">
        <f t="shared" si="9"/>
        <v>239209.05274596214</v>
      </c>
      <c r="D29" s="5">
        <f t="shared" si="0"/>
        <v>232500.78116358328</v>
      </c>
      <c r="E29" s="5">
        <f t="shared" si="1"/>
        <v>223000.78116358328</v>
      </c>
      <c r="F29" s="5">
        <f t="shared" si="2"/>
        <v>90780.19722721276</v>
      </c>
      <c r="G29" s="5">
        <f t="shared" si="3"/>
        <v>141720.5839363705</v>
      </c>
      <c r="H29" s="22">
        <f t="shared" si="10"/>
        <v>101059.43243410275</v>
      </c>
      <c r="I29" s="5">
        <f t="shared" si="4"/>
        <v>239748.23339745018</v>
      </c>
      <c r="J29" s="26">
        <f t="shared" si="5"/>
        <v>0.27362321819762059</v>
      </c>
      <c r="L29" s="22">
        <f t="shared" si="11"/>
        <v>357674.03683372441</v>
      </c>
      <c r="M29" s="5">
        <f>scrimecost*Meta!O26</f>
        <v>1309.098</v>
      </c>
      <c r="N29" s="5">
        <f>L29-Grade15!L29</f>
        <v>13528.928428783023</v>
      </c>
      <c r="O29" s="5">
        <f>Grade15!M29-M29</f>
        <v>9.2190000000000509</v>
      </c>
      <c r="P29" s="22">
        <f t="shared" si="12"/>
        <v>417.68768409671225</v>
      </c>
      <c r="Q29" s="22"/>
      <c r="R29" s="22"/>
      <c r="S29" s="22">
        <f t="shared" si="6"/>
        <v>9877.8123181547926</v>
      </c>
      <c r="T29" s="22">
        <f t="shared" si="7"/>
        <v>5137.8139728677634</v>
      </c>
    </row>
    <row r="30" spans="1:20" x14ac:dyDescent="0.2">
      <c r="A30" s="5">
        <v>39</v>
      </c>
      <c r="B30" s="1">
        <f t="shared" si="8"/>
        <v>1.521618261177077</v>
      </c>
      <c r="C30" s="5">
        <f t="shared" si="9"/>
        <v>245189.27906461118</v>
      </c>
      <c r="D30" s="5">
        <f t="shared" si="0"/>
        <v>238301.60069267283</v>
      </c>
      <c r="E30" s="5">
        <f t="shared" si="1"/>
        <v>228801.60069267283</v>
      </c>
      <c r="F30" s="5">
        <f t="shared" si="2"/>
        <v>93358.661507893077</v>
      </c>
      <c r="G30" s="5">
        <f t="shared" si="3"/>
        <v>144942.93918477977</v>
      </c>
      <c r="H30" s="22">
        <f t="shared" si="10"/>
        <v>103585.91824495532</v>
      </c>
      <c r="I30" s="5">
        <f t="shared" si="4"/>
        <v>245421.27988238644</v>
      </c>
      <c r="J30" s="26">
        <f t="shared" si="5"/>
        <v>0.27457103975154584</v>
      </c>
      <c r="L30" s="22">
        <f t="shared" si="11"/>
        <v>366615.88775456743</v>
      </c>
      <c r="M30" s="5">
        <f>scrimecost*Meta!O27</f>
        <v>1309.098</v>
      </c>
      <c r="N30" s="5">
        <f>L30-Grade15!L30</f>
        <v>13867.151639502496</v>
      </c>
      <c r="O30" s="5">
        <f>Grade15!M30-M30</f>
        <v>9.2190000000000509</v>
      </c>
      <c r="P30" s="22">
        <f t="shared" si="12"/>
        <v>428.86442196083078</v>
      </c>
      <c r="Q30" s="22"/>
      <c r="R30" s="22"/>
      <c r="S30" s="22">
        <f t="shared" si="6"/>
        <v>10125.212802006405</v>
      </c>
      <c r="T30" s="22">
        <f t="shared" si="7"/>
        <v>5067.838897239003</v>
      </c>
    </row>
    <row r="31" spans="1:20" x14ac:dyDescent="0.2">
      <c r="A31" s="5">
        <v>40</v>
      </c>
      <c r="B31" s="1">
        <f t="shared" si="8"/>
        <v>1.559658717706504</v>
      </c>
      <c r="C31" s="5">
        <f t="shared" si="9"/>
        <v>251319.01104122648</v>
      </c>
      <c r="D31" s="5">
        <f t="shared" si="0"/>
        <v>244247.44070998966</v>
      </c>
      <c r="E31" s="5">
        <f t="shared" si="1"/>
        <v>234747.44070998966</v>
      </c>
      <c r="F31" s="5">
        <f t="shared" si="2"/>
        <v>96001.58739559041</v>
      </c>
      <c r="G31" s="5">
        <f t="shared" si="3"/>
        <v>148245.85331439925</v>
      </c>
      <c r="H31" s="22">
        <f t="shared" si="10"/>
        <v>106175.5662010792</v>
      </c>
      <c r="I31" s="5">
        <f t="shared" si="4"/>
        <v>251236.15252944606</v>
      </c>
      <c r="J31" s="26">
        <f t="shared" si="5"/>
        <v>0.27549574370659485</v>
      </c>
      <c r="L31" s="22">
        <f t="shared" si="11"/>
        <v>375781.28494843165</v>
      </c>
      <c r="M31" s="5">
        <f>scrimecost*Meta!O28</f>
        <v>1145.088</v>
      </c>
      <c r="N31" s="5">
        <f>L31-Grade15!L31</f>
        <v>14213.830430490081</v>
      </c>
      <c r="O31" s="5">
        <f>Grade15!M31-M31</f>
        <v>8.0639999999998508</v>
      </c>
      <c r="P31" s="22">
        <f t="shared" si="12"/>
        <v>440.32057827155245</v>
      </c>
      <c r="Q31" s="22"/>
      <c r="R31" s="22"/>
      <c r="S31" s="22">
        <f t="shared" si="6"/>
        <v>10377.755332954399</v>
      </c>
      <c r="T31" s="22">
        <f t="shared" si="7"/>
        <v>4998.3090343921622</v>
      </c>
    </row>
    <row r="32" spans="1:20" x14ac:dyDescent="0.2">
      <c r="A32" s="5">
        <v>41</v>
      </c>
      <c r="B32" s="1">
        <f t="shared" si="8"/>
        <v>1.5986501856491666</v>
      </c>
      <c r="C32" s="5">
        <f t="shared" si="9"/>
        <v>257601.98631725713</v>
      </c>
      <c r="D32" s="5">
        <f t="shared" si="0"/>
        <v>250341.92672773942</v>
      </c>
      <c r="E32" s="5">
        <f t="shared" si="1"/>
        <v>240841.92672773942</v>
      </c>
      <c r="F32" s="5">
        <f t="shared" si="2"/>
        <v>98710.58643048018</v>
      </c>
      <c r="G32" s="5">
        <f t="shared" si="3"/>
        <v>151631.34029725924</v>
      </c>
      <c r="H32" s="22">
        <f t="shared" si="10"/>
        <v>108829.95535610618</v>
      </c>
      <c r="I32" s="5">
        <f t="shared" si="4"/>
        <v>257196.39699268225</v>
      </c>
      <c r="J32" s="26">
        <f t="shared" si="5"/>
        <v>0.27639789390664271</v>
      </c>
      <c r="L32" s="22">
        <f t="shared" si="11"/>
        <v>385175.81707214244</v>
      </c>
      <c r="M32" s="5">
        <f>scrimecost*Meta!O29</f>
        <v>1145.088</v>
      </c>
      <c r="N32" s="5">
        <f>L32-Grade15!L32</f>
        <v>14569.176191252423</v>
      </c>
      <c r="O32" s="5">
        <f>Grade15!M32-M32</f>
        <v>8.0639999999998508</v>
      </c>
      <c r="P32" s="22">
        <f t="shared" si="12"/>
        <v>452.06313849004215</v>
      </c>
      <c r="Q32" s="22"/>
      <c r="R32" s="22"/>
      <c r="S32" s="22">
        <f t="shared" si="6"/>
        <v>10637.680466301139</v>
      </c>
      <c r="T32" s="22">
        <f t="shared" si="7"/>
        <v>4930.2353703514882</v>
      </c>
    </row>
    <row r="33" spans="1:20" x14ac:dyDescent="0.2">
      <c r="A33" s="5">
        <v>42</v>
      </c>
      <c r="B33" s="1">
        <f t="shared" si="8"/>
        <v>1.6386164402903955</v>
      </c>
      <c r="C33" s="5">
        <f t="shared" si="9"/>
        <v>264042.03597518854</v>
      </c>
      <c r="D33" s="5">
        <f t="shared" si="0"/>
        <v>256588.77489593287</v>
      </c>
      <c r="E33" s="5">
        <f t="shared" si="1"/>
        <v>247088.77489593287</v>
      </c>
      <c r="F33" s="5">
        <f t="shared" si="2"/>
        <v>101487.31044124215</v>
      </c>
      <c r="G33" s="5">
        <f t="shared" si="3"/>
        <v>155101.46445469072</v>
      </c>
      <c r="H33" s="22">
        <f t="shared" si="10"/>
        <v>111550.70424000881</v>
      </c>
      <c r="I33" s="5">
        <f t="shared" si="4"/>
        <v>263305.64756749925</v>
      </c>
      <c r="J33" s="26">
        <f t="shared" si="5"/>
        <v>0.2772780404432747</v>
      </c>
      <c r="L33" s="22">
        <f t="shared" si="11"/>
        <v>394805.212498946</v>
      </c>
      <c r="M33" s="5">
        <f>scrimecost*Meta!O30</f>
        <v>1145.088</v>
      </c>
      <c r="N33" s="5">
        <f>L33-Grade15!L33</f>
        <v>14933.405596033728</v>
      </c>
      <c r="O33" s="5">
        <f>Grade15!M33-M33</f>
        <v>8.0639999999998508</v>
      </c>
      <c r="P33" s="22">
        <f t="shared" si="12"/>
        <v>464.09926271399405</v>
      </c>
      <c r="Q33" s="22"/>
      <c r="R33" s="22"/>
      <c r="S33" s="22">
        <f t="shared" si="6"/>
        <v>10904.103727981479</v>
      </c>
      <c r="T33" s="22">
        <f t="shared" si="7"/>
        <v>4863.0834488740957</v>
      </c>
    </row>
    <row r="34" spans="1:20" x14ac:dyDescent="0.2">
      <c r="A34" s="5">
        <v>43</v>
      </c>
      <c r="B34" s="1">
        <f t="shared" si="8"/>
        <v>1.6795818512976552</v>
      </c>
      <c r="C34" s="5">
        <f t="shared" si="9"/>
        <v>270643.08687456819</v>
      </c>
      <c r="D34" s="5">
        <f t="shared" si="0"/>
        <v>262991.79426833114</v>
      </c>
      <c r="E34" s="5">
        <f t="shared" si="1"/>
        <v>253491.79426833114</v>
      </c>
      <c r="F34" s="5">
        <f t="shared" si="2"/>
        <v>104333.45255227319</v>
      </c>
      <c r="G34" s="5">
        <f t="shared" si="3"/>
        <v>158658.34171605797</v>
      </c>
      <c r="H34" s="22">
        <f t="shared" si="10"/>
        <v>114339.47184600904</v>
      </c>
      <c r="I34" s="5">
        <f t="shared" si="4"/>
        <v>269567.62940668676</v>
      </c>
      <c r="J34" s="26">
        <f t="shared" si="5"/>
        <v>0.27813671999120837</v>
      </c>
      <c r="L34" s="22">
        <f t="shared" si="11"/>
        <v>404675.34281141957</v>
      </c>
      <c r="M34" s="5">
        <f>scrimecost*Meta!O31</f>
        <v>1145.088</v>
      </c>
      <c r="N34" s="5">
        <f>L34-Grade15!L34</f>
        <v>15306.740735934523</v>
      </c>
      <c r="O34" s="5">
        <f>Grade15!M34-M34</f>
        <v>8.0639999999998508</v>
      </c>
      <c r="P34" s="22">
        <f t="shared" si="12"/>
        <v>476.43629004354466</v>
      </c>
      <c r="Q34" s="22"/>
      <c r="R34" s="22"/>
      <c r="S34" s="22">
        <f t="shared" si="6"/>
        <v>11177.187571203796</v>
      </c>
      <c r="T34" s="22">
        <f t="shared" si="7"/>
        <v>4796.8409926670765</v>
      </c>
    </row>
    <row r="35" spans="1:20" x14ac:dyDescent="0.2">
      <c r="A35" s="5">
        <v>44</v>
      </c>
      <c r="B35" s="1">
        <f t="shared" si="8"/>
        <v>1.7215713975800966</v>
      </c>
      <c r="C35" s="5">
        <f t="shared" si="9"/>
        <v>277409.16404643242</v>
      </c>
      <c r="D35" s="5">
        <f t="shared" si="0"/>
        <v>269554.88912503945</v>
      </c>
      <c r="E35" s="5">
        <f t="shared" si="1"/>
        <v>260054.88912503945</v>
      </c>
      <c r="F35" s="5">
        <f t="shared" si="2"/>
        <v>107250.74821608004</v>
      </c>
      <c r="G35" s="5">
        <f t="shared" si="3"/>
        <v>162304.14090895941</v>
      </c>
      <c r="H35" s="22">
        <f t="shared" si="10"/>
        <v>117197.95864215925</v>
      </c>
      <c r="I35" s="5">
        <f t="shared" si="4"/>
        <v>275986.16079185391</v>
      </c>
      <c r="J35" s="26">
        <f t="shared" si="5"/>
        <v>0.27897445613553395</v>
      </c>
      <c r="L35" s="22">
        <f t="shared" si="11"/>
        <v>414792.22638170503</v>
      </c>
      <c r="M35" s="5">
        <f>scrimecost*Meta!O32</f>
        <v>1145.088</v>
      </c>
      <c r="N35" s="5">
        <f>L35-Grade15!L35</f>
        <v>15689.40925433283</v>
      </c>
      <c r="O35" s="5">
        <f>Grade15!M35-M35</f>
        <v>8.0639999999998508</v>
      </c>
      <c r="P35" s="22">
        <f t="shared" si="12"/>
        <v>489.08174305633418</v>
      </c>
      <c r="Q35" s="22"/>
      <c r="R35" s="22"/>
      <c r="S35" s="22">
        <f t="shared" si="6"/>
        <v>11457.098510506668</v>
      </c>
      <c r="T35" s="22">
        <f t="shared" si="7"/>
        <v>4731.4958802227511</v>
      </c>
    </row>
    <row r="36" spans="1:20" x14ac:dyDescent="0.2">
      <c r="A36" s="5">
        <v>45</v>
      </c>
      <c r="B36" s="1">
        <f t="shared" si="8"/>
        <v>1.7646106825195991</v>
      </c>
      <c r="C36" s="5">
        <f t="shared" si="9"/>
        <v>284344.39314759325</v>
      </c>
      <c r="D36" s="5">
        <f t="shared" si="0"/>
        <v>276282.06135316542</v>
      </c>
      <c r="E36" s="5">
        <f t="shared" si="1"/>
        <v>266782.06135316542</v>
      </c>
      <c r="F36" s="5">
        <f t="shared" si="2"/>
        <v>110240.97627148204</v>
      </c>
      <c r="G36" s="5">
        <f t="shared" si="3"/>
        <v>166041.08508168338</v>
      </c>
      <c r="H36" s="22">
        <f t="shared" si="10"/>
        <v>120127.90760821325</v>
      </c>
      <c r="I36" s="5">
        <f t="shared" si="4"/>
        <v>282565.15546165023</v>
      </c>
      <c r="J36" s="26">
        <f t="shared" si="5"/>
        <v>0.27979175969097347</v>
      </c>
      <c r="L36" s="22">
        <f t="shared" si="11"/>
        <v>425162.03204124764</v>
      </c>
      <c r="M36" s="5">
        <f>scrimecost*Meta!O33</f>
        <v>925.4140000000001</v>
      </c>
      <c r="N36" s="5">
        <f>L36-Grade15!L36</f>
        <v>16081.644485691155</v>
      </c>
      <c r="O36" s="5">
        <f>Grade15!M36-M36</f>
        <v>6.5169999999999391</v>
      </c>
      <c r="P36" s="22">
        <f t="shared" si="12"/>
        <v>502.04333239444333</v>
      </c>
      <c r="Q36" s="22"/>
      <c r="R36" s="22"/>
      <c r="S36" s="22">
        <f t="shared" si="6"/>
        <v>11742.610282292155</v>
      </c>
      <c r="T36" s="22">
        <f t="shared" si="7"/>
        <v>4666.4810036334075</v>
      </c>
    </row>
    <row r="37" spans="1:20" x14ac:dyDescent="0.2">
      <c r="A37" s="5">
        <v>46</v>
      </c>
      <c r="B37" s="1">
        <f t="shared" ref="B37:B56" si="13">(1+experiencepremium)^(A37-startage)</f>
        <v>1.8087259495825889</v>
      </c>
      <c r="C37" s="5">
        <f t="shared" ref="C37:C56" si="14">pretaxincome*B37/expnorm</f>
        <v>291453.00297628308</v>
      </c>
      <c r="D37" s="5">
        <f t="shared" ref="D37:D56" si="15">IF(A37&lt;startage,1,0)*(C37*(1-initialunempprob))+IF(A37=startage,1,0)*(C37*(1-unempprob))+IF(A37&gt;startage,1,0)*(C37*(1-unempprob)+unempprob*300*52)</f>
        <v>283177.4128869946</v>
      </c>
      <c r="E37" s="5">
        <f t="shared" si="1"/>
        <v>273677.4128869946</v>
      </c>
      <c r="F37" s="5">
        <f t="shared" si="2"/>
        <v>113305.9600282691</v>
      </c>
      <c r="G37" s="5">
        <f t="shared" si="3"/>
        <v>169871.4528587255</v>
      </c>
      <c r="H37" s="22">
        <f t="shared" ref="H37:H56" si="16">benefits*B37/expnorm</f>
        <v>123131.10529841855</v>
      </c>
      <c r="I37" s="5">
        <f t="shared" ref="I37:I56" si="17">G37+IF(A37&lt;startage,1,0)*(H37*(1-initialunempprob))+IF(A37&gt;=startage,1,0)*(H37*(1-unempprob))</f>
        <v>289308.62499819149</v>
      </c>
      <c r="J37" s="26">
        <f t="shared" si="5"/>
        <v>0.28058912901335353</v>
      </c>
      <c r="L37" s="22">
        <f t="shared" ref="L37:L56" si="18">(sincome+sbenefits)*(1-sunemp)*B37/expnorm</f>
        <v>435791.08284227882</v>
      </c>
      <c r="M37" s="5">
        <f>scrimecost*Meta!O34</f>
        <v>925.4140000000001</v>
      </c>
      <c r="N37" s="5">
        <f>L37-Grade15!L37</f>
        <v>16483.685597833479</v>
      </c>
      <c r="O37" s="5">
        <f>Grade15!M37-M37</f>
        <v>6.5169999999999391</v>
      </c>
      <c r="P37" s="22">
        <f t="shared" si="12"/>
        <v>515.32896146600535</v>
      </c>
      <c r="Q37" s="22"/>
      <c r="R37" s="22"/>
      <c r="S37" s="22">
        <f t="shared" si="6"/>
        <v>12036.691712897305</v>
      </c>
      <c r="T37" s="22">
        <f t="shared" si="7"/>
        <v>4602.91576937427</v>
      </c>
    </row>
    <row r="38" spans="1:20" x14ac:dyDescent="0.2">
      <c r="A38" s="5">
        <v>47</v>
      </c>
      <c r="B38" s="1">
        <f t="shared" si="13"/>
        <v>1.8539440983221533</v>
      </c>
      <c r="C38" s="5">
        <f t="shared" si="14"/>
        <v>298739.32805069006</v>
      </c>
      <c r="D38" s="5">
        <f t="shared" si="15"/>
        <v>290245.14820916933</v>
      </c>
      <c r="E38" s="5">
        <f t="shared" si="1"/>
        <v>280745.14820916933</v>
      </c>
      <c r="F38" s="5">
        <f t="shared" si="2"/>
        <v>116447.56837897576</v>
      </c>
      <c r="G38" s="5">
        <f t="shared" si="3"/>
        <v>173797.57983019357</v>
      </c>
      <c r="H38" s="22">
        <f t="shared" si="16"/>
        <v>126209.38293087902</v>
      </c>
      <c r="I38" s="5">
        <f t="shared" si="17"/>
        <v>296220.68127314618</v>
      </c>
      <c r="J38" s="26">
        <f t="shared" si="5"/>
        <v>0.28136705030348036</v>
      </c>
      <c r="L38" s="22">
        <f t="shared" si="18"/>
        <v>446685.85991333576</v>
      </c>
      <c r="M38" s="5">
        <f>scrimecost*Meta!O35</f>
        <v>925.4140000000001</v>
      </c>
      <c r="N38" s="5">
        <f>L38-Grade15!L38</f>
        <v>16895.77773777931</v>
      </c>
      <c r="O38" s="5">
        <f>Grade15!M38-M38</f>
        <v>6.5169999999999391</v>
      </c>
      <c r="P38" s="22">
        <f t="shared" si="12"/>
        <v>528.94673126435623</v>
      </c>
      <c r="Q38" s="22"/>
      <c r="R38" s="22"/>
      <c r="S38" s="22">
        <f t="shared" si="6"/>
        <v>12338.125179267548</v>
      </c>
      <c r="T38" s="22">
        <f t="shared" si="7"/>
        <v>4540.2116424329979</v>
      </c>
    </row>
    <row r="39" spans="1:20" x14ac:dyDescent="0.2">
      <c r="A39" s="5">
        <v>48</v>
      </c>
      <c r="B39" s="1">
        <f t="shared" si="13"/>
        <v>1.9002927007802071</v>
      </c>
      <c r="C39" s="5">
        <f t="shared" si="14"/>
        <v>306207.81125195732</v>
      </c>
      <c r="D39" s="5">
        <f t="shared" si="15"/>
        <v>297489.57691439858</v>
      </c>
      <c r="E39" s="5">
        <f t="shared" si="1"/>
        <v>287989.57691439858</v>
      </c>
      <c r="F39" s="5">
        <f t="shared" si="2"/>
        <v>119667.71693845018</v>
      </c>
      <c r="G39" s="5">
        <f t="shared" si="3"/>
        <v>177821.85997594841</v>
      </c>
      <c r="H39" s="22">
        <f t="shared" si="16"/>
        <v>129364.61750415097</v>
      </c>
      <c r="I39" s="5">
        <f t="shared" si="17"/>
        <v>303305.53895497485</v>
      </c>
      <c r="J39" s="26">
        <f t="shared" si="5"/>
        <v>0.28212599790360415</v>
      </c>
      <c r="L39" s="22">
        <f t="shared" si="18"/>
        <v>457853.00641116913</v>
      </c>
      <c r="M39" s="5">
        <f>scrimecost*Meta!O36</f>
        <v>925.4140000000001</v>
      </c>
      <c r="N39" s="5">
        <f>L39-Grade15!L39</f>
        <v>17318.17218122381</v>
      </c>
      <c r="O39" s="5">
        <f>Grade15!M39-M39</f>
        <v>6.5169999999999391</v>
      </c>
      <c r="P39" s="22">
        <f t="shared" si="12"/>
        <v>542.90494530766603</v>
      </c>
      <c r="Q39" s="22"/>
      <c r="R39" s="22"/>
      <c r="S39" s="22">
        <f t="shared" si="6"/>
        <v>12647.094482297065</v>
      </c>
      <c r="T39" s="22">
        <f t="shared" si="7"/>
        <v>4478.3571375291776</v>
      </c>
    </row>
    <row r="40" spans="1:20" x14ac:dyDescent="0.2">
      <c r="A40" s="5">
        <v>49</v>
      </c>
      <c r="B40" s="1">
        <f t="shared" si="13"/>
        <v>1.9478000182997122</v>
      </c>
      <c r="C40" s="5">
        <f t="shared" si="14"/>
        <v>313863.00653325621</v>
      </c>
      <c r="D40" s="5">
        <f t="shared" si="15"/>
        <v>304915.11633725849</v>
      </c>
      <c r="E40" s="5">
        <f t="shared" si="1"/>
        <v>295415.11633725849</v>
      </c>
      <c r="F40" s="5">
        <f t="shared" si="2"/>
        <v>122968.3692119114</v>
      </c>
      <c r="G40" s="5">
        <f t="shared" si="3"/>
        <v>181946.74712534709</v>
      </c>
      <c r="H40" s="22">
        <f t="shared" si="16"/>
        <v>132598.73294175474</v>
      </c>
      <c r="I40" s="5">
        <f t="shared" si="17"/>
        <v>310567.51807884919</v>
      </c>
      <c r="J40" s="26">
        <f t="shared" si="5"/>
        <v>0.28286643458665173</v>
      </c>
      <c r="L40" s="22">
        <f t="shared" si="18"/>
        <v>469299.3315714483</v>
      </c>
      <c r="M40" s="5">
        <f>scrimecost*Meta!O37</f>
        <v>925.4140000000001</v>
      </c>
      <c r="N40" s="5">
        <f>L40-Grade15!L40</f>
        <v>17751.126485754387</v>
      </c>
      <c r="O40" s="5">
        <f>Grade15!M40-M40</f>
        <v>6.5169999999999391</v>
      </c>
      <c r="P40" s="22">
        <f t="shared" si="12"/>
        <v>557.21211470205833</v>
      </c>
      <c r="Q40" s="22"/>
      <c r="R40" s="22"/>
      <c r="S40" s="22">
        <f t="shared" si="6"/>
        <v>12963.788017902296</v>
      </c>
      <c r="T40" s="22">
        <f t="shared" si="7"/>
        <v>4417.3409157225824</v>
      </c>
    </row>
    <row r="41" spans="1:20" x14ac:dyDescent="0.2">
      <c r="A41" s="5">
        <v>50</v>
      </c>
      <c r="B41" s="1">
        <f t="shared" si="13"/>
        <v>1.9964950187572048</v>
      </c>
      <c r="C41" s="5">
        <f t="shared" si="14"/>
        <v>321709.58169658756</v>
      </c>
      <c r="D41" s="5">
        <f t="shared" si="15"/>
        <v>312526.29424568993</v>
      </c>
      <c r="E41" s="5">
        <f t="shared" si="1"/>
        <v>303026.29424568993</v>
      </c>
      <c r="F41" s="5">
        <f t="shared" si="2"/>
        <v>126351.53779220919</v>
      </c>
      <c r="G41" s="5">
        <f t="shared" si="3"/>
        <v>186174.75645348075</v>
      </c>
      <c r="H41" s="22">
        <f t="shared" si="16"/>
        <v>135913.70126529859</v>
      </c>
      <c r="I41" s="5">
        <f t="shared" si="17"/>
        <v>318011.04668082041</v>
      </c>
      <c r="J41" s="26">
        <f t="shared" si="5"/>
        <v>0.28358881183840556</v>
      </c>
      <c r="L41" s="22">
        <f t="shared" si="18"/>
        <v>481031.81486073445</v>
      </c>
      <c r="M41" s="5">
        <f>scrimecost*Meta!O38</f>
        <v>618.26800000000003</v>
      </c>
      <c r="N41" s="5">
        <f>L41-Grade15!L41</f>
        <v>18194.904647898104</v>
      </c>
      <c r="O41" s="5">
        <f>Grade15!M41-M41</f>
        <v>4.3539999999999281</v>
      </c>
      <c r="P41" s="22">
        <f t="shared" si="12"/>
        <v>571.87696333131066</v>
      </c>
      <c r="Q41" s="22"/>
      <c r="R41" s="22"/>
      <c r="S41" s="22">
        <f t="shared" si="6"/>
        <v>13286.445702897568</v>
      </c>
      <c r="T41" s="22">
        <f t="shared" si="7"/>
        <v>4356.5113489278019</v>
      </c>
    </row>
    <row r="42" spans="1:20" x14ac:dyDescent="0.2">
      <c r="A42" s="5">
        <v>51</v>
      </c>
      <c r="B42" s="1">
        <f t="shared" si="13"/>
        <v>2.0464073942261352</v>
      </c>
      <c r="C42" s="5">
        <f t="shared" si="14"/>
        <v>329752.32123900234</v>
      </c>
      <c r="D42" s="5">
        <f t="shared" si="15"/>
        <v>320327.75160183228</v>
      </c>
      <c r="E42" s="5">
        <f t="shared" si="1"/>
        <v>310827.75160183228</v>
      </c>
      <c r="F42" s="5">
        <f t="shared" si="2"/>
        <v>129819.28558701444</v>
      </c>
      <c r="G42" s="5">
        <f t="shared" si="3"/>
        <v>190508.46601481782</v>
      </c>
      <c r="H42" s="22">
        <f t="shared" si="16"/>
        <v>139311.54379693107</v>
      </c>
      <c r="I42" s="5">
        <f t="shared" si="17"/>
        <v>325640.66349784099</v>
      </c>
      <c r="J42" s="26">
        <f t="shared" si="5"/>
        <v>0.28429357013279938</v>
      </c>
      <c r="L42" s="22">
        <f t="shared" si="18"/>
        <v>493057.61023225286</v>
      </c>
      <c r="M42" s="5">
        <f>scrimecost*Meta!O39</f>
        <v>618.26800000000003</v>
      </c>
      <c r="N42" s="5">
        <f>L42-Grade15!L42</f>
        <v>18649.777264095726</v>
      </c>
      <c r="O42" s="5">
        <f>Grade15!M42-M42</f>
        <v>4.3539999999999281</v>
      </c>
      <c r="P42" s="22">
        <f t="shared" si="12"/>
        <v>586.90843317629424</v>
      </c>
      <c r="Q42" s="22"/>
      <c r="R42" s="22"/>
      <c r="S42" s="22">
        <f t="shared" si="6"/>
        <v>13619.171848742943</v>
      </c>
      <c r="T42" s="22">
        <f t="shared" si="7"/>
        <v>4297.1624116306339</v>
      </c>
    </row>
    <row r="43" spans="1:20" x14ac:dyDescent="0.2">
      <c r="A43" s="5">
        <v>52</v>
      </c>
      <c r="B43" s="1">
        <f t="shared" si="13"/>
        <v>2.097567579081788</v>
      </c>
      <c r="C43" s="5">
        <f t="shared" si="14"/>
        <v>337996.12926997733</v>
      </c>
      <c r="D43" s="5">
        <f t="shared" si="15"/>
        <v>328324.24539187801</v>
      </c>
      <c r="E43" s="5">
        <f t="shared" si="1"/>
        <v>318824.24539187801</v>
      </c>
      <c r="F43" s="5">
        <f t="shared" si="2"/>
        <v>133373.72707668977</v>
      </c>
      <c r="G43" s="5">
        <f t="shared" si="3"/>
        <v>194950.51831518824</v>
      </c>
      <c r="H43" s="22">
        <f t="shared" si="16"/>
        <v>142794.33239185432</v>
      </c>
      <c r="I43" s="5">
        <f t="shared" si="17"/>
        <v>333461.02073528693</v>
      </c>
      <c r="J43" s="26">
        <f t="shared" si="5"/>
        <v>0.28498113920050078</v>
      </c>
      <c r="L43" s="22">
        <f t="shared" si="18"/>
        <v>505384.05048805906</v>
      </c>
      <c r="M43" s="5">
        <f>scrimecost*Meta!O40</f>
        <v>618.26800000000003</v>
      </c>
      <c r="N43" s="5">
        <f>L43-Grade15!L43</f>
        <v>19116.021695697855</v>
      </c>
      <c r="O43" s="5">
        <f>Grade15!M43-M43</f>
        <v>4.3539999999999281</v>
      </c>
      <c r="P43" s="22">
        <f t="shared" si="12"/>
        <v>602.31568976740243</v>
      </c>
      <c r="Q43" s="22"/>
      <c r="R43" s="22"/>
      <c r="S43" s="22">
        <f t="shared" si="6"/>
        <v>13960.216148234145</v>
      </c>
      <c r="T43" s="22">
        <f t="shared" si="7"/>
        <v>4238.6176914323814</v>
      </c>
    </row>
    <row r="44" spans="1:20" x14ac:dyDescent="0.2">
      <c r="A44" s="5">
        <v>53</v>
      </c>
      <c r="B44" s="1">
        <f t="shared" si="13"/>
        <v>2.1500067685588333</v>
      </c>
      <c r="C44" s="5">
        <f t="shared" si="14"/>
        <v>346446.03250172682</v>
      </c>
      <c r="D44" s="5">
        <f t="shared" si="15"/>
        <v>336520.65152667498</v>
      </c>
      <c r="E44" s="5">
        <f t="shared" si="1"/>
        <v>327020.65152667498</v>
      </c>
      <c r="F44" s="5">
        <f t="shared" si="2"/>
        <v>137017.02960360702</v>
      </c>
      <c r="G44" s="5">
        <f t="shared" si="3"/>
        <v>199503.62192306796</v>
      </c>
      <c r="H44" s="22">
        <f t="shared" si="16"/>
        <v>146364.19070165072</v>
      </c>
      <c r="I44" s="5">
        <f t="shared" si="17"/>
        <v>341476.88690366916</v>
      </c>
      <c r="J44" s="26">
        <f t="shared" si="5"/>
        <v>0.28565193829094104</v>
      </c>
      <c r="L44" s="22">
        <f t="shared" si="18"/>
        <v>518018.65175026067</v>
      </c>
      <c r="M44" s="5">
        <f>scrimecost*Meta!O41</f>
        <v>618.26800000000003</v>
      </c>
      <c r="N44" s="5">
        <f>L44-Grade15!L44</f>
        <v>19593.922238090599</v>
      </c>
      <c r="O44" s="5">
        <f>Grade15!M44-M44</f>
        <v>4.3539999999999281</v>
      </c>
      <c r="P44" s="22">
        <f t="shared" si="12"/>
        <v>618.10812777328829</v>
      </c>
      <c r="Q44" s="22"/>
      <c r="R44" s="22"/>
      <c r="S44" s="22">
        <f t="shared" ref="S44:S69" si="19">IF(A44&lt;startage,1,0)*(N44-Q44-R44)+IF(A44&gt;=startage,1,0)*completionprob*(N44*spart+O44+P44)</f>
        <v>14309.786555213026</v>
      </c>
      <c r="T44" s="22">
        <f t="shared" ref="T44:T69" si="20">S44/sreturn^(A44-startage+1)</f>
        <v>4180.8664531978711</v>
      </c>
    </row>
    <row r="45" spans="1:20" x14ac:dyDescent="0.2">
      <c r="A45" s="5">
        <v>54</v>
      </c>
      <c r="B45" s="1">
        <f t="shared" si="13"/>
        <v>2.2037569377728037</v>
      </c>
      <c r="C45" s="5">
        <f t="shared" si="14"/>
        <v>355107.18331426987</v>
      </c>
      <c r="D45" s="5">
        <f t="shared" si="15"/>
        <v>344921.96781484177</v>
      </c>
      <c r="E45" s="5">
        <f t="shared" si="1"/>
        <v>335421.96781484177</v>
      </c>
      <c r="F45" s="5">
        <f t="shared" si="2"/>
        <v>140751.41469369718</v>
      </c>
      <c r="G45" s="5">
        <f t="shared" si="3"/>
        <v>204170.55312114459</v>
      </c>
      <c r="H45" s="22">
        <f t="shared" si="16"/>
        <v>150023.29546919197</v>
      </c>
      <c r="I45" s="5">
        <f t="shared" si="17"/>
        <v>349693.1497262608</v>
      </c>
      <c r="J45" s="26">
        <f t="shared" si="5"/>
        <v>0.28630637642795614</v>
      </c>
      <c r="L45" s="22">
        <f t="shared" si="18"/>
        <v>530969.11804401712</v>
      </c>
      <c r="M45" s="5">
        <f>scrimecost*Meta!O42</f>
        <v>618.26800000000003</v>
      </c>
      <c r="N45" s="5">
        <f>L45-Grade15!L45</f>
        <v>20083.77029404277</v>
      </c>
      <c r="O45" s="5">
        <f>Grade15!M45-M45</f>
        <v>4.3539999999999281</v>
      </c>
      <c r="P45" s="22">
        <f t="shared" si="12"/>
        <v>634.29537672932156</v>
      </c>
      <c r="Q45" s="22"/>
      <c r="R45" s="22"/>
      <c r="S45" s="22">
        <f t="shared" si="19"/>
        <v>14668.096222366101</v>
      </c>
      <c r="T45" s="22">
        <f t="shared" si="20"/>
        <v>4123.8980989078145</v>
      </c>
    </row>
    <row r="46" spans="1:20" x14ac:dyDescent="0.2">
      <c r="A46" s="5">
        <v>55</v>
      </c>
      <c r="B46" s="1">
        <f t="shared" si="13"/>
        <v>2.2588508612171236</v>
      </c>
      <c r="C46" s="5">
        <f t="shared" si="14"/>
        <v>363984.86289712664</v>
      </c>
      <c r="D46" s="5">
        <f t="shared" si="15"/>
        <v>353533.31701021286</v>
      </c>
      <c r="E46" s="5">
        <f t="shared" si="1"/>
        <v>344033.31701021286</v>
      </c>
      <c r="F46" s="5">
        <f t="shared" si="2"/>
        <v>144579.15941103964</v>
      </c>
      <c r="G46" s="5">
        <f t="shared" si="3"/>
        <v>208954.15759917322</v>
      </c>
      <c r="H46" s="22">
        <f t="shared" si="16"/>
        <v>153773.87785592175</v>
      </c>
      <c r="I46" s="5">
        <f t="shared" si="17"/>
        <v>358114.81911941734</v>
      </c>
      <c r="J46" s="26">
        <f t="shared" si="5"/>
        <v>0.28694485265919029</v>
      </c>
      <c r="L46" s="22">
        <f t="shared" si="18"/>
        <v>544243.34599511756</v>
      </c>
      <c r="M46" s="5">
        <f>scrimecost*Meta!O43</f>
        <v>342.92999999999995</v>
      </c>
      <c r="N46" s="5">
        <f>L46-Grade15!L46</f>
        <v>20585.864551393897</v>
      </c>
      <c r="O46" s="5">
        <f>Grade15!M46-M46</f>
        <v>2.4150000000000205</v>
      </c>
      <c r="P46" s="22">
        <f t="shared" si="12"/>
        <v>650.88730690925547</v>
      </c>
      <c r="Q46" s="22"/>
      <c r="R46" s="22"/>
      <c r="S46" s="22">
        <f t="shared" si="19"/>
        <v>15033.612714198111</v>
      </c>
      <c r="T46" s="22">
        <f t="shared" si="20"/>
        <v>4067.2284689987555</v>
      </c>
    </row>
    <row r="47" spans="1:20" x14ac:dyDescent="0.2">
      <c r="A47" s="5">
        <v>56</v>
      </c>
      <c r="B47" s="1">
        <f t="shared" si="13"/>
        <v>2.3153221327475517</v>
      </c>
      <c r="C47" s="5">
        <f t="shared" si="14"/>
        <v>373084.48446955479</v>
      </c>
      <c r="D47" s="5">
        <f t="shared" si="15"/>
        <v>362359.94993546815</v>
      </c>
      <c r="E47" s="5">
        <f t="shared" si="1"/>
        <v>352859.94993546815</v>
      </c>
      <c r="F47" s="5">
        <f t="shared" si="2"/>
        <v>148502.59774631562</v>
      </c>
      <c r="G47" s="5">
        <f t="shared" si="3"/>
        <v>213857.35218915253</v>
      </c>
      <c r="H47" s="22">
        <f t="shared" si="16"/>
        <v>157618.2248023198</v>
      </c>
      <c r="I47" s="5">
        <f t="shared" si="17"/>
        <v>366747.03024740273</v>
      </c>
      <c r="J47" s="26">
        <f t="shared" si="5"/>
        <v>0.28756775629941866</v>
      </c>
      <c r="L47" s="22">
        <f t="shared" si="18"/>
        <v>557849.42964499549</v>
      </c>
      <c r="M47" s="5">
        <f>scrimecost*Meta!O44</f>
        <v>342.92999999999995</v>
      </c>
      <c r="N47" s="5">
        <f>L47-Grade15!L47</f>
        <v>21100.51116517873</v>
      </c>
      <c r="O47" s="5">
        <f>Grade15!M47-M47</f>
        <v>2.4150000000000205</v>
      </c>
      <c r="P47" s="22">
        <f t="shared" si="12"/>
        <v>667.89403534368762</v>
      </c>
      <c r="Q47" s="22"/>
      <c r="R47" s="22"/>
      <c r="S47" s="22">
        <f t="shared" si="19"/>
        <v>15410.061808250872</v>
      </c>
      <c r="T47" s="22">
        <f t="shared" si="20"/>
        <v>4011.812497751022</v>
      </c>
    </row>
    <row r="48" spans="1:20" x14ac:dyDescent="0.2">
      <c r="A48" s="5">
        <v>57</v>
      </c>
      <c r="B48" s="1">
        <f t="shared" si="13"/>
        <v>2.3732051860662402</v>
      </c>
      <c r="C48" s="5">
        <f t="shared" si="14"/>
        <v>382411.59658129368</v>
      </c>
      <c r="D48" s="5">
        <f t="shared" si="15"/>
        <v>371407.24868385488</v>
      </c>
      <c r="E48" s="5">
        <f t="shared" si="1"/>
        <v>361907.24868385488</v>
      </c>
      <c r="F48" s="5">
        <f t="shared" si="2"/>
        <v>152524.12203997353</v>
      </c>
      <c r="G48" s="5">
        <f t="shared" si="3"/>
        <v>218883.12664388135</v>
      </c>
      <c r="H48" s="22">
        <f t="shared" si="16"/>
        <v>161558.68042237774</v>
      </c>
      <c r="I48" s="5">
        <f t="shared" si="17"/>
        <v>375595.04665358772</v>
      </c>
      <c r="J48" s="26">
        <f t="shared" si="5"/>
        <v>0.28817546716793435</v>
      </c>
      <c r="L48" s="22">
        <f t="shared" si="18"/>
        <v>571795.66538612032</v>
      </c>
      <c r="M48" s="5">
        <f>scrimecost*Meta!O45</f>
        <v>342.92999999999995</v>
      </c>
      <c r="N48" s="5">
        <f>L48-Grade15!L48</f>
        <v>21628.023944308166</v>
      </c>
      <c r="O48" s="5">
        <f>Grade15!M48-M48</f>
        <v>2.4150000000000205</v>
      </c>
      <c r="P48" s="22">
        <f t="shared" si="12"/>
        <v>685.32593198898098</v>
      </c>
      <c r="Q48" s="22"/>
      <c r="R48" s="22"/>
      <c r="S48" s="22">
        <f t="shared" si="19"/>
        <v>15795.922129654933</v>
      </c>
      <c r="T48" s="22">
        <f t="shared" si="20"/>
        <v>3957.1477499886714</v>
      </c>
    </row>
    <row r="49" spans="1:20" x14ac:dyDescent="0.2">
      <c r="A49" s="5">
        <v>58</v>
      </c>
      <c r="B49" s="1">
        <f t="shared" si="13"/>
        <v>2.4325353157178964</v>
      </c>
      <c r="C49" s="5">
        <f t="shared" si="14"/>
        <v>391971.88649582607</v>
      </c>
      <c r="D49" s="5">
        <f t="shared" si="15"/>
        <v>380680.72990095126</v>
      </c>
      <c r="E49" s="5">
        <f t="shared" si="1"/>
        <v>371180.72990095126</v>
      </c>
      <c r="F49" s="5">
        <f t="shared" si="2"/>
        <v>156646.18444097287</v>
      </c>
      <c r="G49" s="5">
        <f t="shared" si="3"/>
        <v>224034.5454599784</v>
      </c>
      <c r="H49" s="22">
        <f t="shared" si="16"/>
        <v>165597.64743293723</v>
      </c>
      <c r="I49" s="5">
        <f t="shared" si="17"/>
        <v>384664.26346992748</v>
      </c>
      <c r="J49" s="26">
        <f t="shared" si="5"/>
        <v>0.28876835582014448</v>
      </c>
      <c r="L49" s="22">
        <f t="shared" si="18"/>
        <v>586090.5570207733</v>
      </c>
      <c r="M49" s="5">
        <f>scrimecost*Meta!O46</f>
        <v>342.92999999999995</v>
      </c>
      <c r="N49" s="5">
        <f>L49-Grade15!L49</f>
        <v>22168.724542915937</v>
      </c>
      <c r="O49" s="5">
        <f>Grade15!M49-M49</f>
        <v>2.4150000000000205</v>
      </c>
      <c r="P49" s="22">
        <f t="shared" si="12"/>
        <v>703.1936260504059</v>
      </c>
      <c r="Q49" s="22"/>
      <c r="R49" s="22"/>
      <c r="S49" s="22">
        <f t="shared" si="19"/>
        <v>16191.428959094168</v>
      </c>
      <c r="T49" s="22">
        <f t="shared" si="20"/>
        <v>3903.2241865284118</v>
      </c>
    </row>
    <row r="50" spans="1:20" x14ac:dyDescent="0.2">
      <c r="A50" s="5">
        <v>59</v>
      </c>
      <c r="B50" s="1">
        <f t="shared" si="13"/>
        <v>2.4933486986108435</v>
      </c>
      <c r="C50" s="5">
        <f t="shared" si="14"/>
        <v>401771.18365822162</v>
      </c>
      <c r="D50" s="5">
        <f t="shared" si="15"/>
        <v>390186.04814847495</v>
      </c>
      <c r="E50" s="5">
        <f t="shared" si="1"/>
        <v>380686.04814847495</v>
      </c>
      <c r="F50" s="5">
        <f t="shared" si="2"/>
        <v>160902.0193649666</v>
      </c>
      <c r="G50" s="5">
        <f t="shared" si="3"/>
        <v>229284.02878350834</v>
      </c>
      <c r="H50" s="22">
        <f t="shared" si="16"/>
        <v>169737.58861876064</v>
      </c>
      <c r="I50" s="5">
        <f t="shared" si="17"/>
        <v>393929.48974370619</v>
      </c>
      <c r="J50" s="26">
        <f t="shared" si="5"/>
        <v>0.28940220041344111</v>
      </c>
      <c r="L50" s="22">
        <f t="shared" si="18"/>
        <v>600742.8209462926</v>
      </c>
      <c r="M50" s="5">
        <f>scrimecost*Meta!O47</f>
        <v>342.92999999999995</v>
      </c>
      <c r="N50" s="5">
        <f>L50-Grade15!L50</f>
        <v>22722.942656488973</v>
      </c>
      <c r="O50" s="5">
        <f>Grade15!M50-M50</f>
        <v>2.4150000000000205</v>
      </c>
      <c r="P50" s="22">
        <f t="shared" si="12"/>
        <v>721.64117705774049</v>
      </c>
      <c r="Q50" s="22"/>
      <c r="R50" s="22"/>
      <c r="S50" s="22">
        <f t="shared" si="19"/>
        <v>16596.943706898153</v>
      </c>
      <c r="T50" s="22">
        <f t="shared" si="20"/>
        <v>3850.0597911817576</v>
      </c>
    </row>
    <row r="51" spans="1:20" x14ac:dyDescent="0.2">
      <c r="A51" s="5">
        <v>60</v>
      </c>
      <c r="B51" s="1">
        <f t="shared" si="13"/>
        <v>2.555682416076114</v>
      </c>
      <c r="C51" s="5">
        <f t="shared" si="14"/>
        <v>411815.46324967704</v>
      </c>
      <c r="D51" s="5">
        <f t="shared" si="15"/>
        <v>399928.99935218669</v>
      </c>
      <c r="E51" s="5">
        <f t="shared" si="1"/>
        <v>390428.99935218669</v>
      </c>
      <c r="F51" s="5">
        <f t="shared" si="2"/>
        <v>165427.62019909071</v>
      </c>
      <c r="G51" s="5">
        <f t="shared" si="3"/>
        <v>234501.37915309597</v>
      </c>
      <c r="H51" s="22">
        <f t="shared" si="16"/>
        <v>173981.0283342296</v>
      </c>
      <c r="I51" s="5">
        <f t="shared" si="17"/>
        <v>403262.97663729871</v>
      </c>
      <c r="J51" s="26">
        <f t="shared" si="5"/>
        <v>0.29030809601292257</v>
      </c>
      <c r="L51" s="22">
        <f t="shared" si="18"/>
        <v>615761.39146994974</v>
      </c>
      <c r="M51" s="5">
        <f>scrimecost*Meta!O48</f>
        <v>180.90799999999999</v>
      </c>
      <c r="N51" s="5">
        <f>L51-Grade15!L51</f>
        <v>23291.016222900944</v>
      </c>
      <c r="O51" s="5">
        <f>Grade15!M51-M51</f>
        <v>1.2740000000000009</v>
      </c>
      <c r="P51" s="22">
        <f t="shared" si="12"/>
        <v>741.25806862363663</v>
      </c>
      <c r="Q51" s="22"/>
      <c r="R51" s="22"/>
      <c r="S51" s="22">
        <f t="shared" si="19"/>
        <v>17012.205461457357</v>
      </c>
      <c r="T51" s="22">
        <f t="shared" si="20"/>
        <v>3797.5282033264598</v>
      </c>
    </row>
    <row r="52" spans="1:20" x14ac:dyDescent="0.2">
      <c r="A52" s="5">
        <v>61</v>
      </c>
      <c r="B52" s="1">
        <f t="shared" si="13"/>
        <v>2.6195744764780171</v>
      </c>
      <c r="C52" s="5">
        <f t="shared" si="14"/>
        <v>422110.849830919</v>
      </c>
      <c r="D52" s="5">
        <f t="shared" si="15"/>
        <v>409915.52433599142</v>
      </c>
      <c r="E52" s="5">
        <f t="shared" si="1"/>
        <v>400415.52433599142</v>
      </c>
      <c r="F52" s="5">
        <f t="shared" si="2"/>
        <v>170066.36105406802</v>
      </c>
      <c r="G52" s="5">
        <f t="shared" si="3"/>
        <v>239849.16328192339</v>
      </c>
      <c r="H52" s="22">
        <f t="shared" si="16"/>
        <v>178330.55404258537</v>
      </c>
      <c r="I52" s="5">
        <f t="shared" si="17"/>
        <v>412829.80070323119</v>
      </c>
      <c r="J52" s="26">
        <f t="shared" si="5"/>
        <v>0.2911918965977825</v>
      </c>
      <c r="L52" s="22">
        <f t="shared" si="18"/>
        <v>631155.42625669856</v>
      </c>
      <c r="M52" s="5">
        <f>scrimecost*Meta!O49</f>
        <v>180.90799999999999</v>
      </c>
      <c r="N52" s="5">
        <f>L52-Grade15!L52</f>
        <v>23873.291628473671</v>
      </c>
      <c r="O52" s="5">
        <f>Grade15!M52-M52</f>
        <v>1.2740000000000009</v>
      </c>
      <c r="P52" s="22">
        <f t="shared" si="12"/>
        <v>761.36538247868032</v>
      </c>
      <c r="Q52" s="22"/>
      <c r="R52" s="22"/>
      <c r="S52" s="22">
        <f t="shared" si="19"/>
        <v>17438.90484095586</v>
      </c>
      <c r="T52" s="22">
        <f t="shared" si="20"/>
        <v>3745.9384076858823</v>
      </c>
    </row>
    <row r="53" spans="1:20" x14ac:dyDescent="0.2">
      <c r="A53" s="5">
        <v>62</v>
      </c>
      <c r="B53" s="1">
        <f t="shared" si="13"/>
        <v>2.6850638383899672</v>
      </c>
      <c r="C53" s="5">
        <f t="shared" si="14"/>
        <v>432663.62107669195</v>
      </c>
      <c r="D53" s="5">
        <f t="shared" si="15"/>
        <v>420151.71244439116</v>
      </c>
      <c r="E53" s="5">
        <f t="shared" si="1"/>
        <v>410651.71244439116</v>
      </c>
      <c r="F53" s="5">
        <f t="shared" si="2"/>
        <v>174821.0704304197</v>
      </c>
      <c r="G53" s="5">
        <f t="shared" si="3"/>
        <v>245330.64201397146</v>
      </c>
      <c r="H53" s="22">
        <f t="shared" si="16"/>
        <v>182788.81789364998</v>
      </c>
      <c r="I53" s="5">
        <f t="shared" si="17"/>
        <v>422635.79537081195</v>
      </c>
      <c r="J53" s="26">
        <f t="shared" si="5"/>
        <v>0.29205414107081656</v>
      </c>
      <c r="L53" s="22">
        <f t="shared" si="18"/>
        <v>646934.3119131159</v>
      </c>
      <c r="M53" s="5">
        <f>scrimecost*Meta!O50</f>
        <v>180.90799999999999</v>
      </c>
      <c r="N53" s="5">
        <f>L53-Grade15!L53</f>
        <v>24470.123919185251</v>
      </c>
      <c r="O53" s="5">
        <f>Grade15!M53-M53</f>
        <v>1.2740000000000009</v>
      </c>
      <c r="P53" s="22">
        <f t="shared" si="12"/>
        <v>781.97537918009994</v>
      </c>
      <c r="Q53" s="22"/>
      <c r="R53" s="22"/>
      <c r="S53" s="22">
        <f t="shared" si="19"/>
        <v>17876.271704941501</v>
      </c>
      <c r="T53" s="22">
        <f t="shared" si="20"/>
        <v>3695.0422361111428</v>
      </c>
    </row>
    <row r="54" spans="1:20" x14ac:dyDescent="0.2">
      <c r="A54" s="5">
        <v>63</v>
      </c>
      <c r="B54" s="1">
        <f t="shared" si="13"/>
        <v>2.7521904343497163</v>
      </c>
      <c r="C54" s="5">
        <f t="shared" si="14"/>
        <v>443480.21160360926</v>
      </c>
      <c r="D54" s="5">
        <f t="shared" si="15"/>
        <v>430643.80525550095</v>
      </c>
      <c r="E54" s="5">
        <f t="shared" si="1"/>
        <v>421143.80525550095</v>
      </c>
      <c r="F54" s="5">
        <f t="shared" si="2"/>
        <v>179694.64754118019</v>
      </c>
      <c r="G54" s="5">
        <f t="shared" si="3"/>
        <v>250949.15771432075</v>
      </c>
      <c r="H54" s="22">
        <f t="shared" si="16"/>
        <v>187358.53834099122</v>
      </c>
      <c r="I54" s="5">
        <f t="shared" si="17"/>
        <v>432686.93990508222</v>
      </c>
      <c r="J54" s="26">
        <f t="shared" si="5"/>
        <v>0.2928953551908498</v>
      </c>
      <c r="L54" s="22">
        <f t="shared" si="18"/>
        <v>663107.66971094382</v>
      </c>
      <c r="M54" s="5">
        <f>scrimecost*Meta!O51</f>
        <v>180.90799999999999</v>
      </c>
      <c r="N54" s="5">
        <f>L54-Grade15!L54</f>
        <v>25081.877017164952</v>
      </c>
      <c r="O54" s="5">
        <f>Grade15!M54-M54</f>
        <v>1.2740000000000009</v>
      </c>
      <c r="P54" s="22">
        <f t="shared" si="12"/>
        <v>803.10062579905514</v>
      </c>
      <c r="Q54" s="22"/>
      <c r="R54" s="22"/>
      <c r="S54" s="22">
        <f t="shared" si="19"/>
        <v>18324.572740527012</v>
      </c>
      <c r="T54" s="22">
        <f t="shared" si="20"/>
        <v>3644.8306370816726</v>
      </c>
    </row>
    <row r="55" spans="1:20" x14ac:dyDescent="0.2">
      <c r="A55" s="5">
        <v>64</v>
      </c>
      <c r="B55" s="1">
        <f t="shared" si="13"/>
        <v>2.8209951952084591</v>
      </c>
      <c r="C55" s="5">
        <f t="shared" si="14"/>
        <v>454567.21689369949</v>
      </c>
      <c r="D55" s="5">
        <f t="shared" si="15"/>
        <v>441398.20038688846</v>
      </c>
      <c r="E55" s="5">
        <f t="shared" si="1"/>
        <v>431898.20038688846</v>
      </c>
      <c r="F55" s="5">
        <f t="shared" si="2"/>
        <v>184690.0640797097</v>
      </c>
      <c r="G55" s="5">
        <f t="shared" si="3"/>
        <v>256708.13630717876</v>
      </c>
      <c r="H55" s="22">
        <f t="shared" si="16"/>
        <v>192042.50179951597</v>
      </c>
      <c r="I55" s="5">
        <f t="shared" si="17"/>
        <v>442989.36305270926</v>
      </c>
      <c r="J55" s="26">
        <f t="shared" si="5"/>
        <v>0.29371605189332134</v>
      </c>
      <c r="L55" s="22">
        <f t="shared" si="18"/>
        <v>679685.36145371734</v>
      </c>
      <c r="M55" s="5">
        <f>scrimecost*Meta!O52</f>
        <v>180.90799999999999</v>
      </c>
      <c r="N55" s="5">
        <f>L55-Grade15!L55</f>
        <v>25708.923942593974</v>
      </c>
      <c r="O55" s="5">
        <f>Grade15!M55-M55</f>
        <v>1.2740000000000009</v>
      </c>
      <c r="P55" s="22">
        <f t="shared" si="12"/>
        <v>824.7540035834844</v>
      </c>
      <c r="Q55" s="22"/>
      <c r="R55" s="22"/>
      <c r="S55" s="22">
        <f t="shared" si="19"/>
        <v>18784.08130200204</v>
      </c>
      <c r="T55" s="22">
        <f t="shared" si="20"/>
        <v>3595.2946666822272</v>
      </c>
    </row>
    <row r="56" spans="1:20" x14ac:dyDescent="0.2">
      <c r="A56" s="5">
        <v>65</v>
      </c>
      <c r="B56" s="1">
        <f t="shared" si="13"/>
        <v>2.8915200750886707</v>
      </c>
      <c r="C56" s="5">
        <f t="shared" si="14"/>
        <v>465931.39731604193</v>
      </c>
      <c r="D56" s="5">
        <f t="shared" si="15"/>
        <v>452421.45539656066</v>
      </c>
      <c r="E56" s="5">
        <f t="shared" si="1"/>
        <v>442921.45539656066</v>
      </c>
      <c r="F56" s="5">
        <f t="shared" si="2"/>
        <v>189810.36603170243</v>
      </c>
      <c r="G56" s="5">
        <f t="shared" si="3"/>
        <v>262611.08936485823</v>
      </c>
      <c r="H56" s="22">
        <f t="shared" si="16"/>
        <v>196843.56434450392</v>
      </c>
      <c r="I56" s="5">
        <f t="shared" si="17"/>
        <v>453549.34677902702</v>
      </c>
      <c r="J56" s="26">
        <f t="shared" si="5"/>
        <v>0.29451673160304959</v>
      </c>
      <c r="L56" s="22">
        <f t="shared" si="18"/>
        <v>696677.4954900603</v>
      </c>
      <c r="M56" s="5">
        <f>scrimecost*Meta!O53</f>
        <v>54.67</v>
      </c>
      <c r="N56" s="5">
        <f>L56-Grade15!L56</f>
        <v>26351.6470411591</v>
      </c>
      <c r="O56" s="5">
        <f>Grade15!M56-M56</f>
        <v>0.38499999999999801</v>
      </c>
      <c r="P56" s="22">
        <f t="shared" si="12"/>
        <v>846.94871581252426</v>
      </c>
      <c r="Q56" s="22"/>
      <c r="R56" s="22"/>
      <c r="S56" s="22">
        <f t="shared" si="19"/>
        <v>19254.274810514209</v>
      </c>
      <c r="T56" s="22">
        <f t="shared" si="20"/>
        <v>3546.2776330584115</v>
      </c>
    </row>
    <row r="57" spans="1:20" x14ac:dyDescent="0.2">
      <c r="A57" s="5">
        <v>66</v>
      </c>
      <c r="C57" s="5"/>
      <c r="H57" s="21"/>
      <c r="I57" s="5"/>
      <c r="M57" s="5">
        <f>scrimecost*Meta!O54</f>
        <v>54.67</v>
      </c>
      <c r="N57" s="5">
        <f>L57-Grade15!L57</f>
        <v>0</v>
      </c>
      <c r="O57" s="5">
        <f>Grade15!M57-M57</f>
        <v>0.38499999999999801</v>
      </c>
      <c r="Q57" s="22"/>
      <c r="R57" s="22"/>
      <c r="S57" s="22">
        <f t="shared" si="19"/>
        <v>0.34765499999999822</v>
      </c>
      <c r="T57" s="22">
        <f t="shared" si="20"/>
        <v>6.1616224302299495E-2</v>
      </c>
    </row>
    <row r="58" spans="1:20" x14ac:dyDescent="0.2">
      <c r="A58" s="5">
        <v>67</v>
      </c>
      <c r="C58" s="5"/>
      <c r="H58" s="21"/>
      <c r="I58" s="5"/>
      <c r="M58" s="5">
        <f>scrimecost*Meta!O55</f>
        <v>54.67</v>
      </c>
      <c r="N58" s="5">
        <f>L58-Grade15!L58</f>
        <v>0</v>
      </c>
      <c r="O58" s="5">
        <f>Grade15!M58-M58</f>
        <v>0.38499999999999801</v>
      </c>
      <c r="Q58" s="22"/>
      <c r="R58" s="22"/>
      <c r="S58" s="22">
        <f t="shared" si="19"/>
        <v>0.34765499999999822</v>
      </c>
      <c r="T58" s="22">
        <f t="shared" si="20"/>
        <v>5.9292002446734521E-2</v>
      </c>
    </row>
    <row r="59" spans="1:20" x14ac:dyDescent="0.2">
      <c r="A59" s="5">
        <v>68</v>
      </c>
      <c r="H59" s="21"/>
      <c r="I59" s="5"/>
      <c r="M59" s="5">
        <f>scrimecost*Meta!O56</f>
        <v>54.67</v>
      </c>
      <c r="N59" s="5">
        <f>L59-Grade15!L59</f>
        <v>0</v>
      </c>
      <c r="O59" s="5">
        <f>Grade15!M59-M59</f>
        <v>0.38499999999999801</v>
      </c>
      <c r="Q59" s="22"/>
      <c r="R59" s="22"/>
      <c r="S59" s="22">
        <f t="shared" si="19"/>
        <v>0.34765499999999822</v>
      </c>
      <c r="T59" s="22">
        <f t="shared" si="20"/>
        <v>5.7055452422656382E-2</v>
      </c>
    </row>
    <row r="60" spans="1:20" x14ac:dyDescent="0.2">
      <c r="A60" s="5">
        <v>69</v>
      </c>
      <c r="H60" s="21"/>
      <c r="I60" s="5"/>
      <c r="M60" s="5">
        <f>scrimecost*Meta!O57</f>
        <v>54.67</v>
      </c>
      <c r="N60" s="5">
        <f>L60-Grade15!L60</f>
        <v>0</v>
      </c>
      <c r="O60" s="5">
        <f>Grade15!M60-M60</f>
        <v>0.38499999999999801</v>
      </c>
      <c r="Q60" s="22"/>
      <c r="R60" s="22"/>
      <c r="S60" s="22">
        <f t="shared" si="19"/>
        <v>0.34765499999999822</v>
      </c>
      <c r="T60" s="22">
        <f t="shared" si="20"/>
        <v>5.4903267166233019E-2</v>
      </c>
    </row>
    <row r="61" spans="1:20" x14ac:dyDescent="0.2">
      <c r="A61" s="5">
        <v>70</v>
      </c>
      <c r="H61" s="21"/>
      <c r="I61" s="5"/>
      <c r="M61" s="5">
        <f>scrimecost*Meta!O58</f>
        <v>54.67</v>
      </c>
      <c r="N61" s="5">
        <f>L61-Grade15!L61</f>
        <v>0</v>
      </c>
      <c r="O61" s="5">
        <f>Grade15!M61-M61</f>
        <v>0.38499999999999801</v>
      </c>
      <c r="Q61" s="22"/>
      <c r="R61" s="22"/>
      <c r="S61" s="22">
        <f t="shared" si="19"/>
        <v>0.34765499999999822</v>
      </c>
      <c r="T61" s="22">
        <f t="shared" si="20"/>
        <v>5.2832264359186323E-2</v>
      </c>
    </row>
    <row r="62" spans="1:20" x14ac:dyDescent="0.2">
      <c r="A62" s="5">
        <v>71</v>
      </c>
      <c r="H62" s="21"/>
      <c r="I62" s="5"/>
      <c r="M62" s="5">
        <f>scrimecost*Meta!O59</f>
        <v>54.67</v>
      </c>
      <c r="N62" s="5">
        <f>L62-Grade15!L62</f>
        <v>0</v>
      </c>
      <c r="O62" s="5">
        <f>Grade15!M62-M62</f>
        <v>0.38499999999999801</v>
      </c>
      <c r="Q62" s="22"/>
      <c r="R62" s="22"/>
      <c r="S62" s="22">
        <f t="shared" si="19"/>
        <v>0.34765499999999822</v>
      </c>
      <c r="T62" s="22">
        <f t="shared" si="20"/>
        <v>5.0839381723272785E-2</v>
      </c>
    </row>
    <row r="63" spans="1:20" x14ac:dyDescent="0.2">
      <c r="A63" s="5">
        <v>72</v>
      </c>
      <c r="H63" s="21"/>
      <c r="M63" s="5">
        <f>scrimecost*Meta!O60</f>
        <v>54.67</v>
      </c>
      <c r="N63" s="5">
        <f>L63-Grade15!L63</f>
        <v>0</v>
      </c>
      <c r="O63" s="5">
        <f>Grade15!M63-M63</f>
        <v>0.38499999999999801</v>
      </c>
      <c r="Q63" s="22"/>
      <c r="R63" s="22"/>
      <c r="S63" s="22">
        <f t="shared" si="19"/>
        <v>0.34765499999999822</v>
      </c>
      <c r="T63" s="22">
        <f t="shared" si="20"/>
        <v>4.892167249226053E-2</v>
      </c>
    </row>
    <row r="64" spans="1:20" x14ac:dyDescent="0.2">
      <c r="A64" s="5">
        <v>73</v>
      </c>
      <c r="H64" s="21"/>
      <c r="M64" s="5">
        <f>scrimecost*Meta!O61</f>
        <v>54.67</v>
      </c>
      <c r="N64" s="5">
        <f>L64-Grade15!L64</f>
        <v>0</v>
      </c>
      <c r="O64" s="5">
        <f>Grade15!M64-M64</f>
        <v>0.38499999999999801</v>
      </c>
      <c r="Q64" s="22"/>
      <c r="R64" s="22"/>
      <c r="S64" s="22">
        <f t="shared" si="19"/>
        <v>0.34765499999999822</v>
      </c>
      <c r="T64" s="22">
        <f t="shared" si="20"/>
        <v>4.7076301054707857E-2</v>
      </c>
    </row>
    <row r="65" spans="1:20" x14ac:dyDescent="0.2">
      <c r="A65" s="5">
        <v>74</v>
      </c>
      <c r="H65" s="21"/>
      <c r="M65" s="5">
        <f>scrimecost*Meta!O62</f>
        <v>54.67</v>
      </c>
      <c r="N65" s="5">
        <f>L65-Grade15!L65</f>
        <v>0</v>
      </c>
      <c r="O65" s="5">
        <f>Grade15!M65-M65</f>
        <v>0.38499999999999801</v>
      </c>
      <c r="Q65" s="22"/>
      <c r="R65" s="22"/>
      <c r="S65" s="22">
        <f t="shared" si="19"/>
        <v>0.34765499999999822</v>
      </c>
      <c r="T65" s="22">
        <f t="shared" si="20"/>
        <v>4.530053876109999E-2</v>
      </c>
    </row>
    <row r="66" spans="1:20" x14ac:dyDescent="0.2">
      <c r="A66" s="5">
        <v>75</v>
      </c>
      <c r="H66" s="21"/>
      <c r="M66" s="5">
        <f>scrimecost*Meta!O63</f>
        <v>54.67</v>
      </c>
      <c r="N66" s="5">
        <f>L66-Grade15!L66</f>
        <v>0</v>
      </c>
      <c r="O66" s="5">
        <f>Grade15!M66-M66</f>
        <v>0.38499999999999801</v>
      </c>
      <c r="Q66" s="22"/>
      <c r="R66" s="22"/>
      <c r="S66" s="22">
        <f t="shared" si="19"/>
        <v>0.34765499999999822</v>
      </c>
      <c r="T66" s="22">
        <f t="shared" si="20"/>
        <v>4.3591759889144877E-2</v>
      </c>
    </row>
    <row r="67" spans="1:20" x14ac:dyDescent="0.2">
      <c r="A67" s="5">
        <v>76</v>
      </c>
      <c r="H67" s="21"/>
      <c r="M67" s="5">
        <f>scrimecost*Meta!O64</f>
        <v>54.67</v>
      </c>
      <c r="N67" s="5">
        <f>L67-Grade15!L67</f>
        <v>0</v>
      </c>
      <c r="O67" s="5">
        <f>Grade15!M67-M67</f>
        <v>0.38499999999999801</v>
      </c>
      <c r="Q67" s="22"/>
      <c r="R67" s="22"/>
      <c r="S67" s="22">
        <f t="shared" si="19"/>
        <v>0.34765499999999822</v>
      </c>
      <c r="T67" s="22">
        <f t="shared" si="20"/>
        <v>4.1947437761261593E-2</v>
      </c>
    </row>
    <row r="68" spans="1:20" x14ac:dyDescent="0.2">
      <c r="A68" s="5">
        <v>77</v>
      </c>
      <c r="H68" s="21"/>
      <c r="M68" s="5">
        <f>scrimecost*Meta!O65</f>
        <v>54.67</v>
      </c>
      <c r="N68" s="5">
        <f>L68-Grade15!L68</f>
        <v>0</v>
      </c>
      <c r="O68" s="5">
        <f>Grade15!M68-M68</f>
        <v>0.38499999999999801</v>
      </c>
      <c r="Q68" s="22"/>
      <c r="R68" s="22"/>
      <c r="S68" s="22">
        <f t="shared" si="19"/>
        <v>0.34765499999999822</v>
      </c>
      <c r="T68" s="22">
        <f t="shared" si="20"/>
        <v>4.036514100852083E-2</v>
      </c>
    </row>
    <row r="69" spans="1:20" x14ac:dyDescent="0.2">
      <c r="A69" s="5">
        <v>78</v>
      </c>
      <c r="H69" s="21"/>
      <c r="M69" s="5">
        <f>scrimecost*Meta!O66</f>
        <v>54.67</v>
      </c>
      <c r="N69" s="5">
        <f>L69-Grade15!L69</f>
        <v>0</v>
      </c>
      <c r="O69" s="5">
        <f>Grade15!M69-M69</f>
        <v>0.38499999999999801</v>
      </c>
      <c r="Q69" s="22"/>
      <c r="R69" s="22"/>
      <c r="S69" s="22">
        <f t="shared" si="19"/>
        <v>0.34765499999999822</v>
      </c>
      <c r="T69" s="22">
        <f t="shared" si="20"/>
        <v>3.8842529975513011E-2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7.8225186640745736E-8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Meta!A11+6</f>
        <v>23</v>
      </c>
      <c r="C2" s="7">
        <f>Meta!B11</f>
        <v>296241</v>
      </c>
      <c r="D2" s="7">
        <f>Meta!C11</f>
        <v>124605</v>
      </c>
      <c r="E2" s="1">
        <f>Meta!D11</f>
        <v>0.03</v>
      </c>
      <c r="F2" s="1">
        <f>Meta!F11</f>
        <v>0.77700000000000002</v>
      </c>
      <c r="G2" s="1">
        <f>Meta!I11</f>
        <v>1.7595535582220223</v>
      </c>
      <c r="H2" s="1">
        <f>Meta!E11</f>
        <v>0.70699999999999996</v>
      </c>
      <c r="I2" s="13"/>
      <c r="J2" s="1">
        <f>Meta!X10</f>
        <v>0.77700000000000002</v>
      </c>
      <c r="K2" s="1">
        <f>Meta!D10</f>
        <v>0.03</v>
      </c>
      <c r="L2" s="29"/>
      <c r="N2" s="22">
        <f>Meta!T11</f>
        <v>333459</v>
      </c>
      <c r="O2" s="22">
        <f>Meta!U11</f>
        <v>137411</v>
      </c>
      <c r="P2" s="1">
        <f>Meta!V11</f>
        <v>2.7E-2</v>
      </c>
      <c r="Q2" s="1">
        <f>Meta!X11</f>
        <v>0.77700000000000002</v>
      </c>
      <c r="R2" s="22">
        <f>Meta!W11</f>
        <v>994</v>
      </c>
      <c r="T2" s="12">
        <f>IRR(S5:S69)+1</f>
        <v>1.0404276662698206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6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B13" s="1">
        <v>1</v>
      </c>
      <c r="C13" s="5">
        <f>0.1*Grade16!C13</f>
        <v>16113.718224894352</v>
      </c>
      <c r="D13" s="5">
        <f t="shared" ref="D13:D36" si="0">IF(A13&lt;startage,1,0)*(C13*(1-initialunempprob))+IF(A13=startage,1,0)*(C13*(1-unempprob))+IF(A13&gt;startage,1,0)*(C13*(1-unempprob)+unempprob*300*52)</f>
        <v>15630.306678147521</v>
      </c>
      <c r="E13" s="5">
        <f t="shared" ref="E13:E56" si="1">IF(D13-9500&gt;0,1,0)*(D13-9500)</f>
        <v>6130.3066781475209</v>
      </c>
      <c r="F13" s="5">
        <f t="shared" ref="F13:F56" si="2">IF(E13&lt;=8500,1,0)*(0.1*E13+0.1*E13+0.0765*D13)+IF(AND(E13&gt;8500,E13&lt;=34500),1,0)*(850+0.15*(E13-8500)+0.1*E13+0.0765*D13)+IF(AND(E13&gt;34500,E13&lt;=83600),1,0)*(4750+0.25*(E13-34500)+0.1*E13+0.0765*D13)+IF(AND(E13&gt;83600,E13&lt;=174400,D13&lt;=106800),1,0)*(17025+0.28*(E13-83600)+0.1*E13+0.0765*D13)+IF(AND(E13&gt;83600,E13&lt;=174400,D13&gt;106800),1,0)*(17025+0.28*(E13-83600)+0.1*E13+8170.2+0.0145*(D13-106800))+IF(AND(E13&gt;174400,E13&lt;=379150),1,0)*(42449+0.33*(E13-174400)+0.1*E13+8170.2+0.0145*(D13-106800))+IF(E13&gt;379150,1,0)*(110016.5+0.35*(E13-379150)+0.1*E13+8170.2+0.0145*(D13-106800))</f>
        <v>2421.7797965077893</v>
      </c>
      <c r="G13" s="5">
        <f t="shared" ref="G13:G56" si="3">D13-F13</f>
        <v>13208.526881639731</v>
      </c>
      <c r="H13" s="22">
        <f>0.1*Grade16!H13</f>
        <v>6807.6153453116713</v>
      </c>
      <c r="I13" s="5">
        <f t="shared" ref="I13:I36" si="4">G13+IF(A13&lt;startage,1,0)*(H13*(1-initialunempprob))+IF(A13&gt;=startage,1,0)*(H13*(1-unempprob))</f>
        <v>19811.91376659205</v>
      </c>
      <c r="J13" s="26">
        <f t="shared" ref="J13:J56" si="5">(F13-(IF(A13&gt;startage,1,0)*(unempprob*300*52)))/(IF(A13&lt;startage,1,0)*((C13+H13)*(1-initialunempprob))+IF(A13&gt;=startage,1,0)*((C13+H13)*(1-unempprob)))</f>
        <v>0.10892386321843965</v>
      </c>
      <c r="L13" s="22">
        <f>0.1*Grade16!L13</f>
        <v>24093.814927731262</v>
      </c>
      <c r="M13" s="5">
        <f>scrimecost*Meta!O10</f>
        <v>2791.152</v>
      </c>
      <c r="N13" s="5">
        <f>L13-Grade16!L13</f>
        <v>-216844.33434958136</v>
      </c>
      <c r="O13" s="5"/>
      <c r="P13" s="22"/>
      <c r="Q13" s="22">
        <f>0.05*feel*Grade16!G13</f>
        <v>1372.1806971065657</v>
      </c>
      <c r="R13" s="22">
        <f>coltuition</f>
        <v>8279</v>
      </c>
      <c r="S13" s="22">
        <f t="shared" ref="S13:S44" si="6">IF(A13&lt;startage,1,0)*(N13-Q13-R13)+IF(A13&gt;=startage,1,0)*completionprob*(N13*spart+O13+P13)</f>
        <v>-226495.51504668791</v>
      </c>
      <c r="T13" s="22">
        <f t="shared" ref="T13:T44" si="7">S13/sreturn^(A13-startage+1)</f>
        <v>-226495.51504668791</v>
      </c>
    </row>
    <row r="14" spans="1:20" x14ac:dyDescent="0.2">
      <c r="A14" s="5">
        <v>23</v>
      </c>
      <c r="B14" s="1">
        <f t="shared" ref="B14:B36" si="8">(1+experiencepremium)^(A14-startage)</f>
        <v>1</v>
      </c>
      <c r="C14" s="5">
        <f t="shared" ref="C14:C36" si="9">pretaxincome*B14/expnorm</f>
        <v>168361.45658410245</v>
      </c>
      <c r="D14" s="5">
        <f t="shared" si="0"/>
        <v>163310.61288657936</v>
      </c>
      <c r="E14" s="5">
        <f t="shared" si="1"/>
        <v>153810.61288657936</v>
      </c>
      <c r="F14" s="5">
        <f t="shared" si="2"/>
        <v>61054.636783755552</v>
      </c>
      <c r="G14" s="5">
        <f t="shared" si="3"/>
        <v>102255.9761028238</v>
      </c>
      <c r="H14" s="22">
        <f t="shared" ref="H14:H36" si="10">benefits*B14/expnorm</f>
        <v>70816.258713892021</v>
      </c>
      <c r="I14" s="5">
        <f t="shared" si="4"/>
        <v>170947.74705529906</v>
      </c>
      <c r="J14" s="26">
        <f t="shared" si="5"/>
        <v>0.26316383380832226</v>
      </c>
      <c r="L14" s="22">
        <f t="shared" ref="L14:L36" si="11">(sincome+sbenefits)*(1-sunemp)*B14/expnorm</f>
        <v>260382.24745085556</v>
      </c>
      <c r="M14" s="5">
        <f>scrimecost*Meta!O11</f>
        <v>2608.2560000000003</v>
      </c>
      <c r="N14" s="5">
        <f>L14-Grade16!L14</f>
        <v>13420.644441610144</v>
      </c>
      <c r="O14" s="5">
        <f>Grade16!M14-M14</f>
        <v>0</v>
      </c>
      <c r="P14" s="22">
        <f t="shared" ref="P14:P56" si="12">(spart-initialspart)*(L14*J14+nptrans)</f>
        <v>0</v>
      </c>
      <c r="Q14" s="22"/>
      <c r="R14" s="22"/>
      <c r="S14" s="22">
        <f t="shared" si="6"/>
        <v>7372.4833969096744</v>
      </c>
      <c r="T14" s="22">
        <f t="shared" si="7"/>
        <v>7086.0124503818433</v>
      </c>
    </row>
    <row r="15" spans="1:20" x14ac:dyDescent="0.2">
      <c r="A15" s="5">
        <v>24</v>
      </c>
      <c r="B15" s="1">
        <f t="shared" si="8"/>
        <v>1.0249999999999999</v>
      </c>
      <c r="C15" s="5">
        <f t="shared" si="9"/>
        <v>172570.49299870498</v>
      </c>
      <c r="D15" s="5">
        <f t="shared" si="0"/>
        <v>167861.37820874382</v>
      </c>
      <c r="E15" s="5">
        <f t="shared" si="1"/>
        <v>158361.37820874382</v>
      </c>
      <c r="F15" s="5">
        <f t="shared" si="2"/>
        <v>62849.913703349433</v>
      </c>
      <c r="G15" s="5">
        <f t="shared" si="3"/>
        <v>105011.46450539438</v>
      </c>
      <c r="H15" s="22">
        <f t="shared" si="10"/>
        <v>72586.665181739314</v>
      </c>
      <c r="I15" s="5">
        <f t="shared" si="4"/>
        <v>175420.52973168151</v>
      </c>
      <c r="J15" s="26">
        <f t="shared" si="5"/>
        <v>0.26232663046791838</v>
      </c>
      <c r="L15" s="22">
        <f t="shared" si="11"/>
        <v>266891.80363712693</v>
      </c>
      <c r="M15" s="5">
        <f>scrimecost*Meta!O12</f>
        <v>2491.9580000000001</v>
      </c>
      <c r="N15" s="5">
        <f>L15-Grade16!L15</f>
        <v>13756.160552650341</v>
      </c>
      <c r="O15" s="5">
        <f>Grade16!M15-M15</f>
        <v>0</v>
      </c>
      <c r="P15" s="22">
        <f t="shared" si="12"/>
        <v>0</v>
      </c>
      <c r="Q15" s="22"/>
      <c r="R15" s="22"/>
      <c r="S15" s="22">
        <f t="shared" si="6"/>
        <v>7556.7954818323851</v>
      </c>
      <c r="T15" s="22">
        <f t="shared" si="7"/>
        <v>6980.9396627076594</v>
      </c>
    </row>
    <row r="16" spans="1:20" x14ac:dyDescent="0.2">
      <c r="A16" s="5">
        <v>25</v>
      </c>
      <c r="B16" s="1">
        <f t="shared" si="8"/>
        <v>1.0506249999999999</v>
      </c>
      <c r="C16" s="5">
        <f t="shared" si="9"/>
        <v>176884.75532367264</v>
      </c>
      <c r="D16" s="5">
        <f t="shared" si="0"/>
        <v>172046.21266396245</v>
      </c>
      <c r="E16" s="5">
        <f t="shared" si="1"/>
        <v>162546.21266396245</v>
      </c>
      <c r="F16" s="5">
        <f t="shared" si="2"/>
        <v>64500.830895933184</v>
      </c>
      <c r="G16" s="5">
        <f t="shared" si="3"/>
        <v>107545.38176802927</v>
      </c>
      <c r="H16" s="22">
        <f t="shared" si="10"/>
        <v>74401.331811282798</v>
      </c>
      <c r="I16" s="5">
        <f t="shared" si="4"/>
        <v>179714.67362497357</v>
      </c>
      <c r="J16" s="26">
        <f t="shared" si="5"/>
        <v>0.26270148292099105</v>
      </c>
      <c r="L16" s="22">
        <f t="shared" si="11"/>
        <v>273564.09872805513</v>
      </c>
      <c r="M16" s="5">
        <f>scrimecost*Meta!O13</f>
        <v>2092.37</v>
      </c>
      <c r="N16" s="5">
        <f>L16-Grade16!L16</f>
        <v>14100.064566466666</v>
      </c>
      <c r="O16" s="5">
        <f>Grade16!M16-M16</f>
        <v>0</v>
      </c>
      <c r="P16" s="22">
        <f t="shared" si="12"/>
        <v>0</v>
      </c>
      <c r="Q16" s="22"/>
      <c r="R16" s="22"/>
      <c r="S16" s="22">
        <f t="shared" si="6"/>
        <v>7745.7153688782309</v>
      </c>
      <c r="T16" s="22">
        <f t="shared" si="7"/>
        <v>6877.4249150153919</v>
      </c>
    </row>
    <row r="17" spans="1:20" x14ac:dyDescent="0.2">
      <c r="A17" s="5">
        <v>26</v>
      </c>
      <c r="B17" s="1">
        <f t="shared" si="8"/>
        <v>1.0768906249999999</v>
      </c>
      <c r="C17" s="5">
        <f t="shared" si="9"/>
        <v>181306.87420676445</v>
      </c>
      <c r="D17" s="5">
        <f t="shared" si="0"/>
        <v>176335.6679805615</v>
      </c>
      <c r="E17" s="5">
        <f t="shared" si="1"/>
        <v>166835.6679805615</v>
      </c>
      <c r="F17" s="5">
        <f t="shared" si="2"/>
        <v>66193.021018331521</v>
      </c>
      <c r="G17" s="5">
        <f t="shared" si="3"/>
        <v>110142.64696222998</v>
      </c>
      <c r="H17" s="22">
        <f t="shared" si="10"/>
        <v>76261.365106564859</v>
      </c>
      <c r="I17" s="5">
        <f t="shared" si="4"/>
        <v>184116.17111559788</v>
      </c>
      <c r="J17" s="26">
        <f t="shared" si="5"/>
        <v>0.2630671926313059</v>
      </c>
      <c r="L17" s="22">
        <f t="shared" si="11"/>
        <v>280403.2011962565</v>
      </c>
      <c r="M17" s="5">
        <f>scrimecost*Meta!O14</f>
        <v>2092.37</v>
      </c>
      <c r="N17" s="5">
        <f>L17-Grade16!L17</f>
        <v>14452.566180628375</v>
      </c>
      <c r="O17" s="5">
        <f>Grade16!M17-M17</f>
        <v>0</v>
      </c>
      <c r="P17" s="22">
        <f t="shared" si="12"/>
        <v>0</v>
      </c>
      <c r="Q17" s="22"/>
      <c r="R17" s="22"/>
      <c r="S17" s="22">
        <f t="shared" si="6"/>
        <v>7939.3582531002112</v>
      </c>
      <c r="T17" s="22">
        <f t="shared" si="7"/>
        <v>6775.4451043813788</v>
      </c>
    </row>
    <row r="18" spans="1:20" x14ac:dyDescent="0.2">
      <c r="A18" s="5">
        <v>27</v>
      </c>
      <c r="B18" s="1">
        <f t="shared" si="8"/>
        <v>1.1038128906249998</v>
      </c>
      <c r="C18" s="5">
        <f t="shared" si="9"/>
        <v>185839.54606193354</v>
      </c>
      <c r="D18" s="5">
        <f t="shared" si="0"/>
        <v>180732.35968007552</v>
      </c>
      <c r="E18" s="5">
        <f t="shared" si="1"/>
        <v>171232.35968007552</v>
      </c>
      <c r="F18" s="5">
        <f t="shared" si="2"/>
        <v>67927.515893789809</v>
      </c>
      <c r="G18" s="5">
        <f t="shared" si="3"/>
        <v>112804.84378628571</v>
      </c>
      <c r="H18" s="22">
        <f t="shared" si="10"/>
        <v>78167.899234228971</v>
      </c>
      <c r="I18" s="5">
        <f t="shared" si="4"/>
        <v>188627.70604348782</v>
      </c>
      <c r="J18" s="26">
        <f t="shared" si="5"/>
        <v>0.26342398259258865</v>
      </c>
      <c r="L18" s="22">
        <f t="shared" si="11"/>
        <v>287413.28122616286</v>
      </c>
      <c r="M18" s="5">
        <f>scrimecost*Meta!O15</f>
        <v>2092.37</v>
      </c>
      <c r="N18" s="5">
        <f>L18-Grade16!L18</f>
        <v>14813.880335144058</v>
      </c>
      <c r="O18" s="5">
        <f>Grade16!M18-M18</f>
        <v>0</v>
      </c>
      <c r="P18" s="22">
        <f t="shared" si="12"/>
        <v>0</v>
      </c>
      <c r="Q18" s="22"/>
      <c r="R18" s="22"/>
      <c r="S18" s="22">
        <f t="shared" si="6"/>
        <v>8137.8422094277012</v>
      </c>
      <c r="T18" s="22">
        <f t="shared" si="7"/>
        <v>6674.9774704567053</v>
      </c>
    </row>
    <row r="19" spans="1:20" x14ac:dyDescent="0.2">
      <c r="A19" s="5">
        <v>28</v>
      </c>
      <c r="B19" s="1">
        <f t="shared" si="8"/>
        <v>1.1314082128906247</v>
      </c>
      <c r="C19" s="5">
        <f t="shared" si="9"/>
        <v>190485.53471348184</v>
      </c>
      <c r="D19" s="5">
        <f t="shared" si="0"/>
        <v>185238.96867207738</v>
      </c>
      <c r="E19" s="5">
        <f t="shared" si="1"/>
        <v>175738.96867207738</v>
      </c>
      <c r="F19" s="5">
        <f t="shared" si="2"/>
        <v>69772.321574738395</v>
      </c>
      <c r="G19" s="5">
        <f t="shared" si="3"/>
        <v>115466.64709733898</v>
      </c>
      <c r="H19" s="22">
        <f t="shared" si="10"/>
        <v>80122.096715084699</v>
      </c>
      <c r="I19" s="5">
        <f t="shared" si="4"/>
        <v>193185.08091097116</v>
      </c>
      <c r="J19" s="26">
        <f t="shared" si="5"/>
        <v>0.26402712230834335</v>
      </c>
      <c r="L19" s="22">
        <f t="shared" si="11"/>
        <v>294598.61325681693</v>
      </c>
      <c r="M19" s="5">
        <f>scrimecost*Meta!O16</f>
        <v>2092.37</v>
      </c>
      <c r="N19" s="5">
        <f>L19-Grade16!L19</f>
        <v>15184.227343522653</v>
      </c>
      <c r="O19" s="5">
        <f>Grade16!M19-M19</f>
        <v>0</v>
      </c>
      <c r="P19" s="22">
        <f t="shared" si="12"/>
        <v>0</v>
      </c>
      <c r="Q19" s="22"/>
      <c r="R19" s="22"/>
      <c r="S19" s="22">
        <f t="shared" si="6"/>
        <v>8341.2882646633898</v>
      </c>
      <c r="T19" s="22">
        <f t="shared" si="7"/>
        <v>6575.9995903874578</v>
      </c>
    </row>
    <row r="20" spans="1:20" x14ac:dyDescent="0.2">
      <c r="A20" s="5">
        <v>29</v>
      </c>
      <c r="B20" s="1">
        <f t="shared" si="8"/>
        <v>1.1596934182128902</v>
      </c>
      <c r="C20" s="5">
        <f t="shared" si="9"/>
        <v>195247.67308131888</v>
      </c>
      <c r="D20" s="5">
        <f t="shared" si="0"/>
        <v>189858.24288887929</v>
      </c>
      <c r="E20" s="5">
        <f t="shared" si="1"/>
        <v>180358.24288887929</v>
      </c>
      <c r="F20" s="5">
        <f t="shared" si="2"/>
        <v>71825.58896410685</v>
      </c>
      <c r="G20" s="5">
        <f t="shared" si="3"/>
        <v>118032.65392477244</v>
      </c>
      <c r="H20" s="22">
        <f t="shared" si="10"/>
        <v>82125.149132961815</v>
      </c>
      <c r="I20" s="5">
        <f t="shared" si="4"/>
        <v>197694.0485837454</v>
      </c>
      <c r="J20" s="26">
        <f t="shared" si="5"/>
        <v>0.26521893571978544</v>
      </c>
      <c r="L20" s="22">
        <f t="shared" si="11"/>
        <v>301963.57858823729</v>
      </c>
      <c r="M20" s="5">
        <f>scrimecost*Meta!O17</f>
        <v>2092.37</v>
      </c>
      <c r="N20" s="5">
        <f>L20-Grade16!L20</f>
        <v>15563.833027110668</v>
      </c>
      <c r="O20" s="5">
        <f>Grade16!M20-M20</f>
        <v>0</v>
      </c>
      <c r="P20" s="22">
        <f t="shared" si="12"/>
        <v>0</v>
      </c>
      <c r="Q20" s="22"/>
      <c r="R20" s="22"/>
      <c r="S20" s="22">
        <f t="shared" si="6"/>
        <v>8549.820471279947</v>
      </c>
      <c r="T20" s="22">
        <f t="shared" si="7"/>
        <v>6478.4893738101455</v>
      </c>
    </row>
    <row r="21" spans="1:20" x14ac:dyDescent="0.2">
      <c r="A21" s="5">
        <v>30</v>
      </c>
      <c r="B21" s="1">
        <f t="shared" si="8"/>
        <v>1.1886857536682125</v>
      </c>
      <c r="C21" s="5">
        <f t="shared" si="9"/>
        <v>200128.86490835185</v>
      </c>
      <c r="D21" s="5">
        <f t="shared" si="0"/>
        <v>194592.99896110129</v>
      </c>
      <c r="E21" s="5">
        <f t="shared" si="1"/>
        <v>185092.99896110129</v>
      </c>
      <c r="F21" s="5">
        <f t="shared" si="2"/>
        <v>73930.188038209526</v>
      </c>
      <c r="G21" s="5">
        <f t="shared" si="3"/>
        <v>120662.81092289176</v>
      </c>
      <c r="H21" s="22">
        <f t="shared" si="10"/>
        <v>84178.277861285853</v>
      </c>
      <c r="I21" s="5">
        <f t="shared" si="4"/>
        <v>202315.74044833903</v>
      </c>
      <c r="J21" s="26">
        <f t="shared" si="5"/>
        <v>0.2663816805114364</v>
      </c>
      <c r="L21" s="22">
        <f t="shared" si="11"/>
        <v>309512.66805294325</v>
      </c>
      <c r="M21" s="5">
        <f>scrimecost*Meta!O18</f>
        <v>1686.818</v>
      </c>
      <c r="N21" s="5">
        <f>L21-Grade16!L21</f>
        <v>15952.928852788464</v>
      </c>
      <c r="O21" s="5">
        <f>Grade16!M21-M21</f>
        <v>0</v>
      </c>
      <c r="P21" s="22">
        <f t="shared" si="12"/>
        <v>0</v>
      </c>
      <c r="Q21" s="22"/>
      <c r="R21" s="22"/>
      <c r="S21" s="22">
        <f t="shared" si="6"/>
        <v>8763.5659830619607</v>
      </c>
      <c r="T21" s="22">
        <f t="shared" si="7"/>
        <v>6382.425057921615</v>
      </c>
    </row>
    <row r="22" spans="1:20" x14ac:dyDescent="0.2">
      <c r="A22" s="5">
        <v>31</v>
      </c>
      <c r="B22" s="1">
        <f t="shared" si="8"/>
        <v>1.2184028975099177</v>
      </c>
      <c r="C22" s="5">
        <f t="shared" si="9"/>
        <v>205132.08653106063</v>
      </c>
      <c r="D22" s="5">
        <f t="shared" si="0"/>
        <v>199446.12393512879</v>
      </c>
      <c r="E22" s="5">
        <f t="shared" si="1"/>
        <v>189946.12393512879</v>
      </c>
      <c r="F22" s="5">
        <f t="shared" si="2"/>
        <v>76087.402089164752</v>
      </c>
      <c r="G22" s="5">
        <f t="shared" si="3"/>
        <v>123358.72184596404</v>
      </c>
      <c r="H22" s="22">
        <f t="shared" si="10"/>
        <v>86282.734807817993</v>
      </c>
      <c r="I22" s="5">
        <f t="shared" si="4"/>
        <v>207052.9746095475</v>
      </c>
      <c r="J22" s="26">
        <f t="shared" si="5"/>
        <v>0.26751606567402259</v>
      </c>
      <c r="L22" s="22">
        <f t="shared" si="11"/>
        <v>317250.48475426686</v>
      </c>
      <c r="M22" s="5">
        <f>scrimecost*Meta!O19</f>
        <v>1686.818</v>
      </c>
      <c r="N22" s="5">
        <f>L22-Grade16!L22</f>
        <v>16351.752074108226</v>
      </c>
      <c r="O22" s="5">
        <f>Grade16!M22-M22</f>
        <v>0</v>
      </c>
      <c r="P22" s="22">
        <f t="shared" si="12"/>
        <v>0</v>
      </c>
      <c r="Q22" s="22"/>
      <c r="R22" s="22"/>
      <c r="S22" s="22">
        <f t="shared" si="6"/>
        <v>8982.6551326385397</v>
      </c>
      <c r="T22" s="22">
        <f t="shared" si="7"/>
        <v>6287.7852026217679</v>
      </c>
    </row>
    <row r="23" spans="1:20" x14ac:dyDescent="0.2">
      <c r="A23" s="5">
        <v>32</v>
      </c>
      <c r="B23" s="1">
        <f t="shared" si="8"/>
        <v>1.2488629699476654</v>
      </c>
      <c r="C23" s="5">
        <f t="shared" si="9"/>
        <v>210260.38869433713</v>
      </c>
      <c r="D23" s="5">
        <f t="shared" si="0"/>
        <v>204420.57703350703</v>
      </c>
      <c r="E23" s="5">
        <f t="shared" si="1"/>
        <v>194920.57703350703</v>
      </c>
      <c r="F23" s="5">
        <f t="shared" si="2"/>
        <v>78298.546491393863</v>
      </c>
      <c r="G23" s="5">
        <f t="shared" si="3"/>
        <v>126122.03054211316</v>
      </c>
      <c r="H23" s="22">
        <f t="shared" si="10"/>
        <v>88439.803178013433</v>
      </c>
      <c r="I23" s="5">
        <f t="shared" si="4"/>
        <v>211908.63962478618</v>
      </c>
      <c r="J23" s="26">
        <f t="shared" si="5"/>
        <v>0.26862278290581398</v>
      </c>
      <c r="L23" s="22">
        <f t="shared" si="11"/>
        <v>325181.7468731234</v>
      </c>
      <c r="M23" s="5">
        <f>scrimecost*Meta!O20</f>
        <v>1686.818</v>
      </c>
      <c r="N23" s="5">
        <f>L23-Grade16!L23</f>
        <v>16760.545875960845</v>
      </c>
      <c r="O23" s="5">
        <f>Grade16!M23-M23</f>
        <v>0</v>
      </c>
      <c r="P23" s="22">
        <f t="shared" si="12"/>
        <v>0</v>
      </c>
      <c r="Q23" s="22"/>
      <c r="R23" s="22"/>
      <c r="S23" s="22">
        <f t="shared" si="6"/>
        <v>9207.2215109544541</v>
      </c>
      <c r="T23" s="22">
        <f t="shared" si="7"/>
        <v>6194.5486857284905</v>
      </c>
    </row>
    <row r="24" spans="1:20" x14ac:dyDescent="0.2">
      <c r="A24" s="5">
        <v>33</v>
      </c>
      <c r="B24" s="1">
        <f t="shared" si="8"/>
        <v>1.2800845441963571</v>
      </c>
      <c r="C24" s="5">
        <f t="shared" si="9"/>
        <v>215516.89841169555</v>
      </c>
      <c r="D24" s="5">
        <f t="shared" si="0"/>
        <v>209519.39145934468</v>
      </c>
      <c r="E24" s="5">
        <f t="shared" si="1"/>
        <v>200019.39145934468</v>
      </c>
      <c r="F24" s="5">
        <f t="shared" si="2"/>
        <v>80564.969503678702</v>
      </c>
      <c r="G24" s="5">
        <f t="shared" si="3"/>
        <v>128954.42195566598</v>
      </c>
      <c r="H24" s="22">
        <f t="shared" si="10"/>
        <v>90650.798257463772</v>
      </c>
      <c r="I24" s="5">
        <f t="shared" si="4"/>
        <v>216885.69626540586</v>
      </c>
      <c r="J24" s="26">
        <f t="shared" si="5"/>
        <v>0.26970250703439097</v>
      </c>
      <c r="L24" s="22">
        <f t="shared" si="11"/>
        <v>333311.29054495151</v>
      </c>
      <c r="M24" s="5">
        <f>scrimecost*Meta!O21</f>
        <v>1686.818</v>
      </c>
      <c r="N24" s="5">
        <f>L24-Grade16!L24</f>
        <v>17179.559522859869</v>
      </c>
      <c r="O24" s="5">
        <f>Grade16!M24-M24</f>
        <v>0</v>
      </c>
      <c r="P24" s="22">
        <f t="shared" si="12"/>
        <v>0</v>
      </c>
      <c r="Q24" s="22"/>
      <c r="R24" s="22"/>
      <c r="S24" s="22">
        <f t="shared" si="6"/>
        <v>9437.4020487283178</v>
      </c>
      <c r="T24" s="22">
        <f t="shared" si="7"/>
        <v>6102.6946982636946</v>
      </c>
    </row>
    <row r="25" spans="1:20" x14ac:dyDescent="0.2">
      <c r="A25" s="5">
        <v>34</v>
      </c>
      <c r="B25" s="1">
        <f t="shared" si="8"/>
        <v>1.312086657801266</v>
      </c>
      <c r="C25" s="5">
        <f t="shared" si="9"/>
        <v>220904.82087198793</v>
      </c>
      <c r="D25" s="5">
        <f t="shared" si="0"/>
        <v>214745.67624582828</v>
      </c>
      <c r="E25" s="5">
        <f t="shared" si="1"/>
        <v>205245.67624582828</v>
      </c>
      <c r="F25" s="5">
        <f t="shared" si="2"/>
        <v>82888.053091270674</v>
      </c>
      <c r="G25" s="5">
        <f t="shared" si="3"/>
        <v>131857.6231545576</v>
      </c>
      <c r="H25" s="22">
        <f t="shared" si="10"/>
        <v>92917.068213900362</v>
      </c>
      <c r="I25" s="5">
        <f t="shared" si="4"/>
        <v>221987.17932204093</v>
      </c>
      <c r="J25" s="26">
        <f t="shared" si="5"/>
        <v>0.2707558964281247</v>
      </c>
      <c r="L25" s="22">
        <f t="shared" si="11"/>
        <v>341644.07280857529</v>
      </c>
      <c r="M25" s="5">
        <f>scrimecost*Meta!O22</f>
        <v>1686.818</v>
      </c>
      <c r="N25" s="5">
        <f>L25-Grade16!L25</f>
        <v>17609.048510931374</v>
      </c>
      <c r="O25" s="5">
        <f>Grade16!M25-M25</f>
        <v>0</v>
      </c>
      <c r="P25" s="22">
        <f t="shared" si="12"/>
        <v>0</v>
      </c>
      <c r="Q25" s="22"/>
      <c r="R25" s="22"/>
      <c r="S25" s="22">
        <f t="shared" si="6"/>
        <v>9673.3370999465296</v>
      </c>
      <c r="T25" s="22">
        <f t="shared" si="7"/>
        <v>6012.2027398087985</v>
      </c>
    </row>
    <row r="26" spans="1:20" x14ac:dyDescent="0.2">
      <c r="A26" s="5">
        <v>35</v>
      </c>
      <c r="B26" s="1">
        <f t="shared" si="8"/>
        <v>1.3448888242462975</v>
      </c>
      <c r="C26" s="5">
        <f t="shared" si="9"/>
        <v>226427.44139378759</v>
      </c>
      <c r="D26" s="5">
        <f t="shared" si="0"/>
        <v>220102.61815197396</v>
      </c>
      <c r="E26" s="5">
        <f t="shared" si="1"/>
        <v>210602.61815197396</v>
      </c>
      <c r="F26" s="5">
        <f t="shared" si="2"/>
        <v>85269.213768552436</v>
      </c>
      <c r="G26" s="5">
        <f t="shared" si="3"/>
        <v>134833.40438342153</v>
      </c>
      <c r="H26" s="22">
        <f t="shared" si="10"/>
        <v>95239.994919247853</v>
      </c>
      <c r="I26" s="5">
        <f t="shared" si="4"/>
        <v>227216.19945509193</v>
      </c>
      <c r="J26" s="26">
        <f t="shared" si="5"/>
        <v>0.27178359339762093</v>
      </c>
      <c r="L26" s="22">
        <f t="shared" si="11"/>
        <v>350185.17462878965</v>
      </c>
      <c r="M26" s="5">
        <f>scrimecost*Meta!O23</f>
        <v>1309.098</v>
      </c>
      <c r="N26" s="5">
        <f>L26-Grade16!L26</f>
        <v>18049.274723704671</v>
      </c>
      <c r="O26" s="5">
        <f>Grade16!M26-M26</f>
        <v>0</v>
      </c>
      <c r="P26" s="22">
        <f t="shared" si="12"/>
        <v>0</v>
      </c>
      <c r="Q26" s="22"/>
      <c r="R26" s="22"/>
      <c r="S26" s="22">
        <f t="shared" si="6"/>
        <v>9915.1705274451997</v>
      </c>
      <c r="T26" s="22">
        <f t="shared" si="7"/>
        <v>5923.0526139294934</v>
      </c>
    </row>
    <row r="27" spans="1:20" x14ac:dyDescent="0.2">
      <c r="A27" s="5">
        <v>36</v>
      </c>
      <c r="B27" s="1">
        <f t="shared" si="8"/>
        <v>1.3785110448524549</v>
      </c>
      <c r="C27" s="5">
        <f t="shared" si="9"/>
        <v>232088.12742863229</v>
      </c>
      <c r="D27" s="5">
        <f t="shared" si="0"/>
        <v>225593.4836057733</v>
      </c>
      <c r="E27" s="5">
        <f t="shared" si="1"/>
        <v>216093.4836057733</v>
      </c>
      <c r="F27" s="5">
        <f t="shared" si="2"/>
        <v>87709.903462766233</v>
      </c>
      <c r="G27" s="5">
        <f t="shared" si="3"/>
        <v>137883.58014300707</v>
      </c>
      <c r="H27" s="22">
        <f t="shared" si="10"/>
        <v>97620.994792229059</v>
      </c>
      <c r="I27" s="5">
        <f t="shared" si="4"/>
        <v>232575.94509146927</v>
      </c>
      <c r="J27" s="26">
        <f t="shared" si="5"/>
        <v>0.27278622458737328</v>
      </c>
      <c r="L27" s="22">
        <f t="shared" si="11"/>
        <v>358939.80399450939</v>
      </c>
      <c r="M27" s="5">
        <f>scrimecost*Meta!O24</f>
        <v>1309.098</v>
      </c>
      <c r="N27" s="5">
        <f>L27-Grade16!L27</f>
        <v>18500.506591797341</v>
      </c>
      <c r="O27" s="5">
        <f>Grade16!M27-M27</f>
        <v>0</v>
      </c>
      <c r="P27" s="22">
        <f t="shared" si="12"/>
        <v>0</v>
      </c>
      <c r="Q27" s="22"/>
      <c r="R27" s="22"/>
      <c r="S27" s="22">
        <f t="shared" si="6"/>
        <v>10163.049790631359</v>
      </c>
      <c r="T27" s="22">
        <f t="shared" si="7"/>
        <v>5835.2244236681845</v>
      </c>
    </row>
    <row r="28" spans="1:20" x14ac:dyDescent="0.2">
      <c r="A28" s="5">
        <v>37</v>
      </c>
      <c r="B28" s="1">
        <f t="shared" si="8"/>
        <v>1.4129738209737661</v>
      </c>
      <c r="C28" s="5">
        <f t="shared" si="9"/>
        <v>237890.33061434806</v>
      </c>
      <c r="D28" s="5">
        <f t="shared" si="0"/>
        <v>231221.62069591761</v>
      </c>
      <c r="E28" s="5">
        <f t="shared" si="1"/>
        <v>221721.62069591761</v>
      </c>
      <c r="F28" s="5">
        <f t="shared" si="2"/>
        <v>90211.610399335375</v>
      </c>
      <c r="G28" s="5">
        <f t="shared" si="3"/>
        <v>141010.01029658224</v>
      </c>
      <c r="H28" s="22">
        <f t="shared" si="10"/>
        <v>100061.51966203477</v>
      </c>
      <c r="I28" s="5">
        <f t="shared" si="4"/>
        <v>238069.68436875596</v>
      </c>
      <c r="J28" s="26">
        <f t="shared" si="5"/>
        <v>0.27376440135786351</v>
      </c>
      <c r="L28" s="22">
        <f t="shared" si="11"/>
        <v>367913.29909437208</v>
      </c>
      <c r="M28" s="5">
        <f>scrimecost*Meta!O25</f>
        <v>1309.098</v>
      </c>
      <c r="N28" s="5">
        <f>L28-Grade16!L28</f>
        <v>18963.019256592146</v>
      </c>
      <c r="O28" s="5">
        <f>Grade16!M28-M28</f>
        <v>0</v>
      </c>
      <c r="P28" s="22">
        <f t="shared" si="12"/>
        <v>0</v>
      </c>
      <c r="Q28" s="22"/>
      <c r="R28" s="22"/>
      <c r="S28" s="22">
        <f t="shared" si="6"/>
        <v>10417.126035397072</v>
      </c>
      <c r="T28" s="22">
        <f t="shared" si="7"/>
        <v>5748.6985671032025</v>
      </c>
    </row>
    <row r="29" spans="1:20" x14ac:dyDescent="0.2">
      <c r="A29" s="5">
        <v>38</v>
      </c>
      <c r="B29" s="1">
        <f t="shared" si="8"/>
        <v>1.4482981664981105</v>
      </c>
      <c r="C29" s="5">
        <f t="shared" si="9"/>
        <v>243837.58887970683</v>
      </c>
      <c r="D29" s="5">
        <f t="shared" si="0"/>
        <v>236990.46121331563</v>
      </c>
      <c r="E29" s="5">
        <f t="shared" si="1"/>
        <v>227490.46121331563</v>
      </c>
      <c r="F29" s="5">
        <f t="shared" si="2"/>
        <v>92775.8600093188</v>
      </c>
      <c r="G29" s="5">
        <f t="shared" si="3"/>
        <v>144214.60120399683</v>
      </c>
      <c r="H29" s="22">
        <f t="shared" si="10"/>
        <v>102563.05765358565</v>
      </c>
      <c r="I29" s="5">
        <f t="shared" si="4"/>
        <v>243700.76712797492</v>
      </c>
      <c r="J29" s="26">
        <f t="shared" si="5"/>
        <v>0.27471872015834181</v>
      </c>
      <c r="L29" s="22">
        <f t="shared" si="11"/>
        <v>377111.13157173141</v>
      </c>
      <c r="M29" s="5">
        <f>scrimecost*Meta!O26</f>
        <v>1309.098</v>
      </c>
      <c r="N29" s="5">
        <f>L29-Grade16!L29</f>
        <v>19437.094738006999</v>
      </c>
      <c r="O29" s="5">
        <f>Grade16!M29-M29</f>
        <v>0</v>
      </c>
      <c r="P29" s="22">
        <f t="shared" si="12"/>
        <v>0</v>
      </c>
      <c r="Q29" s="22"/>
      <c r="R29" s="22"/>
      <c r="S29" s="22">
        <f t="shared" si="6"/>
        <v>10677.554186282026</v>
      </c>
      <c r="T29" s="22">
        <f t="shared" si="7"/>
        <v>5663.4557329742138</v>
      </c>
    </row>
    <row r="30" spans="1:20" x14ac:dyDescent="0.2">
      <c r="A30" s="5">
        <v>39</v>
      </c>
      <c r="B30" s="1">
        <f t="shared" si="8"/>
        <v>1.4845056206605631</v>
      </c>
      <c r="C30" s="5">
        <f t="shared" si="9"/>
        <v>249933.52860169945</v>
      </c>
      <c r="D30" s="5">
        <f t="shared" si="0"/>
        <v>242903.52274364847</v>
      </c>
      <c r="E30" s="5">
        <f t="shared" si="1"/>
        <v>233403.52274364847</v>
      </c>
      <c r="F30" s="5">
        <f t="shared" si="2"/>
        <v>95404.215859551754</v>
      </c>
      <c r="G30" s="5">
        <f t="shared" si="3"/>
        <v>147499.3068840967</v>
      </c>
      <c r="H30" s="22">
        <f t="shared" si="10"/>
        <v>105127.13409492528</v>
      </c>
      <c r="I30" s="5">
        <f t="shared" si="4"/>
        <v>249472.62695617421</v>
      </c>
      <c r="J30" s="26">
        <f t="shared" si="5"/>
        <v>0.27564976289051568</v>
      </c>
      <c r="L30" s="22">
        <f t="shared" si="11"/>
        <v>386538.9098610247</v>
      </c>
      <c r="M30" s="5">
        <f>scrimecost*Meta!O27</f>
        <v>1309.098</v>
      </c>
      <c r="N30" s="5">
        <f>L30-Grade16!L30</f>
        <v>19923.022106457269</v>
      </c>
      <c r="O30" s="5">
        <f>Grade16!M30-M30</f>
        <v>0</v>
      </c>
      <c r="P30" s="22">
        <f t="shared" si="12"/>
        <v>0</v>
      </c>
      <c r="Q30" s="22"/>
      <c r="R30" s="22"/>
      <c r="S30" s="22">
        <f t="shared" si="6"/>
        <v>10944.493040939129</v>
      </c>
      <c r="T30" s="22">
        <f t="shared" si="7"/>
        <v>5579.4768963718989</v>
      </c>
    </row>
    <row r="31" spans="1:20" x14ac:dyDescent="0.2">
      <c r="A31" s="5">
        <v>40</v>
      </c>
      <c r="B31" s="1">
        <f t="shared" si="8"/>
        <v>1.521618261177077</v>
      </c>
      <c r="C31" s="5">
        <f t="shared" si="9"/>
        <v>256181.86681674194</v>
      </c>
      <c r="D31" s="5">
        <f t="shared" si="0"/>
        <v>248964.41081223969</v>
      </c>
      <c r="E31" s="5">
        <f t="shared" si="1"/>
        <v>239464.41081223969</v>
      </c>
      <c r="F31" s="5">
        <f t="shared" si="2"/>
        <v>98098.280606040527</v>
      </c>
      <c r="G31" s="5">
        <f t="shared" si="3"/>
        <v>150866.13020619916</v>
      </c>
      <c r="H31" s="22">
        <f t="shared" si="10"/>
        <v>107755.31244729841</v>
      </c>
      <c r="I31" s="5">
        <f t="shared" si="4"/>
        <v>255388.78328007861</v>
      </c>
      <c r="J31" s="26">
        <f t="shared" si="5"/>
        <v>0.27655809726336822</v>
      </c>
      <c r="L31" s="22">
        <f t="shared" si="11"/>
        <v>396202.38260755024</v>
      </c>
      <c r="M31" s="5">
        <f>scrimecost*Meta!O28</f>
        <v>1145.088</v>
      </c>
      <c r="N31" s="5">
        <f>L31-Grade16!L31</f>
        <v>20421.09765911859</v>
      </c>
      <c r="O31" s="5">
        <f>Grade16!M31-M31</f>
        <v>0</v>
      </c>
      <c r="P31" s="22">
        <f t="shared" si="12"/>
        <v>0</v>
      </c>
      <c r="Q31" s="22"/>
      <c r="R31" s="22"/>
      <c r="S31" s="22">
        <f t="shared" si="6"/>
        <v>11218.105366962547</v>
      </c>
      <c r="T31" s="22">
        <f t="shared" si="7"/>
        <v>5496.7433144920151</v>
      </c>
    </row>
    <row r="32" spans="1:20" x14ac:dyDescent="0.2">
      <c r="A32" s="5">
        <v>41</v>
      </c>
      <c r="B32" s="1">
        <f t="shared" si="8"/>
        <v>1.559658717706504</v>
      </c>
      <c r="C32" s="5">
        <f t="shared" si="9"/>
        <v>262586.41348716046</v>
      </c>
      <c r="D32" s="5">
        <f t="shared" si="0"/>
        <v>255176.82108254565</v>
      </c>
      <c r="E32" s="5">
        <f t="shared" si="1"/>
        <v>245676.82108254565</v>
      </c>
      <c r="F32" s="5">
        <f t="shared" si="2"/>
        <v>100859.69697119154</v>
      </c>
      <c r="G32" s="5">
        <f t="shared" si="3"/>
        <v>154317.12411135412</v>
      </c>
      <c r="H32" s="22">
        <f t="shared" si="10"/>
        <v>110449.19525848086</v>
      </c>
      <c r="I32" s="5">
        <f t="shared" si="4"/>
        <v>261452.84351208055</v>
      </c>
      <c r="J32" s="26">
        <f t="shared" si="5"/>
        <v>0.27744427713932196</v>
      </c>
      <c r="L32" s="22">
        <f t="shared" si="11"/>
        <v>406107.44217273901</v>
      </c>
      <c r="M32" s="5">
        <f>scrimecost*Meta!O29</f>
        <v>1145.088</v>
      </c>
      <c r="N32" s="5">
        <f>L32-Grade16!L32</f>
        <v>20931.625100596575</v>
      </c>
      <c r="O32" s="5">
        <f>Grade16!M32-M32</f>
        <v>0</v>
      </c>
      <c r="P32" s="22">
        <f t="shared" si="12"/>
        <v>0</v>
      </c>
      <c r="Q32" s="22"/>
      <c r="R32" s="22"/>
      <c r="S32" s="22">
        <f t="shared" si="6"/>
        <v>11498.558001136622</v>
      </c>
      <c r="T32" s="22">
        <f t="shared" si="7"/>
        <v>5415.2365224524674</v>
      </c>
    </row>
    <row r="33" spans="1:20" x14ac:dyDescent="0.2">
      <c r="A33" s="5">
        <v>42</v>
      </c>
      <c r="B33" s="1">
        <f t="shared" si="8"/>
        <v>1.5986501856491666</v>
      </c>
      <c r="C33" s="5">
        <f t="shared" si="9"/>
        <v>269151.07382433949</v>
      </c>
      <c r="D33" s="5">
        <f t="shared" si="0"/>
        <v>261544.5416096093</v>
      </c>
      <c r="E33" s="5">
        <f t="shared" si="1"/>
        <v>252044.5416096093</v>
      </c>
      <c r="F33" s="5">
        <f t="shared" si="2"/>
        <v>103690.14874547134</v>
      </c>
      <c r="G33" s="5">
        <f t="shared" si="3"/>
        <v>157854.39286413795</v>
      </c>
      <c r="H33" s="22">
        <f t="shared" si="10"/>
        <v>113210.42513994289</v>
      </c>
      <c r="I33" s="5">
        <f t="shared" si="4"/>
        <v>267668.50524988258</v>
      </c>
      <c r="J33" s="26">
        <f t="shared" si="5"/>
        <v>0.27830884287195973</v>
      </c>
      <c r="L33" s="22">
        <f t="shared" si="11"/>
        <v>416260.12822705746</v>
      </c>
      <c r="M33" s="5">
        <f>scrimecost*Meta!O30</f>
        <v>1145.088</v>
      </c>
      <c r="N33" s="5">
        <f>L33-Grade16!L33</f>
        <v>21454.91572811146</v>
      </c>
      <c r="O33" s="5">
        <f>Grade16!M33-M33</f>
        <v>0</v>
      </c>
      <c r="P33" s="22">
        <f t="shared" si="12"/>
        <v>0</v>
      </c>
      <c r="Q33" s="22"/>
      <c r="R33" s="22"/>
      <c r="S33" s="22">
        <f t="shared" si="6"/>
        <v>11786.021951165021</v>
      </c>
      <c r="T33" s="22">
        <f t="shared" si="7"/>
        <v>5334.9383291719341</v>
      </c>
    </row>
    <row r="34" spans="1:20" x14ac:dyDescent="0.2">
      <c r="A34" s="5">
        <v>43</v>
      </c>
      <c r="B34" s="1">
        <f t="shared" si="8"/>
        <v>1.6386164402903955</v>
      </c>
      <c r="C34" s="5">
        <f t="shared" si="9"/>
        <v>275879.85066994792</v>
      </c>
      <c r="D34" s="5">
        <f t="shared" si="0"/>
        <v>268071.45514984947</v>
      </c>
      <c r="E34" s="5">
        <f t="shared" si="1"/>
        <v>258571.45514984947</v>
      </c>
      <c r="F34" s="5">
        <f t="shared" si="2"/>
        <v>106591.3618141081</v>
      </c>
      <c r="G34" s="5">
        <f t="shared" si="3"/>
        <v>161480.09333574137</v>
      </c>
      <c r="H34" s="22">
        <f t="shared" si="10"/>
        <v>116040.68576844144</v>
      </c>
      <c r="I34" s="5">
        <f t="shared" si="4"/>
        <v>274039.55853112956</v>
      </c>
      <c r="J34" s="26">
        <f t="shared" si="5"/>
        <v>0.27915232163550879</v>
      </c>
      <c r="L34" s="22">
        <f t="shared" si="11"/>
        <v>426666.63143273391</v>
      </c>
      <c r="M34" s="5">
        <f>scrimecost*Meta!O31</f>
        <v>1145.088</v>
      </c>
      <c r="N34" s="5">
        <f>L34-Grade16!L34</f>
        <v>21991.288621314336</v>
      </c>
      <c r="O34" s="5">
        <f>Grade16!M34-M34</f>
        <v>0</v>
      </c>
      <c r="P34" s="22">
        <f t="shared" si="12"/>
        <v>0</v>
      </c>
      <c r="Q34" s="22"/>
      <c r="R34" s="22"/>
      <c r="S34" s="22">
        <f t="shared" si="6"/>
        <v>12080.672499944196</v>
      </c>
      <c r="T34" s="22">
        <f t="shared" si="7"/>
        <v>5255.8308133101136</v>
      </c>
    </row>
    <row r="35" spans="1:20" x14ac:dyDescent="0.2">
      <c r="A35" s="5">
        <v>44</v>
      </c>
      <c r="B35" s="1">
        <f t="shared" si="8"/>
        <v>1.6795818512976552</v>
      </c>
      <c r="C35" s="5">
        <f t="shared" si="9"/>
        <v>282776.84693669662</v>
      </c>
      <c r="D35" s="5">
        <f t="shared" si="0"/>
        <v>274761.54152859573</v>
      </c>
      <c r="E35" s="5">
        <f t="shared" si="1"/>
        <v>265261.54152859573</v>
      </c>
      <c r="F35" s="5">
        <f t="shared" si="2"/>
        <v>109565.1052094608</v>
      </c>
      <c r="G35" s="5">
        <f t="shared" si="3"/>
        <v>165196.43631913493</v>
      </c>
      <c r="H35" s="22">
        <f t="shared" si="10"/>
        <v>118941.70291265247</v>
      </c>
      <c r="I35" s="5">
        <f t="shared" si="4"/>
        <v>280569.88814440783</v>
      </c>
      <c r="J35" s="26">
        <f t="shared" si="5"/>
        <v>0.27997522774628836</v>
      </c>
      <c r="L35" s="22">
        <f t="shared" si="11"/>
        <v>437333.29721855215</v>
      </c>
      <c r="M35" s="5">
        <f>scrimecost*Meta!O32</f>
        <v>1145.088</v>
      </c>
      <c r="N35" s="5">
        <f>L35-Grade16!L35</f>
        <v>22541.070836847124</v>
      </c>
      <c r="O35" s="5">
        <f>Grade16!M35-M35</f>
        <v>0</v>
      </c>
      <c r="P35" s="22">
        <f t="shared" si="12"/>
        <v>0</v>
      </c>
      <c r="Q35" s="22"/>
      <c r="R35" s="22"/>
      <c r="S35" s="22">
        <f t="shared" si="6"/>
        <v>12382.689312442762</v>
      </c>
      <c r="T35" s="22">
        <f t="shared" si="7"/>
        <v>5177.8963192677602</v>
      </c>
    </row>
    <row r="36" spans="1:20" x14ac:dyDescent="0.2">
      <c r="A36" s="5">
        <v>45</v>
      </c>
      <c r="B36" s="1">
        <f t="shared" si="8"/>
        <v>1.7215713975800966</v>
      </c>
      <c r="C36" s="5">
        <f t="shared" si="9"/>
        <v>289846.26811011403</v>
      </c>
      <c r="D36" s="5">
        <f t="shared" si="0"/>
        <v>281618.88006681058</v>
      </c>
      <c r="E36" s="5">
        <f t="shared" si="1"/>
        <v>272118.88006681058</v>
      </c>
      <c r="F36" s="5">
        <f t="shared" si="2"/>
        <v>112613.19218969729</v>
      </c>
      <c r="G36" s="5">
        <f t="shared" si="3"/>
        <v>169005.68787711329</v>
      </c>
      <c r="H36" s="22">
        <f t="shared" si="10"/>
        <v>121915.24548546878</v>
      </c>
      <c r="I36" s="5">
        <f t="shared" si="4"/>
        <v>287263.475998018</v>
      </c>
      <c r="J36" s="26">
        <f t="shared" si="5"/>
        <v>0.28077806297631719</v>
      </c>
      <c r="L36" s="22">
        <f t="shared" si="11"/>
        <v>448266.62964901596</v>
      </c>
      <c r="M36" s="5">
        <f>scrimecost*Meta!O33</f>
        <v>925.4140000000001</v>
      </c>
      <c r="N36" s="5">
        <f>L36-Grade16!L36</f>
        <v>23104.597607768315</v>
      </c>
      <c r="O36" s="5">
        <f>Grade16!M36-M36</f>
        <v>0</v>
      </c>
      <c r="P36" s="22">
        <f t="shared" si="12"/>
        <v>0</v>
      </c>
      <c r="Q36" s="22"/>
      <c r="R36" s="22"/>
      <c r="S36" s="22">
        <f t="shared" si="6"/>
        <v>12692.256545253838</v>
      </c>
      <c r="T36" s="22">
        <f t="shared" si="7"/>
        <v>5101.1174532464511</v>
      </c>
    </row>
    <row r="37" spans="1:20" x14ac:dyDescent="0.2">
      <c r="A37" s="5">
        <v>46</v>
      </c>
      <c r="B37" s="1">
        <f t="shared" ref="B37:B56" si="13">(1+experiencepremium)^(A37-startage)</f>
        <v>1.7646106825195991</v>
      </c>
      <c r="C37" s="5">
        <f t="shared" ref="C37:C56" si="14">pretaxincome*B37/expnorm</f>
        <v>297092.4248128669</v>
      </c>
      <c r="D37" s="5">
        <f t="shared" ref="D37:D56" si="15">IF(A37&lt;startage,1,0)*(C37*(1-initialunempprob))+IF(A37=startage,1,0)*(C37*(1-unempprob))+IF(A37&gt;startage,1,0)*(C37*(1-unempprob)+unempprob*300*52)</f>
        <v>288647.65206848091</v>
      </c>
      <c r="E37" s="5">
        <f t="shared" si="1"/>
        <v>279147.65206848091</v>
      </c>
      <c r="F37" s="5">
        <f t="shared" si="2"/>
        <v>115737.48134443977</v>
      </c>
      <c r="G37" s="5">
        <f t="shared" si="3"/>
        <v>172910.17072404112</v>
      </c>
      <c r="H37" s="22">
        <f t="shared" ref="H37:H56" si="16">benefits*B37/expnorm</f>
        <v>124963.1266226055</v>
      </c>
      <c r="I37" s="5">
        <f t="shared" ref="I37:I56" si="17">G37+IF(A37&lt;startage,1,0)*(H37*(1-initialunempprob))+IF(A37&gt;=startage,1,0)*(H37*(1-unempprob))</f>
        <v>294124.40354796848</v>
      </c>
      <c r="J37" s="26">
        <f t="shared" si="5"/>
        <v>0.28156131685927221</v>
      </c>
      <c r="L37" s="22">
        <f t="shared" ref="L37:L56" si="18">(sincome+sbenefits)*(1-sunemp)*B37/expnorm</f>
        <v>459473.29539024137</v>
      </c>
      <c r="M37" s="5">
        <f>scrimecost*Meta!O34</f>
        <v>925.4140000000001</v>
      </c>
      <c r="N37" s="5">
        <f>L37-Grade16!L37</f>
        <v>23682.212547962554</v>
      </c>
      <c r="O37" s="5">
        <f>Grade16!M37-M37</f>
        <v>0</v>
      </c>
      <c r="P37" s="22">
        <f t="shared" si="12"/>
        <v>0</v>
      </c>
      <c r="Q37" s="22"/>
      <c r="R37" s="22"/>
      <c r="S37" s="22">
        <f t="shared" si="6"/>
        <v>13009.562958885201</v>
      </c>
      <c r="T37" s="22">
        <f t="shared" si="7"/>
        <v>5025.4770793663629</v>
      </c>
    </row>
    <row r="38" spans="1:20" x14ac:dyDescent="0.2">
      <c r="A38" s="5">
        <v>47</v>
      </c>
      <c r="B38" s="1">
        <f t="shared" si="13"/>
        <v>1.8087259495825889</v>
      </c>
      <c r="C38" s="5">
        <f t="shared" si="14"/>
        <v>304519.7354331885</v>
      </c>
      <c r="D38" s="5">
        <f t="shared" si="15"/>
        <v>295852.14337019285</v>
      </c>
      <c r="E38" s="5">
        <f t="shared" si="1"/>
        <v>286352.14337019285</v>
      </c>
      <c r="F38" s="5">
        <f t="shared" si="2"/>
        <v>118939.87772805071</v>
      </c>
      <c r="G38" s="5">
        <f t="shared" si="3"/>
        <v>176912.26564214216</v>
      </c>
      <c r="H38" s="22">
        <f t="shared" si="16"/>
        <v>128087.20478817064</v>
      </c>
      <c r="I38" s="5">
        <f t="shared" si="17"/>
        <v>301156.85428666766</v>
      </c>
      <c r="J38" s="26">
        <f t="shared" si="5"/>
        <v>0.28232546698898431</v>
      </c>
      <c r="L38" s="22">
        <f t="shared" si="18"/>
        <v>470960.12777499738</v>
      </c>
      <c r="M38" s="5">
        <f>scrimecost*Meta!O35</f>
        <v>925.4140000000001</v>
      </c>
      <c r="N38" s="5">
        <f>L38-Grade16!L38</f>
        <v>24274.267861661618</v>
      </c>
      <c r="O38" s="5">
        <f>Grade16!M38-M38</f>
        <v>0</v>
      </c>
      <c r="P38" s="22">
        <f t="shared" si="12"/>
        <v>0</v>
      </c>
      <c r="Q38" s="22"/>
      <c r="R38" s="22"/>
      <c r="S38" s="22">
        <f t="shared" si="6"/>
        <v>13334.802032857331</v>
      </c>
      <c r="T38" s="22">
        <f t="shared" si="7"/>
        <v>4950.9583158418736</v>
      </c>
    </row>
    <row r="39" spans="1:20" x14ac:dyDescent="0.2">
      <c r="A39" s="5">
        <v>48</v>
      </c>
      <c r="B39" s="1">
        <f t="shared" si="13"/>
        <v>1.8539440983221533</v>
      </c>
      <c r="C39" s="5">
        <f t="shared" si="14"/>
        <v>312132.72881901817</v>
      </c>
      <c r="D39" s="5">
        <f t="shared" si="15"/>
        <v>303236.74695444759</v>
      </c>
      <c r="E39" s="5">
        <f t="shared" si="1"/>
        <v>293736.74695444759</v>
      </c>
      <c r="F39" s="5">
        <f t="shared" si="2"/>
        <v>122222.33402125194</v>
      </c>
      <c r="G39" s="5">
        <f t="shared" si="3"/>
        <v>181014.41293319565</v>
      </c>
      <c r="H39" s="22">
        <f t="shared" si="16"/>
        <v>131289.38490787489</v>
      </c>
      <c r="I39" s="5">
        <f t="shared" si="17"/>
        <v>308365.11629383429</v>
      </c>
      <c r="J39" s="26">
        <f t="shared" si="5"/>
        <v>0.28307097931065467</v>
      </c>
      <c r="L39" s="22">
        <f t="shared" si="18"/>
        <v>482734.13096937223</v>
      </c>
      <c r="M39" s="5">
        <f>scrimecost*Meta!O36</f>
        <v>925.4140000000001</v>
      </c>
      <c r="N39" s="5">
        <f>L39-Grade16!L39</f>
        <v>24881.124558203097</v>
      </c>
      <c r="O39" s="5">
        <f>Grade16!M39-M39</f>
        <v>0</v>
      </c>
      <c r="P39" s="22">
        <f t="shared" si="12"/>
        <v>0</v>
      </c>
      <c r="Q39" s="22"/>
      <c r="R39" s="22"/>
      <c r="S39" s="22">
        <f t="shared" si="6"/>
        <v>13668.17208367873</v>
      </c>
      <c r="T39" s="22">
        <f t="shared" si="7"/>
        <v>4877.5445312138081</v>
      </c>
    </row>
    <row r="40" spans="1:20" x14ac:dyDescent="0.2">
      <c r="A40" s="5">
        <v>49</v>
      </c>
      <c r="B40" s="1">
        <f t="shared" si="13"/>
        <v>1.9002927007802071</v>
      </c>
      <c r="C40" s="5">
        <f t="shared" si="14"/>
        <v>319936.04703949363</v>
      </c>
      <c r="D40" s="5">
        <f t="shared" si="15"/>
        <v>310805.96562830883</v>
      </c>
      <c r="E40" s="5">
        <f t="shared" si="1"/>
        <v>301305.96562830883</v>
      </c>
      <c r="F40" s="5">
        <f t="shared" si="2"/>
        <v>125586.85172178329</v>
      </c>
      <c r="G40" s="5">
        <f t="shared" si="3"/>
        <v>185219.11390652554</v>
      </c>
      <c r="H40" s="22">
        <f t="shared" si="16"/>
        <v>134571.61953057174</v>
      </c>
      <c r="I40" s="5">
        <f t="shared" si="17"/>
        <v>315753.58485118015</v>
      </c>
      <c r="J40" s="26">
        <f t="shared" si="5"/>
        <v>0.28379830840496739</v>
      </c>
      <c r="L40" s="22">
        <f t="shared" si="18"/>
        <v>494802.48424360651</v>
      </c>
      <c r="M40" s="5">
        <f>scrimecost*Meta!O37</f>
        <v>925.4140000000001</v>
      </c>
      <c r="N40" s="5">
        <f>L40-Grade16!L40</f>
        <v>25503.152672158205</v>
      </c>
      <c r="O40" s="5">
        <f>Grade16!M40-M40</f>
        <v>0</v>
      </c>
      <c r="P40" s="22">
        <f t="shared" si="12"/>
        <v>0</v>
      </c>
      <c r="Q40" s="22"/>
      <c r="R40" s="22"/>
      <c r="S40" s="22">
        <f t="shared" si="6"/>
        <v>14009.876385770716</v>
      </c>
      <c r="T40" s="22">
        <f t="shared" si="7"/>
        <v>4805.2193406375745</v>
      </c>
    </row>
    <row r="41" spans="1:20" x14ac:dyDescent="0.2">
      <c r="A41" s="5">
        <v>50</v>
      </c>
      <c r="B41" s="1">
        <f t="shared" si="13"/>
        <v>1.9478000182997122</v>
      </c>
      <c r="C41" s="5">
        <f t="shared" si="14"/>
        <v>327934.44821548095</v>
      </c>
      <c r="D41" s="5">
        <f t="shared" si="15"/>
        <v>318564.4147690165</v>
      </c>
      <c r="E41" s="5">
        <f t="shared" si="1"/>
        <v>309064.4147690165</v>
      </c>
      <c r="F41" s="5">
        <f t="shared" si="2"/>
        <v>129035.48236482783</v>
      </c>
      <c r="G41" s="5">
        <f t="shared" si="3"/>
        <v>189528.93240418867</v>
      </c>
      <c r="H41" s="22">
        <f t="shared" si="16"/>
        <v>137935.91001883603</v>
      </c>
      <c r="I41" s="5">
        <f t="shared" si="17"/>
        <v>323326.76512245962</v>
      </c>
      <c r="J41" s="26">
        <f t="shared" si="5"/>
        <v>0.2845078977652723</v>
      </c>
      <c r="L41" s="22">
        <f t="shared" si="18"/>
        <v>507172.54634969664</v>
      </c>
      <c r="M41" s="5">
        <f>scrimecost*Meta!O38</f>
        <v>618.26800000000003</v>
      </c>
      <c r="N41" s="5">
        <f>L41-Grade16!L41</f>
        <v>26140.731488962192</v>
      </c>
      <c r="O41" s="5">
        <f>Grade16!M41-M41</f>
        <v>0</v>
      </c>
      <c r="P41" s="22">
        <f t="shared" si="12"/>
        <v>0</v>
      </c>
      <c r="Q41" s="22"/>
      <c r="R41" s="22"/>
      <c r="S41" s="22">
        <f t="shared" si="6"/>
        <v>14360.123295415</v>
      </c>
      <c r="T41" s="22">
        <f t="shared" si="7"/>
        <v>4733.9666022262409</v>
      </c>
    </row>
    <row r="42" spans="1:20" x14ac:dyDescent="0.2">
      <c r="A42" s="5">
        <v>51</v>
      </c>
      <c r="B42" s="1">
        <f t="shared" si="13"/>
        <v>1.9964950187572048</v>
      </c>
      <c r="C42" s="5">
        <f t="shared" si="14"/>
        <v>336132.80942086794</v>
      </c>
      <c r="D42" s="5">
        <f t="shared" si="15"/>
        <v>326516.82513824187</v>
      </c>
      <c r="E42" s="5">
        <f t="shared" si="1"/>
        <v>317016.82513824187</v>
      </c>
      <c r="F42" s="5">
        <f t="shared" si="2"/>
        <v>132570.32877394851</v>
      </c>
      <c r="G42" s="5">
        <f t="shared" si="3"/>
        <v>193946.49636429336</v>
      </c>
      <c r="H42" s="22">
        <f t="shared" si="16"/>
        <v>141384.30776930694</v>
      </c>
      <c r="I42" s="5">
        <f t="shared" si="17"/>
        <v>331089.27490052109</v>
      </c>
      <c r="J42" s="26">
        <f t="shared" si="5"/>
        <v>0.28520018006800879</v>
      </c>
      <c r="L42" s="22">
        <f t="shared" si="18"/>
        <v>519851.86000843899</v>
      </c>
      <c r="M42" s="5">
        <f>scrimecost*Meta!O39</f>
        <v>618.26800000000003</v>
      </c>
      <c r="N42" s="5">
        <f>L42-Grade16!L42</f>
        <v>26794.24977618613</v>
      </c>
      <c r="O42" s="5">
        <f>Grade16!M42-M42</f>
        <v>0</v>
      </c>
      <c r="P42" s="22">
        <f t="shared" si="12"/>
        <v>0</v>
      </c>
      <c r="Q42" s="22"/>
      <c r="R42" s="22"/>
      <c r="S42" s="22">
        <f t="shared" si="6"/>
        <v>14719.126377800312</v>
      </c>
      <c r="T42" s="22">
        <f t="shared" si="7"/>
        <v>4663.7704134479391</v>
      </c>
    </row>
    <row r="43" spans="1:20" x14ac:dyDescent="0.2">
      <c r="A43" s="5">
        <v>52</v>
      </c>
      <c r="B43" s="1">
        <f t="shared" si="13"/>
        <v>2.0464073942261352</v>
      </c>
      <c r="C43" s="5">
        <f t="shared" si="14"/>
        <v>344536.1296563897</v>
      </c>
      <c r="D43" s="5">
        <f t="shared" si="15"/>
        <v>334668.04576669802</v>
      </c>
      <c r="E43" s="5">
        <f t="shared" si="1"/>
        <v>325168.04576669802</v>
      </c>
      <c r="F43" s="5">
        <f t="shared" si="2"/>
        <v>136193.54634329726</v>
      </c>
      <c r="G43" s="5">
        <f t="shared" si="3"/>
        <v>198474.49942340076</v>
      </c>
      <c r="H43" s="22">
        <f t="shared" si="16"/>
        <v>144918.9154635396</v>
      </c>
      <c r="I43" s="5">
        <f t="shared" si="17"/>
        <v>339045.84742303414</v>
      </c>
      <c r="J43" s="26">
        <f t="shared" si="5"/>
        <v>0.2858755774365323</v>
      </c>
      <c r="L43" s="22">
        <f t="shared" si="18"/>
        <v>532848.15650865005</v>
      </c>
      <c r="M43" s="5">
        <f>scrimecost*Meta!O40</f>
        <v>618.26800000000003</v>
      </c>
      <c r="N43" s="5">
        <f>L43-Grade16!L43</f>
        <v>27464.106020590989</v>
      </c>
      <c r="O43" s="5">
        <f>Grade16!M43-M43</f>
        <v>0</v>
      </c>
      <c r="P43" s="22">
        <f t="shared" si="12"/>
        <v>0</v>
      </c>
      <c r="Q43" s="22"/>
      <c r="R43" s="22"/>
      <c r="S43" s="22">
        <f t="shared" si="6"/>
        <v>15087.104537245434</v>
      </c>
      <c r="T43" s="22">
        <f t="shared" si="7"/>
        <v>4594.6151075767839</v>
      </c>
    </row>
    <row r="44" spans="1:20" x14ac:dyDescent="0.2">
      <c r="A44" s="5">
        <v>53</v>
      </c>
      <c r="B44" s="1">
        <f t="shared" si="13"/>
        <v>2.097567579081788</v>
      </c>
      <c r="C44" s="5">
        <f t="shared" si="14"/>
        <v>353149.53289779933</v>
      </c>
      <c r="D44" s="5">
        <f t="shared" si="15"/>
        <v>343023.04691086535</v>
      </c>
      <c r="E44" s="5">
        <f t="shared" si="1"/>
        <v>333523.04691086535</v>
      </c>
      <c r="F44" s="5">
        <f t="shared" si="2"/>
        <v>139907.34435187964</v>
      </c>
      <c r="G44" s="5">
        <f t="shared" si="3"/>
        <v>203115.70255898571</v>
      </c>
      <c r="H44" s="22">
        <f t="shared" si="16"/>
        <v>148541.88835012808</v>
      </c>
      <c r="I44" s="5">
        <f t="shared" si="17"/>
        <v>347201.33425860992</v>
      </c>
      <c r="J44" s="26">
        <f t="shared" si="5"/>
        <v>0.28653450169850642</v>
      </c>
      <c r="L44" s="22">
        <f t="shared" si="18"/>
        <v>546169.36042136617</v>
      </c>
      <c r="M44" s="5">
        <f>scrimecost*Meta!O41</f>
        <v>618.26800000000003</v>
      </c>
      <c r="N44" s="5">
        <f>L44-Grade16!L44</f>
        <v>28150.708671105502</v>
      </c>
      <c r="O44" s="5">
        <f>Grade16!M44-M44</f>
        <v>0</v>
      </c>
      <c r="P44" s="22">
        <f t="shared" si="12"/>
        <v>0</v>
      </c>
      <c r="Q44" s="22"/>
      <c r="R44" s="22"/>
      <c r="S44" s="22">
        <f t="shared" si="6"/>
        <v>15464.282150676427</v>
      </c>
      <c r="T44" s="22">
        <f t="shared" si="7"/>
        <v>4526.4852501959704</v>
      </c>
    </row>
    <row r="45" spans="1:20" x14ac:dyDescent="0.2">
      <c r="A45" s="5">
        <v>54</v>
      </c>
      <c r="B45" s="1">
        <f t="shared" si="13"/>
        <v>2.1500067685588333</v>
      </c>
      <c r="C45" s="5">
        <f t="shared" si="14"/>
        <v>361978.27122024441</v>
      </c>
      <c r="D45" s="5">
        <f t="shared" si="15"/>
        <v>351586.92308363708</v>
      </c>
      <c r="E45" s="5">
        <f t="shared" si="1"/>
        <v>342086.92308363708</v>
      </c>
      <c r="F45" s="5">
        <f t="shared" si="2"/>
        <v>143713.98731067672</v>
      </c>
      <c r="G45" s="5">
        <f t="shared" si="3"/>
        <v>207872.93577296037</v>
      </c>
      <c r="H45" s="22">
        <f t="shared" si="16"/>
        <v>152255.43555888132</v>
      </c>
      <c r="I45" s="5">
        <f t="shared" si="17"/>
        <v>355560.70826507523</v>
      </c>
      <c r="J45" s="26">
        <f t="shared" si="5"/>
        <v>0.28717735463701782</v>
      </c>
      <c r="L45" s="22">
        <f t="shared" si="18"/>
        <v>559823.59443190054</v>
      </c>
      <c r="M45" s="5">
        <f>scrimecost*Meta!O42</f>
        <v>618.26800000000003</v>
      </c>
      <c r="N45" s="5">
        <f>L45-Grade16!L45</f>
        <v>28854.47638788342</v>
      </c>
      <c r="O45" s="5">
        <f>Grade16!M45-M45</f>
        <v>0</v>
      </c>
      <c r="P45" s="22">
        <f t="shared" si="12"/>
        <v>0</v>
      </c>
      <c r="Q45" s="22"/>
      <c r="R45" s="22"/>
      <c r="S45" s="22">
        <f t="shared" ref="S45:S69" si="19">IF(A45&lt;startage,1,0)*(N45-Q45-R45)+IF(A45&gt;=startage,1,0)*completionprob*(N45*spart+O45+P45)</f>
        <v>15850.889204443491</v>
      </c>
      <c r="T45" s="22">
        <f t="shared" ref="T45:T69" si="20">S45/sreturn^(A45-startage+1)</f>
        <v>4459.3656357535629</v>
      </c>
    </row>
    <row r="46" spans="1:20" x14ac:dyDescent="0.2">
      <c r="A46" s="5">
        <v>55</v>
      </c>
      <c r="B46" s="1">
        <f t="shared" si="13"/>
        <v>2.2037569377728037</v>
      </c>
      <c r="C46" s="5">
        <f t="shared" si="14"/>
        <v>371027.72800075042</v>
      </c>
      <c r="D46" s="5">
        <f t="shared" si="15"/>
        <v>360364.89616072789</v>
      </c>
      <c r="E46" s="5">
        <f t="shared" si="1"/>
        <v>350864.89616072789</v>
      </c>
      <c r="F46" s="5">
        <f t="shared" si="2"/>
        <v>147615.79634344357</v>
      </c>
      <c r="G46" s="5">
        <f t="shared" si="3"/>
        <v>212749.09981728432</v>
      </c>
      <c r="H46" s="22">
        <f t="shared" si="16"/>
        <v>156061.82144785329</v>
      </c>
      <c r="I46" s="5">
        <f t="shared" si="17"/>
        <v>364129.06662170205</v>
      </c>
      <c r="J46" s="26">
        <f t="shared" si="5"/>
        <v>0.2878045282355654</v>
      </c>
      <c r="L46" s="22">
        <f t="shared" si="18"/>
        <v>573819.18429269793</v>
      </c>
      <c r="M46" s="5">
        <f>scrimecost*Meta!O43</f>
        <v>342.92999999999995</v>
      </c>
      <c r="N46" s="5">
        <f>L46-Grade16!L46</f>
        <v>29575.838297580369</v>
      </c>
      <c r="O46" s="5">
        <f>Grade16!M46-M46</f>
        <v>0</v>
      </c>
      <c r="P46" s="22">
        <f t="shared" si="12"/>
        <v>0</v>
      </c>
      <c r="Q46" s="22"/>
      <c r="R46" s="22"/>
      <c r="S46" s="22">
        <f t="shared" si="19"/>
        <v>16247.161434554502</v>
      </c>
      <c r="T46" s="22">
        <f t="shared" si="20"/>
        <v>4393.2412841682299</v>
      </c>
    </row>
    <row r="47" spans="1:20" x14ac:dyDescent="0.2">
      <c r="A47" s="5">
        <v>56</v>
      </c>
      <c r="B47" s="1">
        <f t="shared" si="13"/>
        <v>2.2588508612171236</v>
      </c>
      <c r="C47" s="5">
        <f t="shared" si="14"/>
        <v>380303.4212007692</v>
      </c>
      <c r="D47" s="5">
        <f t="shared" si="15"/>
        <v>369362.31856474612</v>
      </c>
      <c r="E47" s="5">
        <f t="shared" si="1"/>
        <v>359862.31856474612</v>
      </c>
      <c r="F47" s="5">
        <f t="shared" si="2"/>
        <v>151615.15060202967</v>
      </c>
      <c r="G47" s="5">
        <f t="shared" si="3"/>
        <v>217747.16796271646</v>
      </c>
      <c r="H47" s="22">
        <f t="shared" si="16"/>
        <v>159963.36698404961</v>
      </c>
      <c r="I47" s="5">
        <f t="shared" si="17"/>
        <v>372911.63393724454</v>
      </c>
      <c r="J47" s="26">
        <f t="shared" si="5"/>
        <v>0.28841640491707538</v>
      </c>
      <c r="L47" s="22">
        <f t="shared" si="18"/>
        <v>588164.66390001529</v>
      </c>
      <c r="M47" s="5">
        <f>scrimecost*Meta!O44</f>
        <v>342.92999999999995</v>
      </c>
      <c r="N47" s="5">
        <f>L47-Grade16!L47</f>
        <v>30315.234255019808</v>
      </c>
      <c r="O47" s="5">
        <f>Grade16!M47-M47</f>
        <v>0</v>
      </c>
      <c r="P47" s="22">
        <f t="shared" si="12"/>
        <v>0</v>
      </c>
      <c r="Q47" s="22"/>
      <c r="R47" s="22"/>
      <c r="S47" s="22">
        <f t="shared" si="19"/>
        <v>16653.340470418327</v>
      </c>
      <c r="T47" s="22">
        <f t="shared" si="20"/>
        <v>4328.0974374864563</v>
      </c>
    </row>
    <row r="48" spans="1:20" x14ac:dyDescent="0.2">
      <c r="A48" s="5">
        <v>57</v>
      </c>
      <c r="B48" s="1">
        <f t="shared" si="13"/>
        <v>2.3153221327475517</v>
      </c>
      <c r="C48" s="5">
        <f t="shared" si="14"/>
        <v>389811.00673078845</v>
      </c>
      <c r="D48" s="5">
        <f t="shared" si="15"/>
        <v>378584.67652886477</v>
      </c>
      <c r="E48" s="5">
        <f t="shared" si="1"/>
        <v>369084.67652886477</v>
      </c>
      <c r="F48" s="5">
        <f t="shared" si="2"/>
        <v>155714.48871708041</v>
      </c>
      <c r="G48" s="5">
        <f t="shared" si="3"/>
        <v>222870.18781178436</v>
      </c>
      <c r="H48" s="22">
        <f t="shared" si="16"/>
        <v>163962.45115865089</v>
      </c>
      <c r="I48" s="5">
        <f t="shared" si="17"/>
        <v>381913.76543567574</v>
      </c>
      <c r="J48" s="26">
        <f t="shared" si="5"/>
        <v>0.28901335777708503</v>
      </c>
      <c r="L48" s="22">
        <f t="shared" si="18"/>
        <v>602868.78049751569</v>
      </c>
      <c r="M48" s="5">
        <f>scrimecost*Meta!O45</f>
        <v>342.92999999999995</v>
      </c>
      <c r="N48" s="5">
        <f>L48-Grade16!L48</f>
        <v>31073.115111395367</v>
      </c>
      <c r="O48" s="5">
        <f>Grade16!M48-M48</f>
        <v>0</v>
      </c>
      <c r="P48" s="22">
        <f t="shared" si="12"/>
        <v>0</v>
      </c>
      <c r="Q48" s="22"/>
      <c r="R48" s="22"/>
      <c r="S48" s="22">
        <f t="shared" si="19"/>
        <v>17069.673982178818</v>
      </c>
      <c r="T48" s="22">
        <f t="shared" si="20"/>
        <v>4263.9195565885047</v>
      </c>
    </row>
    <row r="49" spans="1:20" x14ac:dyDescent="0.2">
      <c r="A49" s="5">
        <v>58</v>
      </c>
      <c r="B49" s="1">
        <f t="shared" si="13"/>
        <v>2.3732051860662402</v>
      </c>
      <c r="C49" s="5">
        <f t="shared" si="14"/>
        <v>399556.28189905809</v>
      </c>
      <c r="D49" s="5">
        <f t="shared" si="15"/>
        <v>388037.59344208631</v>
      </c>
      <c r="E49" s="5">
        <f t="shared" si="1"/>
        <v>378537.59344208631</v>
      </c>
      <c r="F49" s="5">
        <f t="shared" si="2"/>
        <v>159916.31028500738</v>
      </c>
      <c r="G49" s="5">
        <f t="shared" si="3"/>
        <v>228121.28315707893</v>
      </c>
      <c r="H49" s="22">
        <f t="shared" si="16"/>
        <v>168061.51243761712</v>
      </c>
      <c r="I49" s="5">
        <f t="shared" si="17"/>
        <v>391140.95022156753</v>
      </c>
      <c r="J49" s="26">
        <f t="shared" si="5"/>
        <v>0.28959575081124073</v>
      </c>
      <c r="L49" s="22">
        <f t="shared" si="18"/>
        <v>617940.50000995339</v>
      </c>
      <c r="M49" s="5">
        <f>scrimecost*Meta!O46</f>
        <v>342.92999999999995</v>
      </c>
      <c r="N49" s="5">
        <f>L49-Grade16!L49</f>
        <v>31849.942989180097</v>
      </c>
      <c r="O49" s="5">
        <f>Grade16!M49-M49</f>
        <v>0</v>
      </c>
      <c r="P49" s="22">
        <f t="shared" si="12"/>
        <v>0</v>
      </c>
      <c r="Q49" s="22"/>
      <c r="R49" s="22"/>
      <c r="S49" s="22">
        <f t="shared" si="19"/>
        <v>17496.415831733204</v>
      </c>
      <c r="T49" s="22">
        <f t="shared" si="20"/>
        <v>4200.6933179435109</v>
      </c>
    </row>
    <row r="50" spans="1:20" x14ac:dyDescent="0.2">
      <c r="A50" s="5">
        <v>59</v>
      </c>
      <c r="B50" s="1">
        <f t="shared" si="13"/>
        <v>2.4325353157178964</v>
      </c>
      <c r="C50" s="5">
        <f t="shared" si="14"/>
        <v>409545.18894653459</v>
      </c>
      <c r="D50" s="5">
        <f t="shared" si="15"/>
        <v>397726.83327813854</v>
      </c>
      <c r="E50" s="5">
        <f t="shared" si="1"/>
        <v>388226.83327813854</v>
      </c>
      <c r="F50" s="5">
        <f t="shared" si="2"/>
        <v>164404.71405769535</v>
      </c>
      <c r="G50" s="5">
        <f t="shared" si="3"/>
        <v>233322.11922044319</v>
      </c>
      <c r="H50" s="22">
        <f t="shared" si="16"/>
        <v>172263.05024855756</v>
      </c>
      <c r="I50" s="5">
        <f t="shared" si="17"/>
        <v>400417.27796154399</v>
      </c>
      <c r="J50" s="26">
        <f t="shared" si="5"/>
        <v>0.29048561076202434</v>
      </c>
      <c r="L50" s="22">
        <f t="shared" si="18"/>
        <v>633389.01251020236</v>
      </c>
      <c r="M50" s="5">
        <f>scrimecost*Meta!O47</f>
        <v>342.92999999999995</v>
      </c>
      <c r="N50" s="5">
        <f>L50-Grade16!L50</f>
        <v>32646.191563909757</v>
      </c>
      <c r="O50" s="5">
        <f>Grade16!M50-M50</f>
        <v>0</v>
      </c>
      <c r="P50" s="22">
        <f t="shared" si="12"/>
        <v>0</v>
      </c>
      <c r="Q50" s="22"/>
      <c r="R50" s="22"/>
      <c r="S50" s="22">
        <f t="shared" si="19"/>
        <v>17933.826227526624</v>
      </c>
      <c r="T50" s="22">
        <f t="shared" si="20"/>
        <v>4138.4046104128611</v>
      </c>
    </row>
    <row r="51" spans="1:20" x14ac:dyDescent="0.2">
      <c r="A51" s="5">
        <v>60</v>
      </c>
      <c r="B51" s="1">
        <f t="shared" si="13"/>
        <v>2.4933486986108435</v>
      </c>
      <c r="C51" s="5">
        <f t="shared" si="14"/>
        <v>419783.81867019786</v>
      </c>
      <c r="D51" s="5">
        <f t="shared" si="15"/>
        <v>407658.30411009194</v>
      </c>
      <c r="E51" s="5">
        <f t="shared" si="1"/>
        <v>398158.30411009194</v>
      </c>
      <c r="F51" s="5">
        <f t="shared" si="2"/>
        <v>169017.88225913772</v>
      </c>
      <c r="G51" s="5">
        <f t="shared" si="3"/>
        <v>238640.42185095421</v>
      </c>
      <c r="H51" s="22">
        <f t="shared" si="16"/>
        <v>176569.6265047715</v>
      </c>
      <c r="I51" s="5">
        <f t="shared" si="17"/>
        <v>409912.95956058253</v>
      </c>
      <c r="J51" s="26">
        <f t="shared" si="5"/>
        <v>0.29137546973443595</v>
      </c>
      <c r="L51" s="22">
        <f t="shared" si="18"/>
        <v>649223.73782295734</v>
      </c>
      <c r="M51" s="5">
        <f>scrimecost*Meta!O48</f>
        <v>180.90799999999999</v>
      </c>
      <c r="N51" s="5">
        <f>L51-Grade16!L51</f>
        <v>33462.346353007597</v>
      </c>
      <c r="O51" s="5">
        <f>Grade16!M51-M51</f>
        <v>0</v>
      </c>
      <c r="P51" s="22">
        <f t="shared" si="12"/>
        <v>0</v>
      </c>
      <c r="Q51" s="22"/>
      <c r="R51" s="22"/>
      <c r="S51" s="22">
        <f t="shared" si="19"/>
        <v>18382.17188321484</v>
      </c>
      <c r="T51" s="22">
        <f t="shared" si="20"/>
        <v>4077.0395321005672</v>
      </c>
    </row>
    <row r="52" spans="1:20" x14ac:dyDescent="0.2">
      <c r="A52" s="5">
        <v>61</v>
      </c>
      <c r="B52" s="1">
        <f t="shared" si="13"/>
        <v>2.555682416076114</v>
      </c>
      <c r="C52" s="5">
        <f t="shared" si="14"/>
        <v>430278.41413695278</v>
      </c>
      <c r="D52" s="5">
        <f t="shared" si="15"/>
        <v>417838.06171284418</v>
      </c>
      <c r="E52" s="5">
        <f t="shared" si="1"/>
        <v>408338.06171284418</v>
      </c>
      <c r="F52" s="5">
        <f t="shared" si="2"/>
        <v>173746.37966561614</v>
      </c>
      <c r="G52" s="5">
        <f t="shared" si="3"/>
        <v>244091.68204722804</v>
      </c>
      <c r="H52" s="22">
        <f t="shared" si="16"/>
        <v>180983.86716739074</v>
      </c>
      <c r="I52" s="5">
        <f t="shared" si="17"/>
        <v>419646.03319959703</v>
      </c>
      <c r="J52" s="26">
        <f t="shared" si="5"/>
        <v>0.29224362482947175</v>
      </c>
      <c r="L52" s="22">
        <f t="shared" si="18"/>
        <v>665454.33126853104</v>
      </c>
      <c r="M52" s="5">
        <f>scrimecost*Meta!O49</f>
        <v>180.90799999999999</v>
      </c>
      <c r="N52" s="5">
        <f>L52-Grade16!L52</f>
        <v>34298.905011832481</v>
      </c>
      <c r="O52" s="5">
        <f>Grade16!M52-M52</f>
        <v>0</v>
      </c>
      <c r="P52" s="22">
        <f t="shared" si="12"/>
        <v>0</v>
      </c>
      <c r="Q52" s="22"/>
      <c r="R52" s="22"/>
      <c r="S52" s="22">
        <f t="shared" si="19"/>
        <v>18841.726180295042</v>
      </c>
      <c r="T52" s="22">
        <f t="shared" si="20"/>
        <v>4016.5843872506994</v>
      </c>
    </row>
    <row r="53" spans="1:20" x14ac:dyDescent="0.2">
      <c r="A53" s="5">
        <v>62</v>
      </c>
      <c r="B53" s="1">
        <f t="shared" si="13"/>
        <v>2.6195744764780171</v>
      </c>
      <c r="C53" s="5">
        <f t="shared" si="14"/>
        <v>441035.37449037662</v>
      </c>
      <c r="D53" s="5">
        <f t="shared" si="15"/>
        <v>428272.3132556653</v>
      </c>
      <c r="E53" s="5">
        <f t="shared" si="1"/>
        <v>418772.3132556653</v>
      </c>
      <c r="F53" s="5">
        <f t="shared" si="2"/>
        <v>178593.08950725655</v>
      </c>
      <c r="G53" s="5">
        <f t="shared" si="3"/>
        <v>249679.22374840875</v>
      </c>
      <c r="H53" s="22">
        <f t="shared" si="16"/>
        <v>185508.46384657553</v>
      </c>
      <c r="I53" s="5">
        <f t="shared" si="17"/>
        <v>429622.43367958697</v>
      </c>
      <c r="J53" s="26">
        <f t="shared" si="5"/>
        <v>0.29309060540999432</v>
      </c>
      <c r="L53" s="22">
        <f t="shared" si="18"/>
        <v>682090.68955024448</v>
      </c>
      <c r="M53" s="5">
        <f>scrimecost*Meta!O50</f>
        <v>180.90799999999999</v>
      </c>
      <c r="N53" s="5">
        <f>L53-Grade16!L53</f>
        <v>35156.377637128578</v>
      </c>
      <c r="O53" s="5">
        <f>Grade16!M53-M53</f>
        <v>0</v>
      </c>
      <c r="P53" s="22">
        <f t="shared" si="12"/>
        <v>0</v>
      </c>
      <c r="Q53" s="22"/>
      <c r="R53" s="22"/>
      <c r="S53" s="22">
        <f t="shared" si="19"/>
        <v>19312.769334802579</v>
      </c>
      <c r="T53" s="22">
        <f t="shared" si="20"/>
        <v>3957.0256831908528</v>
      </c>
    </row>
    <row r="54" spans="1:20" x14ac:dyDescent="0.2">
      <c r="A54" s="5">
        <v>63</v>
      </c>
      <c r="B54" s="1">
        <f t="shared" si="13"/>
        <v>2.6850638383899672</v>
      </c>
      <c r="C54" s="5">
        <f t="shared" si="14"/>
        <v>452061.25885263592</v>
      </c>
      <c r="D54" s="5">
        <f t="shared" si="15"/>
        <v>438967.42108705681</v>
      </c>
      <c r="E54" s="5">
        <f t="shared" si="1"/>
        <v>429467.42108705681</v>
      </c>
      <c r="F54" s="5">
        <f t="shared" si="2"/>
        <v>183560.96709493789</v>
      </c>
      <c r="G54" s="5">
        <f t="shared" si="3"/>
        <v>255406.45399211891</v>
      </c>
      <c r="H54" s="22">
        <f t="shared" si="16"/>
        <v>190146.17544273988</v>
      </c>
      <c r="I54" s="5">
        <f t="shared" si="17"/>
        <v>439848.24417157657</v>
      </c>
      <c r="J54" s="26">
        <f t="shared" si="5"/>
        <v>0.2939169279275774</v>
      </c>
      <c r="L54" s="22">
        <f t="shared" si="18"/>
        <v>699142.95678900054</v>
      </c>
      <c r="M54" s="5">
        <f>scrimecost*Meta!O51</f>
        <v>180.90799999999999</v>
      </c>
      <c r="N54" s="5">
        <f>L54-Grade16!L54</f>
        <v>36035.287078056717</v>
      </c>
      <c r="O54" s="5">
        <f>Grade16!M54-M54</f>
        <v>0</v>
      </c>
      <c r="P54" s="22">
        <f t="shared" si="12"/>
        <v>0</v>
      </c>
      <c r="Q54" s="22"/>
      <c r="R54" s="22"/>
      <c r="S54" s="22">
        <f t="shared" si="19"/>
        <v>19795.588568172599</v>
      </c>
      <c r="T54" s="22">
        <f t="shared" si="20"/>
        <v>3898.3501273203942</v>
      </c>
    </row>
    <row r="55" spans="1:20" x14ac:dyDescent="0.2">
      <c r="A55" s="5">
        <v>64</v>
      </c>
      <c r="B55" s="1">
        <f t="shared" si="13"/>
        <v>2.7521904343497163</v>
      </c>
      <c r="C55" s="5">
        <f t="shared" si="14"/>
        <v>463362.79032395181</v>
      </c>
      <c r="D55" s="5">
        <f t="shared" si="15"/>
        <v>449929.90661423322</v>
      </c>
      <c r="E55" s="5">
        <f t="shared" si="1"/>
        <v>440429.90661423322</v>
      </c>
      <c r="F55" s="5">
        <f t="shared" si="2"/>
        <v>188653.04162231134</v>
      </c>
      <c r="G55" s="5">
        <f t="shared" si="3"/>
        <v>261276.86499192187</v>
      </c>
      <c r="H55" s="22">
        <f t="shared" si="16"/>
        <v>194899.82982880838</v>
      </c>
      <c r="I55" s="5">
        <f t="shared" si="17"/>
        <v>450329.69992586598</v>
      </c>
      <c r="J55" s="26">
        <f t="shared" si="5"/>
        <v>0.29472309623741455</v>
      </c>
      <c r="L55" s="22">
        <f t="shared" si="18"/>
        <v>716621.53070872545</v>
      </c>
      <c r="M55" s="5">
        <f>scrimecost*Meta!O52</f>
        <v>180.90799999999999</v>
      </c>
      <c r="N55" s="5">
        <f>L55-Grade16!L55</f>
        <v>36936.169255008106</v>
      </c>
      <c r="O55" s="5">
        <f>Grade16!M55-M55</f>
        <v>0</v>
      </c>
      <c r="P55" s="22">
        <f t="shared" si="12"/>
        <v>0</v>
      </c>
      <c r="Q55" s="22"/>
      <c r="R55" s="22"/>
      <c r="S55" s="22">
        <f t="shared" si="19"/>
        <v>20290.478282376898</v>
      </c>
      <c r="T55" s="22">
        <f t="shared" si="20"/>
        <v>3840.5446241441468</v>
      </c>
    </row>
    <row r="56" spans="1:20" x14ac:dyDescent="0.2">
      <c r="A56" s="5">
        <v>65</v>
      </c>
      <c r="B56" s="1">
        <f t="shared" si="13"/>
        <v>2.8209951952084591</v>
      </c>
      <c r="C56" s="5">
        <f t="shared" si="14"/>
        <v>474946.86008205061</v>
      </c>
      <c r="D56" s="5">
        <f t="shared" si="15"/>
        <v>461166.45427958906</v>
      </c>
      <c r="E56" s="5">
        <f t="shared" si="1"/>
        <v>451666.45427958906</v>
      </c>
      <c r="F56" s="5">
        <f t="shared" si="2"/>
        <v>193872.41801286914</v>
      </c>
      <c r="G56" s="5">
        <f t="shared" si="3"/>
        <v>267294.03626671992</v>
      </c>
      <c r="H56" s="22">
        <f t="shared" si="16"/>
        <v>199772.32557452857</v>
      </c>
      <c r="I56" s="5">
        <f t="shared" si="17"/>
        <v>461073.19207401259</v>
      </c>
      <c r="J56" s="26">
        <f t="shared" si="5"/>
        <v>0.29550960190554837</v>
      </c>
      <c r="L56" s="22">
        <f t="shared" si="18"/>
        <v>734537.06897644361</v>
      </c>
      <c r="M56" s="5">
        <f>scrimecost*Meta!O53</f>
        <v>54.67</v>
      </c>
      <c r="N56" s="5">
        <f>L56-Grade16!L56</f>
        <v>37859.573486383306</v>
      </c>
      <c r="O56" s="5">
        <f>Grade16!M56-M56</f>
        <v>0</v>
      </c>
      <c r="P56" s="22">
        <f t="shared" si="12"/>
        <v>0</v>
      </c>
      <c r="Q56" s="22"/>
      <c r="R56" s="22"/>
      <c r="S56" s="22">
        <f t="shared" si="19"/>
        <v>20797.740239436316</v>
      </c>
      <c r="T56" s="22">
        <f t="shared" si="20"/>
        <v>3783.5962723494677</v>
      </c>
    </row>
    <row r="57" spans="1:20" x14ac:dyDescent="0.2">
      <c r="A57" s="5">
        <v>66</v>
      </c>
      <c r="C57" s="5"/>
      <c r="H57" s="21"/>
      <c r="I57" s="5"/>
      <c r="M57" s="5">
        <f>scrimecost*Meta!O54</f>
        <v>54.67</v>
      </c>
      <c r="N57" s="5">
        <f>L57-Grade16!L57</f>
        <v>0</v>
      </c>
      <c r="O57" s="5">
        <f>Grade16!M57-M57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54.67</v>
      </c>
      <c r="N58" s="5">
        <f>L58-Grade16!L58</f>
        <v>0</v>
      </c>
      <c r="O58" s="5">
        <f>Grade16!M58-M58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54.67</v>
      </c>
      <c r="N59" s="5">
        <f>L59-Grade16!L59</f>
        <v>0</v>
      </c>
      <c r="O59" s="5">
        <f>Grade16!M59-M59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54.67</v>
      </c>
      <c r="N60" s="5">
        <f>L60-Grade16!L60</f>
        <v>0</v>
      </c>
      <c r="O60" s="5">
        <f>Grade16!M60-M60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54.67</v>
      </c>
      <c r="N61" s="5">
        <f>L61-Grade16!L61</f>
        <v>0</v>
      </c>
      <c r="O61" s="5">
        <f>Grade16!M61-M61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54.67</v>
      </c>
      <c r="N62" s="5">
        <f>L62-Grade16!L62</f>
        <v>0</v>
      </c>
      <c r="O62" s="5">
        <f>Grade16!M62-M62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54.67</v>
      </c>
      <c r="N63" s="5">
        <f>L63-Grade16!L63</f>
        <v>0</v>
      </c>
      <c r="O63" s="5">
        <f>Grade16!M63-M63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54.67</v>
      </c>
      <c r="N64" s="5">
        <f>L64-Grade16!L64</f>
        <v>0</v>
      </c>
      <c r="O64" s="5">
        <f>Grade16!M64-M64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54.67</v>
      </c>
      <c r="N65" s="5">
        <f>L65-Grade16!L65</f>
        <v>0</v>
      </c>
      <c r="O65" s="5">
        <f>Grade16!M65-M65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54.67</v>
      </c>
      <c r="N66" s="5">
        <f>L66-Grade16!L66</f>
        <v>0</v>
      </c>
      <c r="O66" s="5">
        <f>Grade16!M66-M66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54.67</v>
      </c>
      <c r="N67" s="5">
        <f>L67-Grade16!L67</f>
        <v>0</v>
      </c>
      <c r="O67" s="5">
        <f>Grade16!M67-M67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54.67</v>
      </c>
      <c r="N68" s="5">
        <f>L68-Grade16!L68</f>
        <v>0</v>
      </c>
      <c r="O68" s="5">
        <f>Grade16!M68-M68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54.67</v>
      </c>
      <c r="N69" s="5">
        <f>L69-Grade16!L69</f>
        <v>0</v>
      </c>
      <c r="O69" s="5">
        <f>Grade16!M69-M69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5.6934368330985308E-10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Meta!A12+6</f>
        <v>24</v>
      </c>
      <c r="C2" s="7">
        <f>Meta!B12</f>
        <v>355337</v>
      </c>
      <c r="D2" s="7">
        <f>Meta!C12</f>
        <v>145688</v>
      </c>
      <c r="E2" s="1">
        <f>Meta!D12</f>
        <v>2.7E-2</v>
      </c>
      <c r="F2" s="1">
        <f>Meta!F12</f>
        <v>0.77700000000000002</v>
      </c>
      <c r="G2" s="1">
        <f>Meta!I12</f>
        <v>1.7342811382937739</v>
      </c>
      <c r="H2" s="1">
        <f>Meta!E12</f>
        <v>0.70699999999999996</v>
      </c>
      <c r="I2" s="13"/>
      <c r="J2" s="1">
        <f>Meta!X11</f>
        <v>0.77700000000000002</v>
      </c>
      <c r="K2" s="1">
        <f>Meta!D11</f>
        <v>0.03</v>
      </c>
      <c r="L2" s="29"/>
      <c r="N2" s="22">
        <f>Meta!T12</f>
        <v>355337</v>
      </c>
      <c r="O2" s="22">
        <f>Meta!U12</f>
        <v>145688</v>
      </c>
      <c r="P2" s="1">
        <f>Meta!V12</f>
        <v>2.7E-2</v>
      </c>
      <c r="Q2" s="1">
        <f>Meta!X12</f>
        <v>0.77700000000000002</v>
      </c>
      <c r="R2" s="22">
        <f>Meta!W12</f>
        <v>994</v>
      </c>
      <c r="T2" s="12">
        <f>IRR(S5:S69)+1</f>
        <v>1.0385646023865029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6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C13" s="5"/>
      <c r="D13" s="5"/>
      <c r="E13" s="5"/>
      <c r="F13" s="5"/>
      <c r="G13" s="5"/>
      <c r="H13" s="22"/>
      <c r="I13" s="5"/>
      <c r="J13" s="26"/>
      <c r="L13" s="22"/>
      <c r="M13" s="5"/>
      <c r="N13" s="5"/>
      <c r="O13" s="5"/>
      <c r="P13" s="22"/>
      <c r="Q13" s="22"/>
      <c r="R13" s="22"/>
      <c r="S13" s="22"/>
      <c r="T13" s="22"/>
    </row>
    <row r="14" spans="1:20" x14ac:dyDescent="0.2">
      <c r="A14" s="5">
        <v>23</v>
      </c>
      <c r="B14" s="1">
        <v>1</v>
      </c>
      <c r="C14" s="5">
        <f>0.1*Grade17!C14</f>
        <v>16836.145658410245</v>
      </c>
      <c r="D14" s="5">
        <f t="shared" ref="D14:D36" si="0">IF(A14&lt;startage,1,0)*(C14*(1-initialunempprob))+IF(A14=startage,1,0)*(C14*(1-unempprob))+IF(A14&gt;startage,1,0)*(C14*(1-unempprob)+unempprob*300*52)</f>
        <v>16331.061288657937</v>
      </c>
      <c r="E14" s="5">
        <f t="shared" ref="E14:E56" si="1">IF(D14-9500&gt;0,1,0)*(D14-9500)</f>
        <v>6831.0612886579365</v>
      </c>
      <c r="F14" s="5">
        <f t="shared" ref="F14:F56" si="2">IF(E14&lt;=8500,1,0)*(0.1*E14+0.1*E14+0.0765*D14)+IF(AND(E14&gt;8500,E14&lt;=34500),1,0)*(850+0.15*(E14-8500)+0.1*E14+0.0765*D14)+IF(AND(E14&gt;34500,E14&lt;=83600),1,0)*(4750+0.25*(E14-34500)+0.1*E14+0.0765*D14)+IF(AND(E14&gt;83600,E14&lt;=174400,D14&lt;=106800),1,0)*(17025+0.28*(E14-83600)+0.1*E14+0.0765*D14)+IF(AND(E14&gt;83600,E14&lt;=174400,D14&gt;106800),1,0)*(17025+0.28*(E14-83600)+0.1*E14+8170.2+0.0145*(D14-106800))+IF(AND(E14&gt;174400,E14&lt;=379150),1,0)*(42449+0.33*(E14-174400)+0.1*E14+8170.2+0.0145*(D14-106800))+IF(E14&gt;379150,1,0)*(110016.5+0.35*(E14-379150)+0.1*E14+8170.2+0.0145*(D14-106800))</f>
        <v>2615.5384463139198</v>
      </c>
      <c r="G14" s="5">
        <f t="shared" ref="G14:G56" si="3">D14-F14</f>
        <v>13715.522842344017</v>
      </c>
      <c r="H14" s="22">
        <f>0.1*Grade17!H14</f>
        <v>7081.6258713892021</v>
      </c>
      <c r="I14" s="5">
        <f t="shared" ref="I14:I36" si="4">G14+IF(A14&lt;startage,1,0)*(H14*(1-initialunempprob))+IF(A14&gt;=startage,1,0)*(H14*(1-unempprob))</f>
        <v>20584.699937591544</v>
      </c>
      <c r="J14" s="26">
        <f t="shared" ref="J14:J56" si="5">(F14-(IF(A14&gt;startage,1,0)*(unempprob*300*52)))/(IF(A14&lt;startage,1,0)*((C14+H14)*(1-initialunempprob))+IF(A14&gt;=startage,1,0)*((C14+H14)*(1-unempprob)))</f>
        <v>0.11273756773673406</v>
      </c>
      <c r="L14" s="22">
        <f>0.1*Grade17!L14</f>
        <v>26038.224745085558</v>
      </c>
      <c r="M14" s="5">
        <f>scrimecost*Meta!O11</f>
        <v>2608.2560000000003</v>
      </c>
      <c r="N14" s="5">
        <f>L14-Grade17!L14</f>
        <v>-234344.02270577001</v>
      </c>
      <c r="O14" s="5"/>
      <c r="P14" s="22"/>
      <c r="Q14" s="22">
        <f>0.05*feel*Grade17!G14</f>
        <v>1431.5836654395334</v>
      </c>
      <c r="R14" s="22">
        <f>coltuition</f>
        <v>8279</v>
      </c>
      <c r="S14" s="22">
        <f t="shared" ref="S14:S45" si="6">IF(A14&lt;startage,1,0)*(N14-Q14-R14)+IF(A14&gt;=startage,1,0)*completionprob*(N14*spart+O14+P14)</f>
        <v>-244054.60637120955</v>
      </c>
      <c r="T14" s="22">
        <f t="shared" ref="T14:T45" si="7">S14/sreturn^(A14-startage+1)</f>
        <v>-244054.60637120955</v>
      </c>
    </row>
    <row r="15" spans="1:20" x14ac:dyDescent="0.2">
      <c r="A15" s="5">
        <v>24</v>
      </c>
      <c r="B15" s="1">
        <f t="shared" ref="B15:B36" si="8">(1+experiencepremium)^(A15-startage)</f>
        <v>1</v>
      </c>
      <c r="C15" s="5">
        <f t="shared" ref="C15:C36" si="9">pretaxincome*B15/expnorm</f>
        <v>204890.07932680903</v>
      </c>
      <c r="D15" s="5">
        <f t="shared" si="0"/>
        <v>199358.04718498519</v>
      </c>
      <c r="E15" s="5">
        <f t="shared" si="1"/>
        <v>189858.04718498519</v>
      </c>
      <c r="F15" s="5">
        <f t="shared" si="2"/>
        <v>76048.251973725928</v>
      </c>
      <c r="G15" s="5">
        <f t="shared" si="3"/>
        <v>123309.79521125926</v>
      </c>
      <c r="H15" s="22">
        <f t="shared" ref="H15:H36" si="10">benefits*B15/expnorm</f>
        <v>84004.834500668818</v>
      </c>
      <c r="I15" s="5">
        <f t="shared" si="4"/>
        <v>205046.49918041</v>
      </c>
      <c r="J15" s="26">
        <f t="shared" si="5"/>
        <v>0.27054312348943688</v>
      </c>
      <c r="L15" s="22">
        <f t="shared" ref="L15:L36" si="11">(sincome+sbenefits)*(1-sunemp)*B15/expnorm</f>
        <v>281094.75115413597</v>
      </c>
      <c r="M15" s="5">
        <f>scrimecost*Meta!O12</f>
        <v>2491.9580000000001</v>
      </c>
      <c r="N15" s="5">
        <f>L15-Grade17!L15</f>
        <v>14202.947517009045</v>
      </c>
      <c r="O15" s="5">
        <f>Grade17!M15-M15</f>
        <v>0</v>
      </c>
      <c r="P15" s="22">
        <f t="shared" ref="P15:P56" si="12">(spart-initialspart)*(L15*J15+nptrans)</f>
        <v>0</v>
      </c>
      <c r="Q15" s="22"/>
      <c r="R15" s="22"/>
      <c r="S15" s="22">
        <f t="shared" si="6"/>
        <v>7802.2329860462305</v>
      </c>
      <c r="T15" s="22">
        <f t="shared" si="7"/>
        <v>7512.5158012487518</v>
      </c>
    </row>
    <row r="16" spans="1:20" x14ac:dyDescent="0.2">
      <c r="A16" s="5">
        <v>25</v>
      </c>
      <c r="B16" s="1">
        <f t="shared" si="8"/>
        <v>1.0249999999999999</v>
      </c>
      <c r="C16" s="5">
        <f t="shared" si="9"/>
        <v>210012.33130997926</v>
      </c>
      <c r="D16" s="5">
        <f t="shared" si="0"/>
        <v>204763.19836460982</v>
      </c>
      <c r="E16" s="5">
        <f t="shared" si="1"/>
        <v>195263.19836460982</v>
      </c>
      <c r="F16" s="5">
        <f t="shared" si="2"/>
        <v>78450.841673069066</v>
      </c>
      <c r="G16" s="5">
        <f t="shared" si="3"/>
        <v>126312.35669154076</v>
      </c>
      <c r="H16" s="22">
        <f t="shared" si="10"/>
        <v>86104.955363185523</v>
      </c>
      <c r="I16" s="5">
        <f t="shared" si="4"/>
        <v>210092.47825992026</v>
      </c>
      <c r="J16" s="26">
        <f t="shared" si="5"/>
        <v>0.27082142006735543</v>
      </c>
      <c r="L16" s="22">
        <f t="shared" si="11"/>
        <v>288122.11993298936</v>
      </c>
      <c r="M16" s="5">
        <f>scrimecost*Meta!O13</f>
        <v>2092.37</v>
      </c>
      <c r="N16" s="5">
        <f>L16-Grade17!L16</f>
        <v>14558.021204934223</v>
      </c>
      <c r="O16" s="5">
        <f>Grade17!M16-M16</f>
        <v>0</v>
      </c>
      <c r="P16" s="22">
        <f t="shared" si="12"/>
        <v>0</v>
      </c>
      <c r="Q16" s="22"/>
      <c r="R16" s="22"/>
      <c r="S16" s="22">
        <f t="shared" si="6"/>
        <v>7997.2888106973605</v>
      </c>
      <c r="T16" s="22">
        <f t="shared" si="7"/>
        <v>7414.3954825587825</v>
      </c>
    </row>
    <row r="17" spans="1:20" x14ac:dyDescent="0.2">
      <c r="A17" s="5">
        <v>26</v>
      </c>
      <c r="B17" s="1">
        <f t="shared" si="8"/>
        <v>1.0506249999999999</v>
      </c>
      <c r="C17" s="5">
        <f t="shared" si="9"/>
        <v>215262.63959272872</v>
      </c>
      <c r="D17" s="5">
        <f t="shared" si="0"/>
        <v>209871.74832372504</v>
      </c>
      <c r="E17" s="5">
        <f t="shared" si="1"/>
        <v>200371.74832372504</v>
      </c>
      <c r="F17" s="5">
        <f t="shared" si="2"/>
        <v>80721.592129895784</v>
      </c>
      <c r="G17" s="5">
        <f t="shared" si="3"/>
        <v>129150.15619382926</v>
      </c>
      <c r="H17" s="22">
        <f t="shared" si="10"/>
        <v>88257.579247265166</v>
      </c>
      <c r="I17" s="5">
        <f t="shared" si="4"/>
        <v>215024.78080141827</v>
      </c>
      <c r="J17" s="26">
        <f t="shared" si="5"/>
        <v>0.27190500333194367</v>
      </c>
      <c r="L17" s="22">
        <f t="shared" si="11"/>
        <v>295325.17293131404</v>
      </c>
      <c r="M17" s="5">
        <f>scrimecost*Meta!O14</f>
        <v>2092.37</v>
      </c>
      <c r="N17" s="5">
        <f>L17-Grade17!L17</f>
        <v>14921.971735057537</v>
      </c>
      <c r="O17" s="5">
        <f>Grade17!M17-M17</f>
        <v>0</v>
      </c>
      <c r="P17" s="22">
        <f t="shared" si="12"/>
        <v>0</v>
      </c>
      <c r="Q17" s="22"/>
      <c r="R17" s="22"/>
      <c r="S17" s="22">
        <f t="shared" si="6"/>
        <v>8197.2210309647726</v>
      </c>
      <c r="T17" s="22">
        <f t="shared" si="7"/>
        <v>7317.5567048591502</v>
      </c>
    </row>
    <row r="18" spans="1:20" x14ac:dyDescent="0.2">
      <c r="A18" s="5">
        <v>27</v>
      </c>
      <c r="B18" s="1">
        <f t="shared" si="8"/>
        <v>1.0768906249999999</v>
      </c>
      <c r="C18" s="5">
        <f t="shared" si="9"/>
        <v>220644.20558254691</v>
      </c>
      <c r="D18" s="5">
        <f t="shared" si="0"/>
        <v>215108.01203181816</v>
      </c>
      <c r="E18" s="5">
        <f t="shared" si="1"/>
        <v>205608.01203181816</v>
      </c>
      <c r="F18" s="5">
        <f t="shared" si="2"/>
        <v>83049.111348143182</v>
      </c>
      <c r="G18" s="5">
        <f t="shared" si="3"/>
        <v>132058.90068367496</v>
      </c>
      <c r="H18" s="22">
        <f t="shared" si="10"/>
        <v>90464.018728446783</v>
      </c>
      <c r="I18" s="5">
        <f t="shared" si="4"/>
        <v>220080.39090645369</v>
      </c>
      <c r="J18" s="26">
        <f t="shared" si="5"/>
        <v>0.27296215773642007</v>
      </c>
      <c r="L18" s="22">
        <f t="shared" si="11"/>
        <v>302708.30225459684</v>
      </c>
      <c r="M18" s="5">
        <f>scrimecost*Meta!O15</f>
        <v>2092.37</v>
      </c>
      <c r="N18" s="5">
        <f>L18-Grade17!L18</f>
        <v>15295.021028433985</v>
      </c>
      <c r="O18" s="5">
        <f>Grade17!M18-M18</f>
        <v>0</v>
      </c>
      <c r="P18" s="22">
        <f t="shared" si="12"/>
        <v>0</v>
      </c>
      <c r="Q18" s="22"/>
      <c r="R18" s="22"/>
      <c r="S18" s="22">
        <f t="shared" si="6"/>
        <v>8402.151556738896</v>
      </c>
      <c r="T18" s="22">
        <f t="shared" si="7"/>
        <v>7221.9827300539118</v>
      </c>
    </row>
    <row r="19" spans="1:20" x14ac:dyDescent="0.2">
      <c r="A19" s="5">
        <v>28</v>
      </c>
      <c r="B19" s="1">
        <f t="shared" si="8"/>
        <v>1.1038128906249998</v>
      </c>
      <c r="C19" s="5">
        <f t="shared" si="9"/>
        <v>226160.31072211059</v>
      </c>
      <c r="D19" s="5">
        <f t="shared" si="0"/>
        <v>220475.18233261362</v>
      </c>
      <c r="E19" s="5">
        <f t="shared" si="1"/>
        <v>210975.18233261362</v>
      </c>
      <c r="F19" s="5">
        <f t="shared" si="2"/>
        <v>85434.818546846756</v>
      </c>
      <c r="G19" s="5">
        <f t="shared" si="3"/>
        <v>135040.36378576688</v>
      </c>
      <c r="H19" s="22">
        <f t="shared" si="10"/>
        <v>92725.61919665795</v>
      </c>
      <c r="I19" s="5">
        <f t="shared" si="4"/>
        <v>225262.39126411505</v>
      </c>
      <c r="J19" s="26">
        <f t="shared" si="5"/>
        <v>0.27399352788712866</v>
      </c>
      <c r="L19" s="22">
        <f t="shared" si="11"/>
        <v>310276.00981096178</v>
      </c>
      <c r="M19" s="5">
        <f>scrimecost*Meta!O16</f>
        <v>2092.37</v>
      </c>
      <c r="N19" s="5">
        <f>L19-Grade17!L19</f>
        <v>15677.396554144856</v>
      </c>
      <c r="O19" s="5">
        <f>Grade17!M19-M19</f>
        <v>0</v>
      </c>
      <c r="P19" s="22">
        <f t="shared" si="12"/>
        <v>0</v>
      </c>
      <c r="Q19" s="22"/>
      <c r="R19" s="22"/>
      <c r="S19" s="22">
        <f t="shared" si="6"/>
        <v>8612.2053456573813</v>
      </c>
      <c r="T19" s="22">
        <f t="shared" si="7"/>
        <v>7127.6570386619151</v>
      </c>
    </row>
    <row r="20" spans="1:20" x14ac:dyDescent="0.2">
      <c r="A20" s="5">
        <v>29</v>
      </c>
      <c r="B20" s="1">
        <f t="shared" si="8"/>
        <v>1.1314082128906247</v>
      </c>
      <c r="C20" s="5">
        <f t="shared" si="9"/>
        <v>231814.31849016331</v>
      </c>
      <c r="D20" s="5">
        <f t="shared" si="0"/>
        <v>225976.53189092889</v>
      </c>
      <c r="E20" s="5">
        <f t="shared" si="1"/>
        <v>216476.53189092889</v>
      </c>
      <c r="F20" s="5">
        <f t="shared" si="2"/>
        <v>87880.168425517899</v>
      </c>
      <c r="G20" s="5">
        <f t="shared" si="3"/>
        <v>138096.36346541101</v>
      </c>
      <c r="H20" s="22">
        <f t="shared" si="10"/>
        <v>95043.759676574395</v>
      </c>
      <c r="I20" s="5">
        <f t="shared" si="4"/>
        <v>230573.94163071789</v>
      </c>
      <c r="J20" s="26">
        <f t="shared" si="5"/>
        <v>0.27499974266830779</v>
      </c>
      <c r="L20" s="22">
        <f t="shared" si="11"/>
        <v>318032.91005623579</v>
      </c>
      <c r="M20" s="5">
        <f>scrimecost*Meta!O17</f>
        <v>2092.37</v>
      </c>
      <c r="N20" s="5">
        <f>L20-Grade17!L20</f>
        <v>16069.331467998505</v>
      </c>
      <c r="O20" s="5">
        <f>Grade17!M20-M20</f>
        <v>0</v>
      </c>
      <c r="P20" s="22">
        <f t="shared" si="12"/>
        <v>0</v>
      </c>
      <c r="Q20" s="22"/>
      <c r="R20" s="22"/>
      <c r="S20" s="22">
        <f t="shared" si="6"/>
        <v>8827.5104792988313</v>
      </c>
      <c r="T20" s="22">
        <f t="shared" si="7"/>
        <v>7034.5633269615282</v>
      </c>
    </row>
    <row r="21" spans="1:20" x14ac:dyDescent="0.2">
      <c r="A21" s="5">
        <v>30</v>
      </c>
      <c r="B21" s="1">
        <f t="shared" si="8"/>
        <v>1.1596934182128902</v>
      </c>
      <c r="C21" s="5">
        <f t="shared" si="9"/>
        <v>237609.67645241736</v>
      </c>
      <c r="D21" s="5">
        <f t="shared" si="0"/>
        <v>231615.41518820211</v>
      </c>
      <c r="E21" s="5">
        <f t="shared" si="1"/>
        <v>222115.41518820211</v>
      </c>
      <c r="F21" s="5">
        <f t="shared" si="2"/>
        <v>90386.652051155848</v>
      </c>
      <c r="G21" s="5">
        <f t="shared" si="3"/>
        <v>141228.76313704625</v>
      </c>
      <c r="H21" s="22">
        <f t="shared" si="10"/>
        <v>97419.853668488737</v>
      </c>
      <c r="I21" s="5">
        <f t="shared" si="4"/>
        <v>236018.28075648576</v>
      </c>
      <c r="J21" s="26">
        <f t="shared" si="5"/>
        <v>0.27598141562555573</v>
      </c>
      <c r="L21" s="22">
        <f t="shared" si="11"/>
        <v>325983.73280764167</v>
      </c>
      <c r="M21" s="5">
        <f>scrimecost*Meta!O18</f>
        <v>1686.818</v>
      </c>
      <c r="N21" s="5">
        <f>L21-Grade17!L21</f>
        <v>16471.064754698426</v>
      </c>
      <c r="O21" s="5">
        <f>Grade17!M21-M21</f>
        <v>0</v>
      </c>
      <c r="P21" s="22">
        <f t="shared" si="12"/>
        <v>0</v>
      </c>
      <c r="Q21" s="22"/>
      <c r="R21" s="22"/>
      <c r="S21" s="22">
        <f t="shared" si="6"/>
        <v>9048.1982412812777</v>
      </c>
      <c r="T21" s="22">
        <f t="shared" si="7"/>
        <v>6942.685504172593</v>
      </c>
    </row>
    <row r="22" spans="1:20" x14ac:dyDescent="0.2">
      <c r="A22" s="5">
        <v>31</v>
      </c>
      <c r="B22" s="1">
        <f t="shared" si="8"/>
        <v>1.1886857536682125</v>
      </c>
      <c r="C22" s="5">
        <f t="shared" si="9"/>
        <v>243549.91836372783</v>
      </c>
      <c r="D22" s="5">
        <f t="shared" si="0"/>
        <v>237395.2705679072</v>
      </c>
      <c r="E22" s="5">
        <f t="shared" si="1"/>
        <v>227895.2705679072</v>
      </c>
      <c r="F22" s="5">
        <f t="shared" si="2"/>
        <v>92955.797767434749</v>
      </c>
      <c r="G22" s="5">
        <f t="shared" si="3"/>
        <v>144439.47280047246</v>
      </c>
      <c r="H22" s="22">
        <f t="shared" si="10"/>
        <v>99855.350010200971</v>
      </c>
      <c r="I22" s="5">
        <f t="shared" si="4"/>
        <v>241598.728360398</v>
      </c>
      <c r="J22" s="26">
        <f t="shared" si="5"/>
        <v>0.27693914533994396</v>
      </c>
      <c r="L22" s="22">
        <f t="shared" si="11"/>
        <v>334133.32612783276</v>
      </c>
      <c r="M22" s="5">
        <f>scrimecost*Meta!O19</f>
        <v>1686.818</v>
      </c>
      <c r="N22" s="5">
        <f>L22-Grade17!L22</f>
        <v>16882.841373565898</v>
      </c>
      <c r="O22" s="5">
        <f>Grade17!M22-M22</f>
        <v>0</v>
      </c>
      <c r="P22" s="22">
        <f t="shared" si="12"/>
        <v>0</v>
      </c>
      <c r="Q22" s="22"/>
      <c r="R22" s="22"/>
      <c r="S22" s="22">
        <f t="shared" si="6"/>
        <v>9274.4031973133169</v>
      </c>
      <c r="T22" s="22">
        <f t="shared" si="7"/>
        <v>6852.0076896753244</v>
      </c>
    </row>
    <row r="23" spans="1:20" x14ac:dyDescent="0.2">
      <c r="A23" s="5">
        <v>32</v>
      </c>
      <c r="B23" s="1">
        <f t="shared" si="8"/>
        <v>1.2184028975099177</v>
      </c>
      <c r="C23" s="5">
        <f t="shared" si="9"/>
        <v>249638.66632282099</v>
      </c>
      <c r="D23" s="5">
        <f t="shared" si="0"/>
        <v>243319.62233210483</v>
      </c>
      <c r="E23" s="5">
        <f t="shared" si="1"/>
        <v>233819.62233210483</v>
      </c>
      <c r="F23" s="5">
        <f t="shared" si="2"/>
        <v>95589.1721266206</v>
      </c>
      <c r="G23" s="5">
        <f t="shared" si="3"/>
        <v>147730.45020548423</v>
      </c>
      <c r="H23" s="22">
        <f t="shared" si="10"/>
        <v>102351.73376045599</v>
      </c>
      <c r="I23" s="5">
        <f t="shared" si="4"/>
        <v>247318.6871544079</v>
      </c>
      <c r="J23" s="26">
        <f t="shared" si="5"/>
        <v>0.27787351579300562</v>
      </c>
      <c r="L23" s="22">
        <f t="shared" si="11"/>
        <v>342486.65928102849</v>
      </c>
      <c r="M23" s="5">
        <f>scrimecost*Meta!O20</f>
        <v>1686.818</v>
      </c>
      <c r="N23" s="5">
        <f>L23-Grade17!L23</f>
        <v>17304.912407905096</v>
      </c>
      <c r="O23" s="5">
        <f>Grade17!M23-M23</f>
        <v>0</v>
      </c>
      <c r="P23" s="22">
        <f t="shared" si="12"/>
        <v>0</v>
      </c>
      <c r="Q23" s="22"/>
      <c r="R23" s="22"/>
      <c r="S23" s="22">
        <f t="shared" si="6"/>
        <v>9506.2632772461766</v>
      </c>
      <c r="T23" s="22">
        <f t="shared" si="7"/>
        <v>6762.5142102652708</v>
      </c>
    </row>
    <row r="24" spans="1:20" x14ac:dyDescent="0.2">
      <c r="A24" s="5">
        <v>33</v>
      </c>
      <c r="B24" s="1">
        <f t="shared" si="8"/>
        <v>1.2488629699476654</v>
      </c>
      <c r="C24" s="5">
        <f t="shared" si="9"/>
        <v>255879.6329808915</v>
      </c>
      <c r="D24" s="5">
        <f t="shared" si="0"/>
        <v>249392.08289040744</v>
      </c>
      <c r="E24" s="5">
        <f t="shared" si="1"/>
        <v>239892.08289040744</v>
      </c>
      <c r="F24" s="5">
        <f t="shared" si="2"/>
        <v>98288.380844786123</v>
      </c>
      <c r="G24" s="5">
        <f t="shared" si="3"/>
        <v>151103.70204562132</v>
      </c>
      <c r="H24" s="22">
        <f t="shared" si="10"/>
        <v>104910.52710446737</v>
      </c>
      <c r="I24" s="5">
        <f t="shared" si="4"/>
        <v>253181.64491826808</v>
      </c>
      <c r="J24" s="26">
        <f t="shared" si="5"/>
        <v>0.27878509672282192</v>
      </c>
      <c r="L24" s="22">
        <f t="shared" si="11"/>
        <v>351048.82576305419</v>
      </c>
      <c r="M24" s="5">
        <f>scrimecost*Meta!O21</f>
        <v>1686.818</v>
      </c>
      <c r="N24" s="5">
        <f>L24-Grade17!L24</f>
        <v>17737.535218102683</v>
      </c>
      <c r="O24" s="5">
        <f>Grade17!M24-M24</f>
        <v>0</v>
      </c>
      <c r="P24" s="22">
        <f t="shared" si="12"/>
        <v>0</v>
      </c>
      <c r="Q24" s="22"/>
      <c r="R24" s="22"/>
      <c r="S24" s="22">
        <f t="shared" si="6"/>
        <v>9743.9198591773093</v>
      </c>
      <c r="T24" s="22">
        <f t="shared" si="7"/>
        <v>6674.1895974443123</v>
      </c>
    </row>
    <row r="25" spans="1:20" x14ac:dyDescent="0.2">
      <c r="A25" s="5">
        <v>34</v>
      </c>
      <c r="B25" s="1">
        <f t="shared" si="8"/>
        <v>1.2800845441963571</v>
      </c>
      <c r="C25" s="5">
        <f t="shared" si="9"/>
        <v>262276.62380541378</v>
      </c>
      <c r="D25" s="5">
        <f t="shared" si="0"/>
        <v>255616.35496266762</v>
      </c>
      <c r="E25" s="5">
        <f t="shared" si="1"/>
        <v>246116.35496266762</v>
      </c>
      <c r="F25" s="5">
        <f t="shared" si="2"/>
        <v>101055.06978090577</v>
      </c>
      <c r="G25" s="5">
        <f t="shared" si="3"/>
        <v>154561.28518176184</v>
      </c>
      <c r="H25" s="22">
        <f t="shared" si="10"/>
        <v>107533.29028207905</v>
      </c>
      <c r="I25" s="5">
        <f t="shared" si="4"/>
        <v>259191.17662622474</v>
      </c>
      <c r="J25" s="26">
        <f t="shared" si="5"/>
        <v>0.27967444397142316</v>
      </c>
      <c r="L25" s="22">
        <f t="shared" si="11"/>
        <v>359825.04640713055</v>
      </c>
      <c r="M25" s="5">
        <f>scrimecost*Meta!O22</f>
        <v>1686.818</v>
      </c>
      <c r="N25" s="5">
        <f>L25-Grade17!L25</f>
        <v>18180.973598555254</v>
      </c>
      <c r="O25" s="5">
        <f>Grade17!M25-M25</f>
        <v>0</v>
      </c>
      <c r="P25" s="22">
        <f t="shared" si="12"/>
        <v>0</v>
      </c>
      <c r="Q25" s="22"/>
      <c r="R25" s="22"/>
      <c r="S25" s="22">
        <f t="shared" si="6"/>
        <v>9987.5178556567444</v>
      </c>
      <c r="T25" s="22">
        <f t="shared" si="7"/>
        <v>6587.0185847471439</v>
      </c>
    </row>
    <row r="26" spans="1:20" x14ac:dyDescent="0.2">
      <c r="A26" s="5">
        <v>35</v>
      </c>
      <c r="B26" s="1">
        <f t="shared" si="8"/>
        <v>1.312086657801266</v>
      </c>
      <c r="C26" s="5">
        <f t="shared" si="9"/>
        <v>268833.53940054908</v>
      </c>
      <c r="D26" s="5">
        <f t="shared" si="0"/>
        <v>261996.23383673426</v>
      </c>
      <c r="E26" s="5">
        <f t="shared" si="1"/>
        <v>252496.23383673426</v>
      </c>
      <c r="F26" s="5">
        <f t="shared" si="2"/>
        <v>103890.92594042838</v>
      </c>
      <c r="G26" s="5">
        <f t="shared" si="3"/>
        <v>158105.30789630587</v>
      </c>
      <c r="H26" s="22">
        <f t="shared" si="10"/>
        <v>110221.62253913103</v>
      </c>
      <c r="I26" s="5">
        <f t="shared" si="4"/>
        <v>265350.94662688032</v>
      </c>
      <c r="J26" s="26">
        <f t="shared" si="5"/>
        <v>0.28054209982371703</v>
      </c>
      <c r="L26" s="22">
        <f t="shared" si="11"/>
        <v>368820.67256730882</v>
      </c>
      <c r="M26" s="5">
        <f>scrimecost*Meta!O23</f>
        <v>1309.098</v>
      </c>
      <c r="N26" s="5">
        <f>L26-Grade17!L26</f>
        <v>18635.497938519169</v>
      </c>
      <c r="O26" s="5">
        <f>Grade17!M26-M26</f>
        <v>0</v>
      </c>
      <c r="P26" s="22">
        <f t="shared" si="12"/>
        <v>0</v>
      </c>
      <c r="Q26" s="22"/>
      <c r="R26" s="22"/>
      <c r="S26" s="22">
        <f t="shared" si="6"/>
        <v>10237.205802048182</v>
      </c>
      <c r="T26" s="22">
        <f t="shared" si="7"/>
        <v>6500.98610510238</v>
      </c>
    </row>
    <row r="27" spans="1:20" x14ac:dyDescent="0.2">
      <c r="A27" s="5">
        <v>36</v>
      </c>
      <c r="B27" s="1">
        <f t="shared" si="8"/>
        <v>1.3448888242462975</v>
      </c>
      <c r="C27" s="5">
        <f t="shared" si="9"/>
        <v>275554.37788556283</v>
      </c>
      <c r="D27" s="5">
        <f t="shared" si="0"/>
        <v>268535.60968265263</v>
      </c>
      <c r="E27" s="5">
        <f t="shared" si="1"/>
        <v>259035.60968265263</v>
      </c>
      <c r="F27" s="5">
        <f t="shared" si="2"/>
        <v>106797.67850393908</v>
      </c>
      <c r="G27" s="5">
        <f t="shared" si="3"/>
        <v>161737.93117871357</v>
      </c>
      <c r="H27" s="22">
        <f t="shared" si="10"/>
        <v>112977.16310260928</v>
      </c>
      <c r="I27" s="5">
        <f t="shared" si="4"/>
        <v>271664.7108775524</v>
      </c>
      <c r="J27" s="26">
        <f t="shared" si="5"/>
        <v>0.28138859333815008</v>
      </c>
      <c r="L27" s="22">
        <f t="shared" si="11"/>
        <v>378041.18938149145</v>
      </c>
      <c r="M27" s="5">
        <f>scrimecost*Meta!O24</f>
        <v>1309.098</v>
      </c>
      <c r="N27" s="5">
        <f>L27-Grade17!L27</f>
        <v>19101.38538698206</v>
      </c>
      <c r="O27" s="5">
        <f>Grade17!M27-M27</f>
        <v>0</v>
      </c>
      <c r="P27" s="22">
        <f t="shared" si="12"/>
        <v>0</v>
      </c>
      <c r="Q27" s="22"/>
      <c r="R27" s="22"/>
      <c r="S27" s="22">
        <f t="shared" si="6"/>
        <v>10493.135947099337</v>
      </c>
      <c r="T27" s="22">
        <f t="shared" si="7"/>
        <v>6416.0772882283127</v>
      </c>
    </row>
    <row r="28" spans="1:20" x14ac:dyDescent="0.2">
      <c r="A28" s="5">
        <v>37</v>
      </c>
      <c r="B28" s="1">
        <f t="shared" si="8"/>
        <v>1.3785110448524549</v>
      </c>
      <c r="C28" s="5">
        <f t="shared" si="9"/>
        <v>282443.23733270186</v>
      </c>
      <c r="D28" s="5">
        <f t="shared" si="0"/>
        <v>275238.4699247189</v>
      </c>
      <c r="E28" s="5">
        <f t="shared" si="1"/>
        <v>265738.4699247189</v>
      </c>
      <c r="F28" s="5">
        <f t="shared" si="2"/>
        <v>109777.09988153756</v>
      </c>
      <c r="G28" s="5">
        <f t="shared" si="3"/>
        <v>165461.37004318135</v>
      </c>
      <c r="H28" s="22">
        <f t="shared" si="10"/>
        <v>115801.59218017451</v>
      </c>
      <c r="I28" s="5">
        <f t="shared" si="4"/>
        <v>278136.31923449115</v>
      </c>
      <c r="J28" s="26">
        <f t="shared" si="5"/>
        <v>0.28221444066930435</v>
      </c>
      <c r="L28" s="22">
        <f t="shared" si="11"/>
        <v>387492.21911602875</v>
      </c>
      <c r="M28" s="5">
        <f>scrimecost*Meta!O25</f>
        <v>1309.098</v>
      </c>
      <c r="N28" s="5">
        <f>L28-Grade17!L28</f>
        <v>19578.920021656668</v>
      </c>
      <c r="O28" s="5">
        <f>Grade17!M28-M28</f>
        <v>0</v>
      </c>
      <c r="P28" s="22">
        <f t="shared" si="12"/>
        <v>0</v>
      </c>
      <c r="Q28" s="22"/>
      <c r="R28" s="22"/>
      <c r="S28" s="22">
        <f t="shared" si="6"/>
        <v>10755.464345776852</v>
      </c>
      <c r="T28" s="22">
        <f t="shared" si="7"/>
        <v>6332.2774580628293</v>
      </c>
    </row>
    <row r="29" spans="1:20" x14ac:dyDescent="0.2">
      <c r="A29" s="5">
        <v>38</v>
      </c>
      <c r="B29" s="1">
        <f t="shared" si="8"/>
        <v>1.4129738209737661</v>
      </c>
      <c r="C29" s="5">
        <f t="shared" si="9"/>
        <v>289504.3182660194</v>
      </c>
      <c r="D29" s="5">
        <f t="shared" si="0"/>
        <v>282108.90167283686</v>
      </c>
      <c r="E29" s="5">
        <f t="shared" si="1"/>
        <v>272608.90167283686</v>
      </c>
      <c r="F29" s="5">
        <f t="shared" si="2"/>
        <v>112831.00679357597</v>
      </c>
      <c r="G29" s="5">
        <f t="shared" si="3"/>
        <v>169277.89487926089</v>
      </c>
      <c r="H29" s="22">
        <f t="shared" si="10"/>
        <v>118696.63198467885</v>
      </c>
      <c r="I29" s="5">
        <f t="shared" si="4"/>
        <v>284769.71780035342</v>
      </c>
      <c r="J29" s="26">
        <f t="shared" si="5"/>
        <v>0.28302014538262549</v>
      </c>
      <c r="L29" s="22">
        <f t="shared" si="11"/>
        <v>397179.52459392947</v>
      </c>
      <c r="M29" s="5">
        <f>scrimecost*Meta!O26</f>
        <v>1309.098</v>
      </c>
      <c r="N29" s="5">
        <f>L29-Grade17!L29</f>
        <v>20068.393022198055</v>
      </c>
      <c r="O29" s="5">
        <f>Grade17!M29-M29</f>
        <v>0</v>
      </c>
      <c r="P29" s="22">
        <f t="shared" si="12"/>
        <v>0</v>
      </c>
      <c r="Q29" s="22"/>
      <c r="R29" s="22"/>
      <c r="S29" s="22">
        <f t="shared" si="6"/>
        <v>11024.350954421257</v>
      </c>
      <c r="T29" s="22">
        <f t="shared" si="7"/>
        <v>6249.5721302264383</v>
      </c>
    </row>
    <row r="30" spans="1:20" x14ac:dyDescent="0.2">
      <c r="A30" s="5">
        <v>39</v>
      </c>
      <c r="B30" s="1">
        <f t="shared" si="8"/>
        <v>1.4482981664981105</v>
      </c>
      <c r="C30" s="5">
        <f t="shared" si="9"/>
        <v>296741.92622266995</v>
      </c>
      <c r="D30" s="5">
        <f t="shared" si="0"/>
        <v>289151.09421465785</v>
      </c>
      <c r="E30" s="5">
        <f t="shared" si="1"/>
        <v>279651.09421465785</v>
      </c>
      <c r="F30" s="5">
        <f t="shared" si="2"/>
        <v>115961.26137841542</v>
      </c>
      <c r="G30" s="5">
        <f t="shared" si="3"/>
        <v>173189.83283624242</v>
      </c>
      <c r="H30" s="22">
        <f t="shared" si="10"/>
        <v>121664.04778429586</v>
      </c>
      <c r="I30" s="5">
        <f t="shared" si="4"/>
        <v>291568.9513303623</v>
      </c>
      <c r="J30" s="26">
        <f t="shared" si="5"/>
        <v>0.2838061987614755</v>
      </c>
      <c r="L30" s="22">
        <f t="shared" si="11"/>
        <v>407109.01270877774</v>
      </c>
      <c r="M30" s="5">
        <f>scrimecost*Meta!O27</f>
        <v>1309.098</v>
      </c>
      <c r="N30" s="5">
        <f>L30-Grade17!L30</f>
        <v>20570.102847753034</v>
      </c>
      <c r="O30" s="5">
        <f>Grade17!M30-M30</f>
        <v>0</v>
      </c>
      <c r="P30" s="22">
        <f t="shared" si="12"/>
        <v>0</v>
      </c>
      <c r="Q30" s="22"/>
      <c r="R30" s="22"/>
      <c r="S30" s="22">
        <f t="shared" si="6"/>
        <v>11299.959728281803</v>
      </c>
      <c r="T30" s="22">
        <f t="shared" si="7"/>
        <v>6167.9470095189872</v>
      </c>
    </row>
    <row r="31" spans="1:20" x14ac:dyDescent="0.2">
      <c r="A31" s="5">
        <v>40</v>
      </c>
      <c r="B31" s="1">
        <f t="shared" si="8"/>
        <v>1.4845056206605631</v>
      </c>
      <c r="C31" s="5">
        <f t="shared" si="9"/>
        <v>304160.47437823663</v>
      </c>
      <c r="D31" s="5">
        <f t="shared" si="0"/>
        <v>296369.34157002426</v>
      </c>
      <c r="E31" s="5">
        <f t="shared" si="1"/>
        <v>286869.34157002426</v>
      </c>
      <c r="F31" s="5">
        <f t="shared" si="2"/>
        <v>119169.77232787579</v>
      </c>
      <c r="G31" s="5">
        <f t="shared" si="3"/>
        <v>177199.56924214849</v>
      </c>
      <c r="H31" s="22">
        <f t="shared" si="10"/>
        <v>124705.64897890325</v>
      </c>
      <c r="I31" s="5">
        <f t="shared" si="4"/>
        <v>298538.16569862136</v>
      </c>
      <c r="J31" s="26">
        <f t="shared" si="5"/>
        <v>0.28457308010669496</v>
      </c>
      <c r="L31" s="22">
        <f t="shared" si="11"/>
        <v>417286.73802649713</v>
      </c>
      <c r="M31" s="5">
        <f>scrimecost*Meta!O28</f>
        <v>1145.088</v>
      </c>
      <c r="N31" s="5">
        <f>L31-Grade17!L31</f>
        <v>21084.355418946885</v>
      </c>
      <c r="O31" s="5">
        <f>Grade17!M31-M31</f>
        <v>0</v>
      </c>
      <c r="P31" s="22">
        <f t="shared" si="12"/>
        <v>0</v>
      </c>
      <c r="Q31" s="22"/>
      <c r="R31" s="22"/>
      <c r="S31" s="22">
        <f t="shared" si="6"/>
        <v>11582.458721488862</v>
      </c>
      <c r="T31" s="22">
        <f t="shared" si="7"/>
        <v>6087.3879874486374</v>
      </c>
    </row>
    <row r="32" spans="1:20" x14ac:dyDescent="0.2">
      <c r="A32" s="5">
        <v>41</v>
      </c>
      <c r="B32" s="1">
        <f t="shared" si="8"/>
        <v>1.521618261177077</v>
      </c>
      <c r="C32" s="5">
        <f t="shared" si="9"/>
        <v>311764.48623769253</v>
      </c>
      <c r="D32" s="5">
        <f t="shared" si="0"/>
        <v>303768.04510927486</v>
      </c>
      <c r="E32" s="5">
        <f t="shared" si="1"/>
        <v>294268.04510927486</v>
      </c>
      <c r="F32" s="5">
        <f t="shared" si="2"/>
        <v>122458.49605107267</v>
      </c>
      <c r="G32" s="5">
        <f t="shared" si="3"/>
        <v>181309.54905820219</v>
      </c>
      <c r="H32" s="22">
        <f t="shared" si="10"/>
        <v>127823.2902033758</v>
      </c>
      <c r="I32" s="5">
        <f t="shared" si="4"/>
        <v>305681.61042608682</v>
      </c>
      <c r="J32" s="26">
        <f t="shared" si="5"/>
        <v>0.2853212570288603</v>
      </c>
      <c r="L32" s="22">
        <f t="shared" si="11"/>
        <v>427718.90647715947</v>
      </c>
      <c r="M32" s="5">
        <f>scrimecost*Meta!O29</f>
        <v>1145.088</v>
      </c>
      <c r="N32" s="5">
        <f>L32-Grade17!L32</f>
        <v>21611.464304420457</v>
      </c>
      <c r="O32" s="5">
        <f>Grade17!M32-M32</f>
        <v>0</v>
      </c>
      <c r="P32" s="22">
        <f t="shared" si="12"/>
        <v>0</v>
      </c>
      <c r="Q32" s="22"/>
      <c r="R32" s="22"/>
      <c r="S32" s="22">
        <f t="shared" si="6"/>
        <v>11872.020189526029</v>
      </c>
      <c r="T32" s="22">
        <f t="shared" si="7"/>
        <v>6007.881139793325</v>
      </c>
    </row>
    <row r="33" spans="1:20" x14ac:dyDescent="0.2">
      <c r="A33" s="5">
        <v>42</v>
      </c>
      <c r="B33" s="1">
        <f t="shared" si="8"/>
        <v>1.559658717706504</v>
      </c>
      <c r="C33" s="5">
        <f t="shared" si="9"/>
        <v>319558.59839363483</v>
      </c>
      <c r="D33" s="5">
        <f t="shared" si="0"/>
        <v>311351.71623700671</v>
      </c>
      <c r="E33" s="5">
        <f t="shared" si="1"/>
        <v>301851.71623700671</v>
      </c>
      <c r="F33" s="5">
        <f t="shared" si="2"/>
        <v>125829.43786734948</v>
      </c>
      <c r="G33" s="5">
        <f t="shared" si="3"/>
        <v>185522.27836965723</v>
      </c>
      <c r="H33" s="22">
        <f t="shared" si="10"/>
        <v>131018.87245846022</v>
      </c>
      <c r="I33" s="5">
        <f t="shared" si="4"/>
        <v>313003.64127173903</v>
      </c>
      <c r="J33" s="26">
        <f t="shared" si="5"/>
        <v>0.28605118573341176</v>
      </c>
      <c r="L33" s="22">
        <f t="shared" si="11"/>
        <v>438411.87913908844</v>
      </c>
      <c r="M33" s="5">
        <f>scrimecost*Meta!O30</f>
        <v>1145.088</v>
      </c>
      <c r="N33" s="5">
        <f>L33-Grade17!L33</f>
        <v>22151.750912030984</v>
      </c>
      <c r="O33" s="5">
        <f>Grade17!M33-M33</f>
        <v>0</v>
      </c>
      <c r="P33" s="22">
        <f t="shared" si="12"/>
        <v>0</v>
      </c>
      <c r="Q33" s="22"/>
      <c r="R33" s="22"/>
      <c r="S33" s="22">
        <f t="shared" si="6"/>
        <v>12168.820694264188</v>
      </c>
      <c r="T33" s="22">
        <f t="shared" si="7"/>
        <v>5929.4127241941442</v>
      </c>
    </row>
    <row r="34" spans="1:20" x14ac:dyDescent="0.2">
      <c r="A34" s="5">
        <v>43</v>
      </c>
      <c r="B34" s="1">
        <f t="shared" si="8"/>
        <v>1.5986501856491666</v>
      </c>
      <c r="C34" s="5">
        <f t="shared" si="9"/>
        <v>327547.56335347571</v>
      </c>
      <c r="D34" s="5">
        <f t="shared" si="0"/>
        <v>319124.97914293187</v>
      </c>
      <c r="E34" s="5">
        <f t="shared" si="1"/>
        <v>309624.97914293187</v>
      </c>
      <c r="F34" s="5">
        <f t="shared" si="2"/>
        <v>129284.65322903323</v>
      </c>
      <c r="G34" s="5">
        <f t="shared" si="3"/>
        <v>189840.32591389865</v>
      </c>
      <c r="H34" s="22">
        <f t="shared" si="10"/>
        <v>134294.34426992171</v>
      </c>
      <c r="I34" s="5">
        <f t="shared" si="4"/>
        <v>320508.72288853244</v>
      </c>
      <c r="J34" s="26">
        <f t="shared" si="5"/>
        <v>0.28676331129882798</v>
      </c>
      <c r="L34" s="22">
        <f t="shared" si="11"/>
        <v>449372.17611756566</v>
      </c>
      <c r="M34" s="5">
        <f>scrimecost*Meta!O31</f>
        <v>1145.088</v>
      </c>
      <c r="N34" s="5">
        <f>L34-Grade17!L34</f>
        <v>22705.544684831752</v>
      </c>
      <c r="O34" s="5">
        <f>Grade17!M34-M34</f>
        <v>0</v>
      </c>
      <c r="P34" s="22">
        <f t="shared" si="12"/>
        <v>0</v>
      </c>
      <c r="Q34" s="22"/>
      <c r="R34" s="22"/>
      <c r="S34" s="22">
        <f t="shared" si="6"/>
        <v>12473.04121162079</v>
      </c>
      <c r="T34" s="22">
        <f t="shared" si="7"/>
        <v>5851.9691777798462</v>
      </c>
    </row>
    <row r="35" spans="1:20" x14ac:dyDescent="0.2">
      <c r="A35" s="5">
        <v>44</v>
      </c>
      <c r="B35" s="1">
        <f t="shared" si="8"/>
        <v>1.6386164402903955</v>
      </c>
      <c r="C35" s="5">
        <f t="shared" si="9"/>
        <v>335736.25243731256</v>
      </c>
      <c r="D35" s="5">
        <f t="shared" si="0"/>
        <v>327092.57362150511</v>
      </c>
      <c r="E35" s="5">
        <f t="shared" si="1"/>
        <v>317592.57362150511</v>
      </c>
      <c r="F35" s="5">
        <f t="shared" si="2"/>
        <v>132826.24897475902</v>
      </c>
      <c r="G35" s="5">
        <f t="shared" si="3"/>
        <v>194266.3246467461</v>
      </c>
      <c r="H35" s="22">
        <f t="shared" si="10"/>
        <v>137651.70287666973</v>
      </c>
      <c r="I35" s="5">
        <f t="shared" si="4"/>
        <v>328201.43154574576</v>
      </c>
      <c r="J35" s="26">
        <f t="shared" si="5"/>
        <v>0.28745806794801432</v>
      </c>
      <c r="L35" s="22">
        <f t="shared" si="11"/>
        <v>460606.48052050482</v>
      </c>
      <c r="M35" s="5">
        <f>scrimecost*Meta!O32</f>
        <v>1145.088</v>
      </c>
      <c r="N35" s="5">
        <f>L35-Grade17!L35</f>
        <v>23273.183301952668</v>
      </c>
      <c r="O35" s="5">
        <f>Grade17!M35-M35</f>
        <v>0</v>
      </c>
      <c r="P35" s="22">
        <f t="shared" si="12"/>
        <v>0</v>
      </c>
      <c r="Q35" s="22"/>
      <c r="R35" s="22"/>
      <c r="S35" s="22">
        <f t="shared" si="6"/>
        <v>12784.867241911377</v>
      </c>
      <c r="T35" s="22">
        <f t="shared" si="7"/>
        <v>5775.537114822745</v>
      </c>
    </row>
    <row r="36" spans="1:20" x14ac:dyDescent="0.2">
      <c r="A36" s="5">
        <v>45</v>
      </c>
      <c r="B36" s="1">
        <f t="shared" si="8"/>
        <v>1.6795818512976552</v>
      </c>
      <c r="C36" s="5">
        <f t="shared" si="9"/>
        <v>344129.65874824539</v>
      </c>
      <c r="D36" s="5">
        <f t="shared" si="0"/>
        <v>335259.35796204279</v>
      </c>
      <c r="E36" s="5">
        <f t="shared" si="1"/>
        <v>325759.35796204279</v>
      </c>
      <c r="F36" s="5">
        <f t="shared" si="2"/>
        <v>136456.38461412804</v>
      </c>
      <c r="G36" s="5">
        <f t="shared" si="3"/>
        <v>198802.97334791475</v>
      </c>
      <c r="H36" s="22">
        <f t="shared" si="10"/>
        <v>141092.99544858647</v>
      </c>
      <c r="I36" s="5">
        <f t="shared" si="4"/>
        <v>336086.45791938936</v>
      </c>
      <c r="J36" s="26">
        <f t="shared" si="5"/>
        <v>0.28813587931307444</v>
      </c>
      <c r="L36" s="22">
        <f t="shared" si="11"/>
        <v>472121.64253351733</v>
      </c>
      <c r="M36" s="5">
        <f>scrimecost*Meta!O33</f>
        <v>925.4140000000001</v>
      </c>
      <c r="N36" s="5">
        <f>L36-Grade17!L36</f>
        <v>23855.012884501368</v>
      </c>
      <c r="O36" s="5">
        <f>Grade17!M36-M36</f>
        <v>0</v>
      </c>
      <c r="P36" s="22">
        <f t="shared" si="12"/>
        <v>0</v>
      </c>
      <c r="Q36" s="22"/>
      <c r="R36" s="22"/>
      <c r="S36" s="22">
        <f t="shared" si="6"/>
        <v>13104.488922959095</v>
      </c>
      <c r="T36" s="22">
        <f t="shared" si="7"/>
        <v>5700.1033244248547</v>
      </c>
    </row>
    <row r="37" spans="1:20" x14ac:dyDescent="0.2">
      <c r="A37" s="5">
        <v>46</v>
      </c>
      <c r="B37" s="1">
        <f t="shared" ref="B37:B56" si="13">(1+experiencepremium)^(A37-startage)</f>
        <v>1.7215713975800966</v>
      </c>
      <c r="C37" s="5">
        <f t="shared" ref="C37:C56" si="14">pretaxincome*B37/expnorm</f>
        <v>352732.90021695144</v>
      </c>
      <c r="D37" s="5">
        <f t="shared" ref="D37:D56" si="15">IF(A37&lt;startage,1,0)*(C37*(1-initialunempprob))+IF(A37=startage,1,0)*(C37*(1-unempprob))+IF(A37&gt;startage,1,0)*(C37*(1-unempprob)+unempprob*300*52)</f>
        <v>343630.31191109377</v>
      </c>
      <c r="E37" s="5">
        <f t="shared" si="1"/>
        <v>334130.31191109377</v>
      </c>
      <c r="F37" s="5">
        <f t="shared" si="2"/>
        <v>140177.2736444812</v>
      </c>
      <c r="G37" s="5">
        <f t="shared" si="3"/>
        <v>203453.03826661257</v>
      </c>
      <c r="H37" s="22">
        <f t="shared" ref="H37:H56" si="16">benefits*B37/expnorm</f>
        <v>144620.32033480113</v>
      </c>
      <c r="I37" s="5">
        <f t="shared" ref="I37:I56" si="17">G37+IF(A37&lt;startage,1,0)*(H37*(1-initialunempprob))+IF(A37&gt;=startage,1,0)*(H37*(1-unempprob))</f>
        <v>344168.60995237407</v>
      </c>
      <c r="J37" s="26">
        <f t="shared" si="5"/>
        <v>0.28879715869362071</v>
      </c>
      <c r="L37" s="22">
        <f t="shared" ref="L37:L56" si="18">(sincome+sbenefits)*(1-sunemp)*B37/expnorm</f>
        <v>483924.68359685526</v>
      </c>
      <c r="M37" s="5">
        <f>scrimecost*Meta!O34</f>
        <v>925.4140000000001</v>
      </c>
      <c r="N37" s="5">
        <f>L37-Grade17!L37</f>
        <v>24451.38820661389</v>
      </c>
      <c r="O37" s="5">
        <f>Grade17!M37-M37</f>
        <v>0</v>
      </c>
      <c r="P37" s="22">
        <f t="shared" si="12"/>
        <v>0</v>
      </c>
      <c r="Q37" s="22"/>
      <c r="R37" s="22"/>
      <c r="S37" s="22">
        <f t="shared" si="6"/>
        <v>13432.101146033066</v>
      </c>
      <c r="T37" s="22">
        <f t="shared" si="7"/>
        <v>5625.6547682347646</v>
      </c>
    </row>
    <row r="38" spans="1:20" x14ac:dyDescent="0.2">
      <c r="A38" s="5">
        <v>47</v>
      </c>
      <c r="B38" s="1">
        <f t="shared" si="13"/>
        <v>1.7646106825195991</v>
      </c>
      <c r="C38" s="5">
        <f t="shared" si="14"/>
        <v>361551.22272237524</v>
      </c>
      <c r="D38" s="5">
        <f t="shared" si="15"/>
        <v>352210.5397088711</v>
      </c>
      <c r="E38" s="5">
        <f t="shared" si="1"/>
        <v>342710.5397088711</v>
      </c>
      <c r="F38" s="5">
        <f t="shared" si="2"/>
        <v>143991.18490059322</v>
      </c>
      <c r="G38" s="5">
        <f t="shared" si="3"/>
        <v>208219.35480827789</v>
      </c>
      <c r="H38" s="22">
        <f t="shared" si="16"/>
        <v>148235.82834317116</v>
      </c>
      <c r="I38" s="5">
        <f t="shared" si="17"/>
        <v>352452.81578618346</v>
      </c>
      <c r="J38" s="26">
        <f t="shared" si="5"/>
        <v>0.28944230930878778</v>
      </c>
      <c r="L38" s="22">
        <f t="shared" si="18"/>
        <v>496022.8006867767</v>
      </c>
      <c r="M38" s="5">
        <f>scrimecost*Meta!O35</f>
        <v>925.4140000000001</v>
      </c>
      <c r="N38" s="5">
        <f>L38-Grade17!L38</f>
        <v>25062.672911779315</v>
      </c>
      <c r="O38" s="5">
        <f>Grade17!M38-M38</f>
        <v>0</v>
      </c>
      <c r="P38" s="22">
        <f t="shared" si="12"/>
        <v>0</v>
      </c>
      <c r="Q38" s="22"/>
      <c r="R38" s="22"/>
      <c r="S38" s="22">
        <f t="shared" si="6"/>
        <v>13767.903674683937</v>
      </c>
      <c r="T38" s="22">
        <f t="shared" si="7"/>
        <v>5552.1785781937515</v>
      </c>
    </row>
    <row r="39" spans="1:20" x14ac:dyDescent="0.2">
      <c r="A39" s="5">
        <v>48</v>
      </c>
      <c r="B39" s="1">
        <f t="shared" si="13"/>
        <v>1.8087259495825889</v>
      </c>
      <c r="C39" s="5">
        <f t="shared" si="14"/>
        <v>370590.0032904346</v>
      </c>
      <c r="D39" s="5">
        <f t="shared" si="15"/>
        <v>361005.27320159285</v>
      </c>
      <c r="E39" s="5">
        <f t="shared" si="1"/>
        <v>351505.27320159285</v>
      </c>
      <c r="F39" s="5">
        <f t="shared" si="2"/>
        <v>147900.44393810804</v>
      </c>
      <c r="G39" s="5">
        <f t="shared" si="3"/>
        <v>213104.8292634848</v>
      </c>
      <c r="H39" s="22">
        <f t="shared" si="16"/>
        <v>151941.72405175041</v>
      </c>
      <c r="I39" s="5">
        <f t="shared" si="17"/>
        <v>360944.12676583795</v>
      </c>
      <c r="J39" s="26">
        <f t="shared" si="5"/>
        <v>0.29007172454309726</v>
      </c>
      <c r="L39" s="22">
        <f t="shared" si="18"/>
        <v>508423.3707039461</v>
      </c>
      <c r="M39" s="5">
        <f>scrimecost*Meta!O36</f>
        <v>925.4140000000001</v>
      </c>
      <c r="N39" s="5">
        <f>L39-Grade17!L39</f>
        <v>25689.239734573872</v>
      </c>
      <c r="O39" s="5">
        <f>Grade17!M39-M39</f>
        <v>0</v>
      </c>
      <c r="P39" s="22">
        <f t="shared" si="12"/>
        <v>0</v>
      </c>
      <c r="Q39" s="22"/>
      <c r="R39" s="22"/>
      <c r="S39" s="22">
        <f t="shared" si="6"/>
        <v>14112.101266551075</v>
      </c>
      <c r="T39" s="22">
        <f t="shared" si="7"/>
        <v>5479.6620543116742</v>
      </c>
    </row>
    <row r="40" spans="1:20" x14ac:dyDescent="0.2">
      <c r="A40" s="5">
        <v>49</v>
      </c>
      <c r="B40" s="1">
        <f t="shared" si="13"/>
        <v>1.8539440983221533</v>
      </c>
      <c r="C40" s="5">
        <f t="shared" si="14"/>
        <v>379854.75337269541</v>
      </c>
      <c r="D40" s="5">
        <f t="shared" si="15"/>
        <v>370019.87503163266</v>
      </c>
      <c r="E40" s="5">
        <f t="shared" si="1"/>
        <v>360519.87503163266</v>
      </c>
      <c r="F40" s="5">
        <f t="shared" si="2"/>
        <v>151907.43445156072</v>
      </c>
      <c r="G40" s="5">
        <f t="shared" si="3"/>
        <v>218112.44058007194</v>
      </c>
      <c r="H40" s="22">
        <f t="shared" si="16"/>
        <v>155740.26715304414</v>
      </c>
      <c r="I40" s="5">
        <f t="shared" si="17"/>
        <v>369647.72051998391</v>
      </c>
      <c r="J40" s="26">
        <f t="shared" si="5"/>
        <v>0.2906857881863259</v>
      </c>
      <c r="L40" s="22">
        <f t="shared" si="18"/>
        <v>521133.95497154462</v>
      </c>
      <c r="M40" s="5">
        <f>scrimecost*Meta!O37</f>
        <v>925.4140000000001</v>
      </c>
      <c r="N40" s="5">
        <f>L40-Grade17!L40</f>
        <v>26331.470727938111</v>
      </c>
      <c r="O40" s="5">
        <f>Grade17!M40-M40</f>
        <v>0</v>
      </c>
      <c r="P40" s="22">
        <f t="shared" si="12"/>
        <v>0</v>
      </c>
      <c r="Q40" s="22"/>
      <c r="R40" s="22"/>
      <c r="S40" s="22">
        <f t="shared" si="6"/>
        <v>14464.903798214795</v>
      </c>
      <c r="T40" s="22">
        <f t="shared" si="7"/>
        <v>5408.0926624718513</v>
      </c>
    </row>
    <row r="41" spans="1:20" x14ac:dyDescent="0.2">
      <c r="A41" s="5">
        <v>50</v>
      </c>
      <c r="B41" s="1">
        <f t="shared" si="13"/>
        <v>1.9002927007802071</v>
      </c>
      <c r="C41" s="5">
        <f t="shared" si="14"/>
        <v>389351.12220701278</v>
      </c>
      <c r="D41" s="5">
        <f t="shared" si="15"/>
        <v>379259.84190742346</v>
      </c>
      <c r="E41" s="5">
        <f t="shared" si="1"/>
        <v>369759.84190742346</v>
      </c>
      <c r="F41" s="5">
        <f t="shared" si="2"/>
        <v>156014.59972784974</v>
      </c>
      <c r="G41" s="5">
        <f t="shared" si="3"/>
        <v>223245.24217957372</v>
      </c>
      <c r="H41" s="22">
        <f t="shared" si="16"/>
        <v>159633.77383187026</v>
      </c>
      <c r="I41" s="5">
        <f t="shared" si="17"/>
        <v>378568.90411798347</v>
      </c>
      <c r="J41" s="26">
        <f t="shared" si="5"/>
        <v>0.29128487466752462</v>
      </c>
      <c r="L41" s="22">
        <f t="shared" si="18"/>
        <v>534162.30384583317</v>
      </c>
      <c r="M41" s="5">
        <f>scrimecost*Meta!O38</f>
        <v>618.26800000000003</v>
      </c>
      <c r="N41" s="5">
        <f>L41-Grade17!L41</f>
        <v>26989.757496136532</v>
      </c>
      <c r="O41" s="5">
        <f>Grade17!M41-M41</f>
        <v>0</v>
      </c>
      <c r="P41" s="22">
        <f t="shared" si="12"/>
        <v>0</v>
      </c>
      <c r="Q41" s="22"/>
      <c r="R41" s="22"/>
      <c r="S41" s="22">
        <f t="shared" si="6"/>
        <v>14826.526393170147</v>
      </c>
      <c r="T41" s="22">
        <f t="shared" si="7"/>
        <v>5337.4580322647062</v>
      </c>
    </row>
    <row r="42" spans="1:20" x14ac:dyDescent="0.2">
      <c r="A42" s="5">
        <v>51</v>
      </c>
      <c r="B42" s="1">
        <f t="shared" si="13"/>
        <v>1.9478000182997122</v>
      </c>
      <c r="C42" s="5">
        <f t="shared" si="14"/>
        <v>399084.90026218811</v>
      </c>
      <c r="D42" s="5">
        <f t="shared" si="15"/>
        <v>388730.80795510905</v>
      </c>
      <c r="E42" s="5">
        <f t="shared" si="1"/>
        <v>379230.80795510905</v>
      </c>
      <c r="F42" s="5">
        <f t="shared" si="2"/>
        <v>160226.06029514817</v>
      </c>
      <c r="G42" s="5">
        <f t="shared" si="3"/>
        <v>228504.74765996088</v>
      </c>
      <c r="H42" s="22">
        <f t="shared" si="16"/>
        <v>163624.618177667</v>
      </c>
      <c r="I42" s="5">
        <f t="shared" si="17"/>
        <v>387711.50114683085</v>
      </c>
      <c r="J42" s="26">
        <f t="shared" si="5"/>
        <v>0.29187230108388806</v>
      </c>
      <c r="L42" s="22">
        <f t="shared" si="18"/>
        <v>547516.36144197907</v>
      </c>
      <c r="M42" s="5">
        <f>scrimecost*Meta!O39</f>
        <v>618.26800000000003</v>
      </c>
      <c r="N42" s="5">
        <f>L42-Grade17!L42</f>
        <v>27664.501433540077</v>
      </c>
      <c r="O42" s="5">
        <f>Grade17!M42-M42</f>
        <v>0</v>
      </c>
      <c r="P42" s="22">
        <f t="shared" si="12"/>
        <v>0</v>
      </c>
      <c r="Q42" s="22"/>
      <c r="R42" s="22"/>
      <c r="S42" s="22">
        <f t="shared" si="6"/>
        <v>15197.189552999471</v>
      </c>
      <c r="T42" s="22">
        <f t="shared" si="7"/>
        <v>5267.7459548494699</v>
      </c>
    </row>
    <row r="43" spans="1:20" x14ac:dyDescent="0.2">
      <c r="A43" s="5">
        <v>52</v>
      </c>
      <c r="B43" s="1">
        <f t="shared" si="13"/>
        <v>1.9964950187572048</v>
      </c>
      <c r="C43" s="5">
        <f t="shared" si="14"/>
        <v>409062.02276874275</v>
      </c>
      <c r="D43" s="5">
        <f t="shared" si="15"/>
        <v>398438.54815398669</v>
      </c>
      <c r="E43" s="5">
        <f t="shared" si="1"/>
        <v>388938.54815398669</v>
      </c>
      <c r="F43" s="5">
        <f t="shared" si="2"/>
        <v>164735.30561752681</v>
      </c>
      <c r="G43" s="5">
        <f t="shared" si="3"/>
        <v>233703.24253645987</v>
      </c>
      <c r="H43" s="22">
        <f t="shared" si="16"/>
        <v>167715.23363210866</v>
      </c>
      <c r="I43" s="5">
        <f t="shared" si="17"/>
        <v>396890.16486050159</v>
      </c>
      <c r="J43" s="26">
        <f t="shared" si="5"/>
        <v>0.29278840924992539</v>
      </c>
      <c r="L43" s="22">
        <f t="shared" si="18"/>
        <v>561204.27047802845</v>
      </c>
      <c r="M43" s="5">
        <f>scrimecost*Meta!O40</f>
        <v>618.26800000000003</v>
      </c>
      <c r="N43" s="5">
        <f>L43-Grade17!L43</f>
        <v>28356.113969378406</v>
      </c>
      <c r="O43" s="5">
        <f>Grade17!M43-M43</f>
        <v>0</v>
      </c>
      <c r="P43" s="22">
        <f t="shared" si="12"/>
        <v>0</v>
      </c>
      <c r="Q43" s="22"/>
      <c r="R43" s="22"/>
      <c r="S43" s="22">
        <f t="shared" si="6"/>
        <v>15577.119291824363</v>
      </c>
      <c r="T43" s="22">
        <f t="shared" si="7"/>
        <v>5198.9443808438864</v>
      </c>
    </row>
    <row r="44" spans="1:20" x14ac:dyDescent="0.2">
      <c r="A44" s="5">
        <v>53</v>
      </c>
      <c r="B44" s="1">
        <f t="shared" si="13"/>
        <v>2.0464073942261352</v>
      </c>
      <c r="C44" s="5">
        <f t="shared" si="14"/>
        <v>419288.5733379614</v>
      </c>
      <c r="D44" s="5">
        <f t="shared" si="15"/>
        <v>408388.98185783642</v>
      </c>
      <c r="E44" s="5">
        <f t="shared" si="1"/>
        <v>398888.98185783642</v>
      </c>
      <c r="F44" s="5">
        <f t="shared" si="2"/>
        <v>169357.28207296506</v>
      </c>
      <c r="G44" s="5">
        <f t="shared" si="3"/>
        <v>239031.69978487137</v>
      </c>
      <c r="H44" s="22">
        <f t="shared" si="16"/>
        <v>171908.1144729114</v>
      </c>
      <c r="I44" s="5">
        <f t="shared" si="17"/>
        <v>406298.29516701412</v>
      </c>
      <c r="J44" s="26">
        <f t="shared" si="5"/>
        <v>0.2936821733143522</v>
      </c>
      <c r="L44" s="22">
        <f t="shared" si="18"/>
        <v>575234.37723997922</v>
      </c>
      <c r="M44" s="5">
        <f>scrimecost*Meta!O41</f>
        <v>618.26800000000003</v>
      </c>
      <c r="N44" s="5">
        <f>L44-Grade17!L44</f>
        <v>29065.016818613047</v>
      </c>
      <c r="O44" s="5">
        <f>Grade17!M44-M44</f>
        <v>0</v>
      </c>
      <c r="P44" s="22">
        <f t="shared" si="12"/>
        <v>0</v>
      </c>
      <c r="Q44" s="22"/>
      <c r="R44" s="22"/>
      <c r="S44" s="22">
        <f t="shared" si="6"/>
        <v>15966.547274120072</v>
      </c>
      <c r="T44" s="22">
        <f t="shared" si="7"/>
        <v>5131.0414182418408</v>
      </c>
    </row>
    <row r="45" spans="1:20" x14ac:dyDescent="0.2">
      <c r="A45" s="5">
        <v>54</v>
      </c>
      <c r="B45" s="1">
        <f t="shared" si="13"/>
        <v>2.097567579081788</v>
      </c>
      <c r="C45" s="5">
        <f t="shared" si="14"/>
        <v>429770.7876714103</v>
      </c>
      <c r="D45" s="5">
        <f t="shared" si="15"/>
        <v>418588.17640428222</v>
      </c>
      <c r="E45" s="5">
        <f t="shared" si="1"/>
        <v>409088.17640428222</v>
      </c>
      <c r="F45" s="5">
        <f t="shared" si="2"/>
        <v>174094.80793978911</v>
      </c>
      <c r="G45" s="5">
        <f t="shared" si="3"/>
        <v>244493.36846449311</v>
      </c>
      <c r="H45" s="22">
        <f t="shared" si="16"/>
        <v>176205.81733473414</v>
      </c>
      <c r="I45" s="5">
        <f t="shared" si="17"/>
        <v>415941.62873118941</v>
      </c>
      <c r="J45" s="26">
        <f t="shared" si="5"/>
        <v>0.29455413825525639</v>
      </c>
      <c r="L45" s="22">
        <f t="shared" si="18"/>
        <v>589615.2366709786</v>
      </c>
      <c r="M45" s="5">
        <f>scrimecost*Meta!O42</f>
        <v>618.26800000000003</v>
      </c>
      <c r="N45" s="5">
        <f>L45-Grade17!L45</f>
        <v>29791.642239078064</v>
      </c>
      <c r="O45" s="5">
        <f>Grade17!M45-M45</f>
        <v>0</v>
      </c>
      <c r="P45" s="22">
        <f t="shared" si="12"/>
        <v>0</v>
      </c>
      <c r="Q45" s="22"/>
      <c r="R45" s="22"/>
      <c r="S45" s="22">
        <f t="shared" si="6"/>
        <v>16365.710955972905</v>
      </c>
      <c r="T45" s="22">
        <f t="shared" si="7"/>
        <v>5064.02533035742</v>
      </c>
    </row>
    <row r="46" spans="1:20" x14ac:dyDescent="0.2">
      <c r="A46" s="5">
        <v>55</v>
      </c>
      <c r="B46" s="1">
        <f t="shared" si="13"/>
        <v>2.1500067685588333</v>
      </c>
      <c r="C46" s="5">
        <f t="shared" si="14"/>
        <v>440515.05736319569</v>
      </c>
      <c r="D46" s="5">
        <f t="shared" si="15"/>
        <v>429042.35081438941</v>
      </c>
      <c r="E46" s="5">
        <f t="shared" si="1"/>
        <v>419542.35081438941</v>
      </c>
      <c r="F46" s="5">
        <f t="shared" si="2"/>
        <v>178950.7719532839</v>
      </c>
      <c r="G46" s="5">
        <f t="shared" si="3"/>
        <v>250091.57886110552</v>
      </c>
      <c r="H46" s="22">
        <f t="shared" si="16"/>
        <v>180610.96276810256</v>
      </c>
      <c r="I46" s="5">
        <f t="shared" si="17"/>
        <v>425826.04563446931</v>
      </c>
      <c r="J46" s="26">
        <f t="shared" si="5"/>
        <v>0.29540483575857751</v>
      </c>
      <c r="L46" s="22">
        <f t="shared" si="18"/>
        <v>604355.61758775322</v>
      </c>
      <c r="M46" s="5">
        <f>scrimecost*Meta!O43</f>
        <v>342.92999999999995</v>
      </c>
      <c r="N46" s="5">
        <f>L46-Grade17!L46</f>
        <v>30536.433295055293</v>
      </c>
      <c r="O46" s="5">
        <f>Grade17!M46-M46</f>
        <v>0</v>
      </c>
      <c r="P46" s="22">
        <f t="shared" si="12"/>
        <v>0</v>
      </c>
      <c r="Q46" s="22"/>
      <c r="R46" s="22"/>
      <c r="S46" s="22">
        <f t="shared" ref="S46:S69" si="19">IF(A46&lt;startage,1,0)*(N46-Q46-R46)+IF(A46&gt;=startage,1,0)*completionprob*(N46*spart+O46+P46)</f>
        <v>16774.853729872379</v>
      </c>
      <c r="T46" s="22">
        <f t="shared" ref="T46:T69" si="20">S46/sreturn^(A46-startage+1)</f>
        <v>4997.8845337968723</v>
      </c>
    </row>
    <row r="47" spans="1:20" x14ac:dyDescent="0.2">
      <c r="A47" s="5">
        <v>56</v>
      </c>
      <c r="B47" s="1">
        <f t="shared" si="13"/>
        <v>2.2037569377728037</v>
      </c>
      <c r="C47" s="5">
        <f t="shared" si="14"/>
        <v>451527.93379727553</v>
      </c>
      <c r="D47" s="5">
        <f t="shared" si="15"/>
        <v>439757.87958474911</v>
      </c>
      <c r="E47" s="5">
        <f t="shared" si="1"/>
        <v>430257.87958474911</v>
      </c>
      <c r="F47" s="5">
        <f t="shared" si="2"/>
        <v>183928.13506711597</v>
      </c>
      <c r="G47" s="5">
        <f t="shared" si="3"/>
        <v>255829.74451763314</v>
      </c>
      <c r="H47" s="22">
        <f t="shared" si="16"/>
        <v>185126.23683730507</v>
      </c>
      <c r="I47" s="5">
        <f t="shared" si="17"/>
        <v>435957.57296033099</v>
      </c>
      <c r="J47" s="26">
        <f t="shared" si="5"/>
        <v>0.29623478454230545</v>
      </c>
      <c r="L47" s="22">
        <f t="shared" si="18"/>
        <v>619464.50802744681</v>
      </c>
      <c r="M47" s="5">
        <f>scrimecost*Meta!O44</f>
        <v>342.92999999999995</v>
      </c>
      <c r="N47" s="5">
        <f>L47-Grade17!L47</f>
        <v>31299.844127431512</v>
      </c>
      <c r="O47" s="5">
        <f>Grade17!M47-M47</f>
        <v>0</v>
      </c>
      <c r="P47" s="22">
        <f t="shared" si="12"/>
        <v>0</v>
      </c>
      <c r="Q47" s="22"/>
      <c r="R47" s="22"/>
      <c r="S47" s="22">
        <f t="shared" si="19"/>
        <v>17194.225073119098</v>
      </c>
      <c r="T47" s="22">
        <f t="shared" si="20"/>
        <v>4932.6075964558058</v>
      </c>
    </row>
    <row r="48" spans="1:20" x14ac:dyDescent="0.2">
      <c r="A48" s="5">
        <v>57</v>
      </c>
      <c r="B48" s="1">
        <f t="shared" si="13"/>
        <v>2.2588508612171236</v>
      </c>
      <c r="C48" s="5">
        <f t="shared" si="14"/>
        <v>462816.13214220729</v>
      </c>
      <c r="D48" s="5">
        <f t="shared" si="15"/>
        <v>450741.29657436768</v>
      </c>
      <c r="E48" s="5">
        <f t="shared" si="1"/>
        <v>441241.29657436768</v>
      </c>
      <c r="F48" s="5">
        <f t="shared" si="2"/>
        <v>189029.93225879382</v>
      </c>
      <c r="G48" s="5">
        <f t="shared" si="3"/>
        <v>261711.36431557385</v>
      </c>
      <c r="H48" s="22">
        <f t="shared" si="16"/>
        <v>189754.39275823766</v>
      </c>
      <c r="I48" s="5">
        <f t="shared" si="17"/>
        <v>446342.38846933912</v>
      </c>
      <c r="J48" s="26">
        <f t="shared" si="5"/>
        <v>0.29704449067277167</v>
      </c>
      <c r="L48" s="22">
        <f t="shared" si="18"/>
        <v>634951.12072813301</v>
      </c>
      <c r="M48" s="5">
        <f>scrimecost*Meta!O45</f>
        <v>342.92999999999995</v>
      </c>
      <c r="N48" s="5">
        <f>L48-Grade17!L48</f>
        <v>32082.340230617323</v>
      </c>
      <c r="O48" s="5">
        <f>Grade17!M48-M48</f>
        <v>0</v>
      </c>
      <c r="P48" s="22">
        <f t="shared" si="12"/>
        <v>0</v>
      </c>
      <c r="Q48" s="22"/>
      <c r="R48" s="22"/>
      <c r="S48" s="22">
        <f t="shared" si="19"/>
        <v>17624.080699947088</v>
      </c>
      <c r="T48" s="22">
        <f t="shared" si="20"/>
        <v>4868.1832355438173</v>
      </c>
    </row>
    <row r="49" spans="1:20" x14ac:dyDescent="0.2">
      <c r="A49" s="5">
        <v>58</v>
      </c>
      <c r="B49" s="1">
        <f t="shared" si="13"/>
        <v>2.3153221327475517</v>
      </c>
      <c r="C49" s="5">
        <f t="shared" si="14"/>
        <v>474386.53544576251</v>
      </c>
      <c r="D49" s="5">
        <f t="shared" si="15"/>
        <v>461999.29898872692</v>
      </c>
      <c r="E49" s="5">
        <f t="shared" si="1"/>
        <v>452499.29898872692</v>
      </c>
      <c r="F49" s="5">
        <f t="shared" si="2"/>
        <v>194259.27438026364</v>
      </c>
      <c r="G49" s="5">
        <f t="shared" si="3"/>
        <v>267740.02460846328</v>
      </c>
      <c r="H49" s="22">
        <f t="shared" si="16"/>
        <v>194498.25257719363</v>
      </c>
      <c r="I49" s="5">
        <f t="shared" si="17"/>
        <v>456986.82436607266</v>
      </c>
      <c r="J49" s="26">
        <f t="shared" si="5"/>
        <v>0.29783444787322655</v>
      </c>
      <c r="L49" s="22">
        <f t="shared" si="18"/>
        <v>650824.89874633634</v>
      </c>
      <c r="M49" s="5">
        <f>scrimecost*Meta!O46</f>
        <v>342.92999999999995</v>
      </c>
      <c r="N49" s="5">
        <f>L49-Grade17!L49</f>
        <v>32884.398736382951</v>
      </c>
      <c r="O49" s="5">
        <f>Grade17!M49-M49</f>
        <v>0</v>
      </c>
      <c r="P49" s="22">
        <f t="shared" si="12"/>
        <v>0</v>
      </c>
      <c r="Q49" s="22"/>
      <c r="R49" s="22"/>
      <c r="S49" s="22">
        <f t="shared" si="19"/>
        <v>18064.682717445874</v>
      </c>
      <c r="T49" s="22">
        <f t="shared" si="20"/>
        <v>4804.600315633953</v>
      </c>
    </row>
    <row r="50" spans="1:20" x14ac:dyDescent="0.2">
      <c r="A50" s="5">
        <v>59</v>
      </c>
      <c r="B50" s="1">
        <f t="shared" si="13"/>
        <v>2.3732051860662402</v>
      </c>
      <c r="C50" s="5">
        <f t="shared" si="14"/>
        <v>486246.19883190654</v>
      </c>
      <c r="D50" s="5">
        <f t="shared" si="15"/>
        <v>473538.75146344508</v>
      </c>
      <c r="E50" s="5">
        <f t="shared" si="1"/>
        <v>464038.75146344508</v>
      </c>
      <c r="F50" s="5">
        <f t="shared" si="2"/>
        <v>199619.35005477024</v>
      </c>
      <c r="G50" s="5">
        <f t="shared" si="3"/>
        <v>273919.40140867484</v>
      </c>
      <c r="H50" s="22">
        <f t="shared" si="16"/>
        <v>199360.70889162345</v>
      </c>
      <c r="I50" s="5">
        <f t="shared" si="17"/>
        <v>467897.37116022443</v>
      </c>
      <c r="J50" s="26">
        <f t="shared" si="5"/>
        <v>0.2986051378248899</v>
      </c>
      <c r="L50" s="22">
        <f t="shared" si="18"/>
        <v>667095.5212149946</v>
      </c>
      <c r="M50" s="5">
        <f>scrimecost*Meta!O47</f>
        <v>342.92999999999995</v>
      </c>
      <c r="N50" s="5">
        <f>L50-Grade17!L50</f>
        <v>33706.508704792242</v>
      </c>
      <c r="O50" s="5">
        <f>Grade17!M50-M50</f>
        <v>0</v>
      </c>
      <c r="P50" s="22">
        <f t="shared" si="12"/>
        <v>0</v>
      </c>
      <c r="Q50" s="22"/>
      <c r="R50" s="22"/>
      <c r="S50" s="22">
        <f t="shared" si="19"/>
        <v>18516.299785381863</v>
      </c>
      <c r="T50" s="22">
        <f t="shared" si="20"/>
        <v>4741.8478467380128</v>
      </c>
    </row>
    <row r="51" spans="1:20" x14ac:dyDescent="0.2">
      <c r="A51" s="5">
        <v>60</v>
      </c>
      <c r="B51" s="1">
        <f t="shared" si="13"/>
        <v>2.4325353157178964</v>
      </c>
      <c r="C51" s="5">
        <f t="shared" si="14"/>
        <v>498402.35380270419</v>
      </c>
      <c r="D51" s="5">
        <f t="shared" si="15"/>
        <v>485366.69025003118</v>
      </c>
      <c r="E51" s="5">
        <f t="shared" si="1"/>
        <v>475866.69025003118</v>
      </c>
      <c r="F51" s="5">
        <f t="shared" si="2"/>
        <v>205113.4276211395</v>
      </c>
      <c r="G51" s="5">
        <f t="shared" si="3"/>
        <v>280253.26262889168</v>
      </c>
      <c r="H51" s="22">
        <f t="shared" si="16"/>
        <v>204344.72661391404</v>
      </c>
      <c r="I51" s="5">
        <f t="shared" si="17"/>
        <v>479080.68162423</v>
      </c>
      <c r="J51" s="26">
        <f t="shared" si="5"/>
        <v>0.29935703046065892</v>
      </c>
      <c r="L51" s="22">
        <f t="shared" si="18"/>
        <v>683772.90924536961</v>
      </c>
      <c r="M51" s="5">
        <f>scrimecost*Meta!O48</f>
        <v>180.90799999999999</v>
      </c>
      <c r="N51" s="5">
        <f>L51-Grade17!L51</f>
        <v>34549.17142241227</v>
      </c>
      <c r="O51" s="5">
        <f>Grade17!M51-M51</f>
        <v>0</v>
      </c>
      <c r="P51" s="22">
        <f t="shared" si="12"/>
        <v>0</v>
      </c>
      <c r="Q51" s="22"/>
      <c r="R51" s="22"/>
      <c r="S51" s="22">
        <f t="shared" si="19"/>
        <v>18979.207280016533</v>
      </c>
      <c r="T51" s="22">
        <f t="shared" si="20"/>
        <v>4679.9149824073193</v>
      </c>
    </row>
    <row r="52" spans="1:20" x14ac:dyDescent="0.2">
      <c r="A52" s="5">
        <v>61</v>
      </c>
      <c r="B52" s="1">
        <f t="shared" si="13"/>
        <v>2.4933486986108435</v>
      </c>
      <c r="C52" s="5">
        <f t="shared" si="14"/>
        <v>510862.41264777182</v>
      </c>
      <c r="D52" s="5">
        <f t="shared" si="15"/>
        <v>497490.32750628196</v>
      </c>
      <c r="E52" s="5">
        <f t="shared" si="1"/>
        <v>487990.32750628196</v>
      </c>
      <c r="F52" s="5">
        <f t="shared" si="2"/>
        <v>210744.85712666795</v>
      </c>
      <c r="G52" s="5">
        <f t="shared" si="3"/>
        <v>286745.47037961404</v>
      </c>
      <c r="H52" s="22">
        <f t="shared" si="16"/>
        <v>209453.34477926185</v>
      </c>
      <c r="I52" s="5">
        <f t="shared" si="17"/>
        <v>490543.57484983583</v>
      </c>
      <c r="J52" s="26">
        <f t="shared" si="5"/>
        <v>0.30009058425165314</v>
      </c>
      <c r="L52" s="22">
        <f t="shared" si="18"/>
        <v>700867.23197650374</v>
      </c>
      <c r="M52" s="5">
        <f>scrimecost*Meta!O49</f>
        <v>180.90799999999999</v>
      </c>
      <c r="N52" s="5">
        <f>L52-Grade17!L52</f>
        <v>35412.900707972702</v>
      </c>
      <c r="O52" s="5">
        <f>Grade17!M52-M52</f>
        <v>0</v>
      </c>
      <c r="P52" s="22">
        <f t="shared" si="12"/>
        <v>0</v>
      </c>
      <c r="Q52" s="22"/>
      <c r="R52" s="22"/>
      <c r="S52" s="22">
        <f t="shared" si="19"/>
        <v>19453.687462017013</v>
      </c>
      <c r="T52" s="22">
        <f t="shared" si="20"/>
        <v>4618.7910178574921</v>
      </c>
    </row>
    <row r="53" spans="1:20" x14ac:dyDescent="0.2">
      <c r="A53" s="5">
        <v>62</v>
      </c>
      <c r="B53" s="1">
        <f t="shared" si="13"/>
        <v>2.555682416076114</v>
      </c>
      <c r="C53" s="5">
        <f t="shared" si="14"/>
        <v>523633.97296396596</v>
      </c>
      <c r="D53" s="5">
        <f t="shared" si="15"/>
        <v>509917.05569393886</v>
      </c>
      <c r="E53" s="5">
        <f t="shared" si="1"/>
        <v>500417.05569393886</v>
      </c>
      <c r="F53" s="5">
        <f t="shared" si="2"/>
        <v>216517.07236983458</v>
      </c>
      <c r="G53" s="5">
        <f t="shared" si="3"/>
        <v>293399.98332410428</v>
      </c>
      <c r="H53" s="22">
        <f t="shared" si="16"/>
        <v>214689.67839874336</v>
      </c>
      <c r="I53" s="5">
        <f t="shared" si="17"/>
        <v>502293.04040608159</v>
      </c>
      <c r="J53" s="26">
        <f t="shared" si="5"/>
        <v>0.30080624648676946</v>
      </c>
      <c r="L53" s="22">
        <f t="shared" si="18"/>
        <v>718388.91277591616</v>
      </c>
      <c r="M53" s="5">
        <f>scrimecost*Meta!O50</f>
        <v>180.90799999999999</v>
      </c>
      <c r="N53" s="5">
        <f>L53-Grade17!L53</f>
        <v>36298.223225671682</v>
      </c>
      <c r="O53" s="5">
        <f>Grade17!M53-M53</f>
        <v>0</v>
      </c>
      <c r="P53" s="22">
        <f t="shared" si="12"/>
        <v>0</v>
      </c>
      <c r="Q53" s="22"/>
      <c r="R53" s="22"/>
      <c r="S53" s="22">
        <f t="shared" si="19"/>
        <v>19940.029648567255</v>
      </c>
      <c r="T53" s="22">
        <f t="shared" si="20"/>
        <v>4558.4653881184613</v>
      </c>
    </row>
    <row r="54" spans="1:20" x14ac:dyDescent="0.2">
      <c r="A54" s="5">
        <v>63</v>
      </c>
      <c r="B54" s="1">
        <f t="shared" si="13"/>
        <v>2.6195744764780171</v>
      </c>
      <c r="C54" s="5">
        <f t="shared" si="14"/>
        <v>536724.8222880651</v>
      </c>
      <c r="D54" s="5">
        <f t="shared" si="15"/>
        <v>522654.45208628732</v>
      </c>
      <c r="E54" s="5">
        <f t="shared" si="1"/>
        <v>513154.45208628732</v>
      </c>
      <c r="F54" s="5">
        <f t="shared" si="2"/>
        <v>222433.59299408045</v>
      </c>
      <c r="G54" s="5">
        <f t="shared" si="3"/>
        <v>300220.85909220687</v>
      </c>
      <c r="H54" s="22">
        <f t="shared" si="16"/>
        <v>220056.92035871197</v>
      </c>
      <c r="I54" s="5">
        <f t="shared" si="17"/>
        <v>514336.24260123365</v>
      </c>
      <c r="J54" s="26">
        <f t="shared" si="5"/>
        <v>0.30150445354541955</v>
      </c>
      <c r="L54" s="22">
        <f t="shared" si="18"/>
        <v>736348.6355953142</v>
      </c>
      <c r="M54" s="5">
        <f>scrimecost*Meta!O51</f>
        <v>180.90799999999999</v>
      </c>
      <c r="N54" s="5">
        <f>L54-Grade17!L54</f>
        <v>37205.678806313663</v>
      </c>
      <c r="O54" s="5">
        <f>Grade17!M54-M54</f>
        <v>0</v>
      </c>
      <c r="P54" s="22">
        <f t="shared" si="12"/>
        <v>0</v>
      </c>
      <c r="Q54" s="22"/>
      <c r="R54" s="22"/>
      <c r="S54" s="22">
        <f t="shared" si="19"/>
        <v>20438.530389781543</v>
      </c>
      <c r="T54" s="22">
        <f t="shared" si="20"/>
        <v>4498.9276662084794</v>
      </c>
    </row>
    <row r="55" spans="1:20" x14ac:dyDescent="0.2">
      <c r="A55" s="5">
        <v>64</v>
      </c>
      <c r="B55" s="1">
        <f t="shared" si="13"/>
        <v>2.6850638383899672</v>
      </c>
      <c r="C55" s="5">
        <f t="shared" si="14"/>
        <v>550142.94284526678</v>
      </c>
      <c r="D55" s="5">
        <f t="shared" si="15"/>
        <v>535710.28338844457</v>
      </c>
      <c r="E55" s="5">
        <f t="shared" si="1"/>
        <v>526210.28338844457</v>
      </c>
      <c r="F55" s="5">
        <f t="shared" si="2"/>
        <v>228498.02663393252</v>
      </c>
      <c r="G55" s="5">
        <f t="shared" si="3"/>
        <v>307212.25675451208</v>
      </c>
      <c r="H55" s="22">
        <f t="shared" si="16"/>
        <v>225558.34336767977</v>
      </c>
      <c r="I55" s="5">
        <f t="shared" si="17"/>
        <v>526680.52485126443</v>
      </c>
      <c r="J55" s="26">
        <f t="shared" si="5"/>
        <v>0.3021856311636148</v>
      </c>
      <c r="L55" s="22">
        <f t="shared" si="18"/>
        <v>754757.35148519697</v>
      </c>
      <c r="M55" s="5">
        <f>scrimecost*Meta!O52</f>
        <v>180.90799999999999</v>
      </c>
      <c r="N55" s="5">
        <f>L55-Grade17!L55</f>
        <v>38135.820776471519</v>
      </c>
      <c r="O55" s="5">
        <f>Grade17!M55-M55</f>
        <v>0</v>
      </c>
      <c r="P55" s="22">
        <f t="shared" si="12"/>
        <v>0</v>
      </c>
      <c r="Q55" s="22"/>
      <c r="R55" s="22"/>
      <c r="S55" s="22">
        <f t="shared" si="19"/>
        <v>20949.493649526088</v>
      </c>
      <c r="T55" s="22">
        <f t="shared" si="20"/>
        <v>4440.1675613314965</v>
      </c>
    </row>
    <row r="56" spans="1:20" x14ac:dyDescent="0.2">
      <c r="A56" s="5">
        <v>65</v>
      </c>
      <c r="B56" s="1">
        <f t="shared" si="13"/>
        <v>2.7521904343497163</v>
      </c>
      <c r="C56" s="5">
        <f t="shared" si="14"/>
        <v>563896.51641639834</v>
      </c>
      <c r="D56" s="5">
        <f t="shared" si="15"/>
        <v>549092.51047315553</v>
      </c>
      <c r="E56" s="5">
        <f t="shared" si="1"/>
        <v>539592.51047315553</v>
      </c>
      <c r="F56" s="5">
        <f t="shared" si="2"/>
        <v>234714.07111478076</v>
      </c>
      <c r="G56" s="5">
        <f t="shared" si="3"/>
        <v>314378.4393583748</v>
      </c>
      <c r="H56" s="22">
        <f t="shared" si="16"/>
        <v>231197.30195187175</v>
      </c>
      <c r="I56" s="5">
        <f t="shared" si="17"/>
        <v>539333.41415754601</v>
      </c>
      <c r="J56" s="26">
        <f t="shared" si="5"/>
        <v>0.30285019469356128</v>
      </c>
      <c r="L56" s="22">
        <f t="shared" si="18"/>
        <v>773626.28527232679</v>
      </c>
      <c r="M56" s="5">
        <f>scrimecost*Meta!O53</f>
        <v>54.67</v>
      </c>
      <c r="N56" s="5">
        <f>L56-Grade17!L56</f>
        <v>39089.216295883176</v>
      </c>
      <c r="O56" s="5">
        <f>Grade17!M56-M56</f>
        <v>0</v>
      </c>
      <c r="P56" s="22">
        <f t="shared" si="12"/>
        <v>0</v>
      </c>
      <c r="Q56" s="22"/>
      <c r="R56" s="22"/>
      <c r="S56" s="22">
        <f t="shared" si="19"/>
        <v>21473.230990764168</v>
      </c>
      <c r="T56" s="22">
        <f t="shared" si="20"/>
        <v>4382.1749170987478</v>
      </c>
    </row>
    <row r="57" spans="1:20" x14ac:dyDescent="0.2">
      <c r="A57" s="5">
        <v>66</v>
      </c>
      <c r="C57" s="5"/>
      <c r="H57" s="21"/>
      <c r="I57" s="5"/>
      <c r="M57" s="5">
        <f>scrimecost*Meta!O54</f>
        <v>54.67</v>
      </c>
      <c r="N57" s="5">
        <f>L57-Grade17!L57</f>
        <v>0</v>
      </c>
      <c r="O57" s="5">
        <f>Grade17!M57-M57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54.67</v>
      </c>
      <c r="N58" s="5">
        <f>L58-Grade17!L58</f>
        <v>0</v>
      </c>
      <c r="O58" s="5">
        <f>Grade17!M58-M58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54.67</v>
      </c>
      <c r="N59" s="5">
        <f>L59-Grade17!L59</f>
        <v>0</v>
      </c>
      <c r="O59" s="5">
        <f>Grade17!M59-M59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54.67</v>
      </c>
      <c r="N60" s="5">
        <f>L60-Grade17!L60</f>
        <v>0</v>
      </c>
      <c r="O60" s="5">
        <f>Grade17!M60-M60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54.67</v>
      </c>
      <c r="N61" s="5">
        <f>L61-Grade17!L61</f>
        <v>0</v>
      </c>
      <c r="O61" s="5">
        <f>Grade17!M61-M61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54.67</v>
      </c>
      <c r="N62" s="5">
        <f>L62-Grade17!L62</f>
        <v>0</v>
      </c>
      <c r="O62" s="5">
        <f>Grade17!M62-M62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54.67</v>
      </c>
      <c r="N63" s="5">
        <f>L63-Grade17!L63</f>
        <v>0</v>
      </c>
      <c r="O63" s="5">
        <f>Grade17!M63-M63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54.67</v>
      </c>
      <c r="N64" s="5">
        <f>L64-Grade17!L64</f>
        <v>0</v>
      </c>
      <c r="O64" s="5">
        <f>Grade17!M64-M64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54.67</v>
      </c>
      <c r="N65" s="5">
        <f>L65-Grade17!L65</f>
        <v>0</v>
      </c>
      <c r="O65" s="5">
        <f>Grade17!M65-M65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54.67</v>
      </c>
      <c r="N66" s="5">
        <f>L66-Grade17!L66</f>
        <v>0</v>
      </c>
      <c r="O66" s="5">
        <f>Grade17!M66-M66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54.67</v>
      </c>
      <c r="N67" s="5">
        <f>L67-Grade17!L67</f>
        <v>0</v>
      </c>
      <c r="O67" s="5">
        <f>Grade17!M67-M67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54.67</v>
      </c>
      <c r="N68" s="5">
        <f>L68-Grade17!L68</f>
        <v>0</v>
      </c>
      <c r="O68" s="5">
        <f>Grade17!M68-M68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54.67</v>
      </c>
      <c r="N69" s="5">
        <f>L69-Grade17!L69</f>
        <v>0</v>
      </c>
      <c r="O69" s="5">
        <f>Grade17!M69-M69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1.4788383850827813E-9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workbookViewId="0">
      <selection activeCell="G8" sqref="G8"/>
    </sheetView>
  </sheetViews>
  <sheetFormatPr defaultRowHeight="12.75" x14ac:dyDescent="0.2"/>
  <cols>
    <col min="1" max="16384" width="9.140625" style="8"/>
  </cols>
  <sheetData>
    <row r="1" spans="1:22" x14ac:dyDescent="0.2">
      <c r="A1" s="18" t="s">
        <v>5</v>
      </c>
      <c r="B1" s="8" t="s">
        <v>8</v>
      </c>
      <c r="D1" s="8" t="s">
        <v>13</v>
      </c>
      <c r="F1" s="8" t="s">
        <v>21</v>
      </c>
      <c r="G1" s="8" t="s">
        <v>34</v>
      </c>
      <c r="K1" s="8" t="s">
        <v>22</v>
      </c>
      <c r="L1" s="8" t="s">
        <v>26</v>
      </c>
      <c r="M1" s="8" t="s">
        <v>30</v>
      </c>
      <c r="N1" s="8" t="s">
        <v>23</v>
      </c>
      <c r="O1" s="8" t="s">
        <v>27</v>
      </c>
      <c r="P1" s="8" t="s">
        <v>31</v>
      </c>
      <c r="Q1" s="8" t="s">
        <v>24</v>
      </c>
      <c r="R1" s="8" t="s">
        <v>28</v>
      </c>
      <c r="S1" s="8" t="s">
        <v>32</v>
      </c>
      <c r="T1" s="8" t="s">
        <v>25</v>
      </c>
      <c r="U1" s="8" t="s">
        <v>29</v>
      </c>
      <c r="V1" s="8" t="s">
        <v>33</v>
      </c>
    </row>
    <row r="2" spans="1:22" x14ac:dyDescent="0.2">
      <c r="A2" s="18">
        <v>8</v>
      </c>
      <c r="B2" s="11">
        <f>Meta!E2</f>
        <v>1</v>
      </c>
    </row>
    <row r="3" spans="1:22" x14ac:dyDescent="0.2">
      <c r="A3" s="18">
        <v>9</v>
      </c>
      <c r="B3" s="11">
        <f>Meta!E3</f>
        <v>0.98599999999999999</v>
      </c>
      <c r="D3" s="8">
        <f>Grade9!T2</f>
        <v>1.0403966551478034</v>
      </c>
      <c r="F3" s="15">
        <f t="shared" ref="F3:F12" si="0">(D3-1)*100</f>
        <v>4.039665514780344</v>
      </c>
      <c r="G3" s="15">
        <f>K3*M3+K4*M4+K5*M5+K6*M6</f>
        <v>4.0334900663427247</v>
      </c>
      <c r="H3" s="15"/>
      <c r="I3" s="15"/>
      <c r="K3" s="8">
        <f>1-B3</f>
        <v>1.4000000000000012E-2</v>
      </c>
      <c r="L3" s="8">
        <f>D3</f>
        <v>1.0403966551478034</v>
      </c>
      <c r="M3" s="8">
        <f t="shared" ref="M3:M12" si="1">(L3-1)*100</f>
        <v>4.039665514780344</v>
      </c>
    </row>
    <row r="4" spans="1:22" x14ac:dyDescent="0.2">
      <c r="A4" s="18">
        <v>10</v>
      </c>
      <c r="B4" s="11">
        <f>Meta!E4</f>
        <v>0.98599999999999999</v>
      </c>
      <c r="D4" s="8">
        <f>Grade10!T2</f>
        <v>1.0409066726440683</v>
      </c>
      <c r="F4" s="15">
        <f t="shared" si="0"/>
        <v>4.0906672644068331</v>
      </c>
      <c r="G4" s="15">
        <f>N4*P4+N5*P5+N6*P6</f>
        <v>4.0315300202136033</v>
      </c>
      <c r="H4" s="15"/>
      <c r="I4" s="15"/>
      <c r="K4" s="8">
        <f>B3*(1-B4)</f>
        <v>1.3804000000000012E-2</v>
      </c>
      <c r="L4" s="8">
        <f>(D3*D4)^0.5</f>
        <v>1.0406516326513491</v>
      </c>
      <c r="M4" s="8">
        <f t="shared" si="1"/>
        <v>4.0651632651349079</v>
      </c>
      <c r="N4" s="8">
        <f>1-B4</f>
        <v>1.4000000000000012E-2</v>
      </c>
      <c r="O4" s="8">
        <f>D4</f>
        <v>1.0409066726440683</v>
      </c>
      <c r="P4" s="8">
        <f>(O4-1)*100</f>
        <v>4.0906672644068331</v>
      </c>
    </row>
    <row r="5" spans="1:22" x14ac:dyDescent="0.2">
      <c r="A5" s="18">
        <v>11</v>
      </c>
      <c r="B5" s="11">
        <f>Meta!E5</f>
        <v>0.98599999999999999</v>
      </c>
      <c r="D5" s="8">
        <f>Grade11!T2</f>
        <v>1.0395895577823469</v>
      </c>
      <c r="F5" s="15">
        <f t="shared" si="0"/>
        <v>3.9589557782346851</v>
      </c>
      <c r="G5" s="15">
        <f>Q5*S5+Q6*S6</f>
        <v>4.0002540739440473</v>
      </c>
      <c r="H5" s="15"/>
      <c r="I5" s="15"/>
      <c r="K5" s="8">
        <f>B3*B4*(1-B5)</f>
        <v>1.3610744000000011E-2</v>
      </c>
      <c r="L5" s="8">
        <f>(D3*D4*D5)^(1/3)</f>
        <v>1.0402974871889998</v>
      </c>
      <c r="M5" s="8">
        <f t="shared" si="1"/>
        <v>4.0297487188999837</v>
      </c>
      <c r="N5" s="8">
        <f>B4*(1-B5)</f>
        <v>1.3804000000000012E-2</v>
      </c>
      <c r="O5" s="8">
        <f>(D4*D5)^0.5</f>
        <v>1.0402479067543184</v>
      </c>
      <c r="P5" s="8">
        <f>(O5-1)*100</f>
        <v>4.0247906754318441</v>
      </c>
      <c r="Q5" s="8">
        <f>1-B5</f>
        <v>1.4000000000000012E-2</v>
      </c>
      <c r="R5" s="8">
        <f>D5</f>
        <v>1.0395895577823469</v>
      </c>
      <c r="S5" s="8">
        <f>(R5-1)*100</f>
        <v>3.9589557782346851</v>
      </c>
    </row>
    <row r="6" spans="1:22" x14ac:dyDescent="0.2">
      <c r="A6" s="18">
        <v>12</v>
      </c>
      <c r="B6" s="11">
        <f>Meta!E6</f>
        <v>0.98599999999999999</v>
      </c>
      <c r="D6" s="8">
        <f>Grade12!T2</f>
        <v>1.0404274201591248</v>
      </c>
      <c r="F6" s="15">
        <f t="shared" si="0"/>
        <v>4.0427420159124816</v>
      </c>
      <c r="G6" s="15">
        <f>T6*V6</f>
        <v>4.0427420159124816</v>
      </c>
      <c r="H6" s="15"/>
      <c r="I6" s="15"/>
      <c r="K6" s="8">
        <f>B3*B4*B5</f>
        <v>0.95858525599999989</v>
      </c>
      <c r="L6" s="8">
        <f>(D3*D4*D5*D6)^0.25</f>
        <v>1.0403299689102103</v>
      </c>
      <c r="M6" s="8">
        <f t="shared" si="1"/>
        <v>4.0329968910210345</v>
      </c>
      <c r="N6" s="8">
        <f>B4*B5</f>
        <v>0.97219599999999995</v>
      </c>
      <c r="O6" s="8">
        <f>(D4*D5*D6)^(1/3)</f>
        <v>1.0403077411142223</v>
      </c>
      <c r="P6" s="8">
        <f>(O6-1)*100</f>
        <v>4.0307741114222306</v>
      </c>
      <c r="Q6" s="8">
        <f>B5</f>
        <v>0.98599999999999999</v>
      </c>
      <c r="R6" s="8">
        <f>(D5*D6)^0.5</f>
        <v>1.040008404594815</v>
      </c>
      <c r="S6" s="8">
        <f>(R6-1)*100</f>
        <v>4.0008404594815028</v>
      </c>
      <c r="T6" s="8">
        <v>1</v>
      </c>
      <c r="U6" s="8">
        <f>D6</f>
        <v>1.0404274201591248</v>
      </c>
      <c r="V6" s="8">
        <f>(U6-1)*100</f>
        <v>4.0427420159124816</v>
      </c>
    </row>
    <row r="7" spans="1:22" x14ac:dyDescent="0.2">
      <c r="A7" s="18">
        <v>13</v>
      </c>
      <c r="B7" s="11">
        <f>Meta!E7</f>
        <v>0.90300000000000002</v>
      </c>
      <c r="D7" s="8">
        <f>Grade13!T2</f>
        <v>1.0405570782596782</v>
      </c>
      <c r="F7" s="15">
        <f t="shared" si="0"/>
        <v>4.0557078259678248</v>
      </c>
      <c r="G7" s="15">
        <f>K7*M7+K8*M8+K9*M9+K10*M10</f>
        <v>4.0240914583492779</v>
      </c>
      <c r="H7" s="15"/>
      <c r="I7" s="15"/>
      <c r="K7" s="8">
        <f>1-B7</f>
        <v>9.6999999999999975E-2</v>
      </c>
      <c r="L7" s="8">
        <f>D7</f>
        <v>1.0405570782596782</v>
      </c>
      <c r="M7" s="8">
        <f t="shared" si="1"/>
        <v>4.0557078259678248</v>
      </c>
    </row>
    <row r="8" spans="1:22" x14ac:dyDescent="0.2">
      <c r="A8" s="18">
        <v>14</v>
      </c>
      <c r="B8" s="11">
        <f>Meta!E8</f>
        <v>0.90300000000000002</v>
      </c>
      <c r="D8" s="8">
        <f>Grade14!T2</f>
        <v>1.0414438170796512</v>
      </c>
      <c r="F8" s="15">
        <f t="shared" si="0"/>
        <v>4.1443817079651168</v>
      </c>
      <c r="G8" s="15">
        <f>N8*P8+N9*P9+N10*P10</f>
        <v>4.0116537379103692</v>
      </c>
      <c r="H8" s="15"/>
      <c r="I8" s="15"/>
      <c r="K8" s="8">
        <f>B7*(1-B8)</f>
        <v>8.7590999999999974E-2</v>
      </c>
      <c r="L8" s="8">
        <f>(D7*D8)^0.5</f>
        <v>1.0410003532525858</v>
      </c>
      <c r="M8" s="8">
        <f t="shared" si="1"/>
        <v>4.1000353252585775</v>
      </c>
      <c r="N8" s="8">
        <f>1-B8</f>
        <v>9.6999999999999975E-2</v>
      </c>
      <c r="O8" s="8">
        <f>D8</f>
        <v>1.0414438170796512</v>
      </c>
      <c r="P8" s="8">
        <f>(O8-1)*100</f>
        <v>4.1443817079651168</v>
      </c>
    </row>
    <row r="9" spans="1:22" x14ac:dyDescent="0.2">
      <c r="A9" s="18">
        <v>15</v>
      </c>
      <c r="B9" s="11">
        <f>Meta!E9</f>
        <v>0.90300000000000002</v>
      </c>
      <c r="D9" s="8">
        <f>Grade15!T2</f>
        <v>1.0391726012094973</v>
      </c>
      <c r="F9" s="15">
        <f t="shared" si="0"/>
        <v>3.9172601209497282</v>
      </c>
      <c r="G9" s="15">
        <f>Q9*S9+Q10*S10</f>
        <v>3.9184784051655535</v>
      </c>
      <c r="H9" s="15"/>
      <c r="I9" s="15"/>
      <c r="K9" s="8">
        <f>B7*B8*(1-B9)</f>
        <v>7.909467299999999E-2</v>
      </c>
      <c r="L9" s="8">
        <f>(D7*D8*D9)^(1/3)</f>
        <v>1.0403907456563257</v>
      </c>
      <c r="M9" s="8">
        <f t="shared" si="1"/>
        <v>4.0390745656325722</v>
      </c>
      <c r="N9" s="8">
        <f>B8*(1-B9)</f>
        <v>8.7590999999999974E-2</v>
      </c>
      <c r="O9" s="8">
        <f>(D8*D9)^0.5</f>
        <v>1.0403075893254883</v>
      </c>
      <c r="P9" s="8">
        <f>(O9-1)*100</f>
        <v>4.030758932548828</v>
      </c>
      <c r="Q9" s="8">
        <f>1-B9</f>
        <v>9.6999999999999975E-2</v>
      </c>
      <c r="R9" s="8">
        <f>D9</f>
        <v>1.0391726012094973</v>
      </c>
      <c r="S9" s="8">
        <f>(R9-1)*100</f>
        <v>3.9172601209497282</v>
      </c>
    </row>
    <row r="10" spans="1:22" x14ac:dyDescent="0.2">
      <c r="A10" s="18">
        <v>16</v>
      </c>
      <c r="B10" s="11">
        <f>Meta!E10</f>
        <v>0.90300000000000002</v>
      </c>
      <c r="D10" s="8">
        <f>Grade16!T2</f>
        <v>1.0391995844237669</v>
      </c>
      <c r="F10" s="15">
        <f t="shared" si="0"/>
        <v>3.919958442376692</v>
      </c>
      <c r="G10" s="15">
        <f>T10*V10</f>
        <v>3.919958442376692</v>
      </c>
      <c r="H10" s="15"/>
      <c r="I10" s="15"/>
      <c r="K10" s="8">
        <f>B7*B8*B9</f>
        <v>0.7363143270000001</v>
      </c>
      <c r="L10" s="8">
        <f>(D7*D8*D9*D10)^0.25</f>
        <v>1.0400928274082646</v>
      </c>
      <c r="M10" s="8">
        <f t="shared" si="1"/>
        <v>4.0092827408264586</v>
      </c>
      <c r="N10" s="8">
        <f>B8*B9</f>
        <v>0.81540900000000005</v>
      </c>
      <c r="O10" s="8">
        <f>(D8*D9*D10)^(1/3)</f>
        <v>1.0399381231575426</v>
      </c>
      <c r="P10" s="8">
        <f>(O10-1)*100</f>
        <v>3.9938123157542638</v>
      </c>
      <c r="Q10" s="8">
        <f>B9</f>
        <v>0.90300000000000002</v>
      </c>
      <c r="R10" s="8">
        <f>(D9*D10)^0.5</f>
        <v>1.0391860927290524</v>
      </c>
      <c r="S10" s="8">
        <f>(R10-1)*100</f>
        <v>3.918609272905238</v>
      </c>
      <c r="T10" s="8">
        <v>1</v>
      </c>
      <c r="U10" s="8">
        <f>D10</f>
        <v>1.0391995844237669</v>
      </c>
      <c r="V10" s="8">
        <f>(U10-1)*100</f>
        <v>3.919958442376692</v>
      </c>
    </row>
    <row r="11" spans="1:22" x14ac:dyDescent="0.2">
      <c r="A11" s="18">
        <v>17</v>
      </c>
      <c r="B11" s="11">
        <f>Meta!E11</f>
        <v>0.70699999999999996</v>
      </c>
      <c r="D11" s="8">
        <f>Grade17!T2</f>
        <v>1.0404276662698206</v>
      </c>
      <c r="F11" s="15">
        <f t="shared" si="0"/>
        <v>4.0427666269820639</v>
      </c>
      <c r="G11" s="15">
        <f>K11*M11+K12*M12</f>
        <v>3.9768778091878962</v>
      </c>
      <c r="H11" s="15"/>
      <c r="I11" s="15"/>
      <c r="K11" s="8">
        <f>1-B11</f>
        <v>0.29300000000000004</v>
      </c>
      <c r="L11" s="8">
        <f>D11</f>
        <v>1.0404276662698206</v>
      </c>
      <c r="M11" s="8">
        <f t="shared" si="1"/>
        <v>4.0427666269820639</v>
      </c>
    </row>
    <row r="12" spans="1:22" x14ac:dyDescent="0.2">
      <c r="A12" s="18">
        <v>18</v>
      </c>
      <c r="B12" s="11">
        <f>Meta!E12</f>
        <v>0.70699999999999996</v>
      </c>
      <c r="D12" s="8">
        <f>Grade18!T2</f>
        <v>1.0385646023865029</v>
      </c>
      <c r="F12" s="15">
        <f t="shared" si="0"/>
        <v>3.8564602386502944</v>
      </c>
      <c r="G12" s="15">
        <f>N12*P12</f>
        <v>3.8564602386502944</v>
      </c>
      <c r="H12" s="15"/>
      <c r="I12" s="15"/>
      <c r="K12" s="8">
        <f>B11</f>
        <v>0.70699999999999996</v>
      </c>
      <c r="L12" s="8">
        <f>(D11*D12)^0.5</f>
        <v>1.0394957169375127</v>
      </c>
      <c r="M12" s="8">
        <f t="shared" si="1"/>
        <v>3.9495716937512748</v>
      </c>
      <c r="N12" s="8">
        <v>1</v>
      </c>
      <c r="O12" s="8">
        <f>D12</f>
        <v>1.0385646023865029</v>
      </c>
      <c r="P12" s="8">
        <f>(O12-1)*100</f>
        <v>3.8564602386502944</v>
      </c>
    </row>
    <row r="14" spans="1:22" x14ac:dyDescent="0.2">
      <c r="B14" s="16"/>
    </row>
    <row r="15" spans="1:22" x14ac:dyDescent="0.2">
      <c r="B15" s="16"/>
    </row>
    <row r="16" spans="1:22" x14ac:dyDescent="0.2">
      <c r="B16" s="16"/>
    </row>
    <row r="17" spans="2:4" x14ac:dyDescent="0.2">
      <c r="B17" s="16"/>
    </row>
    <row r="18" spans="2:4" x14ac:dyDescent="0.2">
      <c r="B18" s="16"/>
    </row>
    <row r="19" spans="2:4" x14ac:dyDescent="0.2">
      <c r="B19" s="16"/>
      <c r="D19" s="30"/>
    </row>
    <row r="20" spans="2:4" x14ac:dyDescent="0.2">
      <c r="B20" s="16"/>
    </row>
    <row r="21" spans="2:4" x14ac:dyDescent="0.2">
      <c r="B21" s="16"/>
    </row>
    <row r="22" spans="2:4" x14ac:dyDescent="0.2">
      <c r="B22" s="16"/>
    </row>
    <row r="23" spans="2:4" x14ac:dyDescent="0.2">
      <c r="B23" s="16"/>
    </row>
    <row r="24" spans="2:4" x14ac:dyDescent="0.2">
      <c r="B24" s="16"/>
    </row>
    <row r="25" spans="2:4" x14ac:dyDescent="0.2">
      <c r="B25" s="16"/>
    </row>
    <row r="26" spans="2:4" x14ac:dyDescent="0.2">
      <c r="B26" s="16"/>
    </row>
    <row r="27" spans="2:4" x14ac:dyDescent="0.2">
      <c r="B27" s="2"/>
    </row>
    <row r="28" spans="2:4" x14ac:dyDescent="0.2">
      <c r="B28" s="2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workbookViewId="0">
      <selection activeCell="R2" sqref="R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8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</row>
    <row r="2" spans="1:18" x14ac:dyDescent="0.2">
      <c r="B2" s="5">
        <f>Meta!A2+6</f>
        <v>14</v>
      </c>
      <c r="C2" s="7">
        <f>Meta!B2</f>
        <v>133627</v>
      </c>
      <c r="D2" s="7">
        <f>Meta!C2</f>
        <v>59170</v>
      </c>
      <c r="E2" s="1">
        <f>Meta!D2</f>
        <v>5.7000000000000002E-2</v>
      </c>
      <c r="F2" s="1">
        <f>Meta!F2</f>
        <v>0.60199999999999998</v>
      </c>
      <c r="G2" s="1">
        <f>Meta!I2</f>
        <v>2.0085479604911836</v>
      </c>
      <c r="H2" s="1">
        <f>Meta!E2</f>
        <v>1</v>
      </c>
      <c r="I2" s="13"/>
      <c r="K2" s="1">
        <f>Meta!D2</f>
        <v>5.7000000000000002E-2</v>
      </c>
      <c r="L2" s="13"/>
      <c r="N2" s="22">
        <f>Meta!T2</f>
        <v>215722</v>
      </c>
      <c r="O2" s="22">
        <f>Meta!U2</f>
        <v>90954</v>
      </c>
      <c r="P2" s="1">
        <f>Meta!V2</f>
        <v>3.2000000000000001E-2</v>
      </c>
      <c r="Q2" s="1">
        <f>Meta!X2</f>
        <v>0.72799999999999998</v>
      </c>
      <c r="R2" s="22">
        <f>Meta!W2</f>
        <v>1113</v>
      </c>
    </row>
    <row r="3" spans="1:18" ht="14.25" x14ac:dyDescent="0.2">
      <c r="C3" s="3"/>
      <c r="G3" s="4"/>
      <c r="L3" s="1" t="s">
        <v>10</v>
      </c>
    </row>
    <row r="4" spans="1:18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</row>
    <row r="5" spans="1:18" x14ac:dyDescent="0.2">
      <c r="A5" s="5">
        <v>14</v>
      </c>
      <c r="B5" s="1">
        <f t="shared" ref="B5:B36" si="0">(1+experiencepremium)^(A5-startage)</f>
        <v>1</v>
      </c>
      <c r="C5" s="5">
        <f>pretaxincome*B5/expnorm</f>
        <v>66529.155702770455</v>
      </c>
      <c r="D5" s="5">
        <f>IF(A5&lt;startage,1,0)*(C5*(1-initialunempprob))+IF(A5=startage,1,0)*(C5*(1-unempprob))+IF(A5&gt;startage,1,0)*(C5*(1-unempprob)+unempprob*300*52)</f>
        <v>62736.993827712533</v>
      </c>
      <c r="E5" s="5">
        <f>IF(D5-9500&gt;0,1,0)*(D5-9500)</f>
        <v>53236.993827712533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19557.327867519394</v>
      </c>
      <c r="G5" s="5">
        <f>D5-F5</f>
        <v>43179.665960193139</v>
      </c>
      <c r="H5" s="22">
        <f t="shared" ref="H5:H36" si="1">benefits*B5/expnorm</f>
        <v>29459.09242093984</v>
      </c>
      <c r="I5" s="5">
        <f>G5+IF(A5&lt;startage,1,0)*(H5*(1-initialunempprob))+IF(A5&gt;=startage,1,0)*(H5*(1-unempprob))</f>
        <v>70959.590113139406</v>
      </c>
      <c r="J5" s="26">
        <f t="shared" ref="J5:J36" si="2">(F5-(IF(A5&gt;startage,1,0)*(unempprob*300*52)))/(IF(A5&lt;startage,1,0)*((C5+H5)*(1-initialunempprob))+IF(A5&gt;=startage,1,0)*((C5+H5)*(1-unempprob)))</f>
        <v>0.21606267981526181</v>
      </c>
      <c r="L5" s="22">
        <f t="shared" ref="L5:L36" si="3">(sincome+sbenefits)*(1-sunemp)*B5/expnorm</f>
        <v>147799.49189134789</v>
      </c>
      <c r="M5" s="5">
        <f>scrimecost*Meta!O2</f>
        <v>1217.6220000000001</v>
      </c>
      <c r="N5" s="22"/>
    </row>
    <row r="6" spans="1:18" x14ac:dyDescent="0.2">
      <c r="A6" s="5">
        <v>15</v>
      </c>
      <c r="B6" s="1">
        <f t="shared" si="0"/>
        <v>1.0249999999999999</v>
      </c>
      <c r="C6" s="5">
        <f t="shared" ref="C6:C36" si="4">pretaxincome*B6/expnorm</f>
        <v>68192.38459533971</v>
      </c>
      <c r="D6" s="5">
        <f t="shared" ref="D6:D36" si="5">IF(A6&lt;startage,1,0)*(C6*(1-initialunempprob))+IF(A6=startage,1,0)*(C6*(1-unempprob))+IF(A6&gt;startage,1,0)*(C6*(1-unempprob)+unempprob*300*52)</f>
        <v>65194.618673405341</v>
      </c>
      <c r="E6" s="5">
        <f t="shared" ref="E6:E56" si="6">IF(D6-9500&gt;0,1,0)*(D6-9500)</f>
        <v>55694.618673405341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20605.504864207378</v>
      </c>
      <c r="G6" s="5">
        <f t="shared" ref="G6:G56" si="8">D6-F6</f>
        <v>44589.113809197966</v>
      </c>
      <c r="H6" s="22">
        <f t="shared" si="1"/>
        <v>30195.569731463333</v>
      </c>
      <c r="I6" s="5">
        <f t="shared" ref="I6:I36" si="9">G6+IF(A6&lt;startage,1,0)*(H6*(1-initialunempprob))+IF(A6&gt;=startage,1,0)*(H6*(1-unempprob))</f>
        <v>73063.536065967884</v>
      </c>
      <c r="J6" s="26">
        <f t="shared" si="2"/>
        <v>0.21250634476777749</v>
      </c>
      <c r="L6" s="22">
        <f t="shared" si="3"/>
        <v>151494.47918863155</v>
      </c>
      <c r="M6" s="5">
        <f>scrimecost*Meta!O3</f>
        <v>2065.7280000000001</v>
      </c>
      <c r="N6" s="22"/>
    </row>
    <row r="7" spans="1:18" x14ac:dyDescent="0.2">
      <c r="A7" s="5">
        <v>16</v>
      </c>
      <c r="B7" s="1">
        <f t="shared" si="0"/>
        <v>1.0506249999999999</v>
      </c>
      <c r="C7" s="5">
        <f t="shared" si="4"/>
        <v>69897.194210223199</v>
      </c>
      <c r="D7" s="5">
        <f t="shared" si="5"/>
        <v>66802.254140240475</v>
      </c>
      <c r="E7" s="5">
        <f t="shared" si="6"/>
        <v>57302.254140240475</v>
      </c>
      <c r="F7" s="5">
        <f t="shared" si="7"/>
        <v>21291.161390812562</v>
      </c>
      <c r="G7" s="5">
        <f t="shared" si="8"/>
        <v>45511.092749427917</v>
      </c>
      <c r="H7" s="22">
        <f t="shared" si="1"/>
        <v>30950.458974749919</v>
      </c>
      <c r="I7" s="5">
        <f t="shared" si="9"/>
        <v>74697.37556261709</v>
      </c>
      <c r="J7" s="26">
        <f t="shared" si="2"/>
        <v>0.21453316126487243</v>
      </c>
      <c r="L7" s="22">
        <f t="shared" si="3"/>
        <v>155281.84116834737</v>
      </c>
      <c r="M7" s="5">
        <f>scrimecost*Meta!O4</f>
        <v>2613.3240000000001</v>
      </c>
      <c r="N7" s="22"/>
    </row>
    <row r="8" spans="1:18" x14ac:dyDescent="0.2">
      <c r="A8" s="5">
        <v>17</v>
      </c>
      <c r="B8" s="1">
        <f t="shared" si="0"/>
        <v>1.0768906249999999</v>
      </c>
      <c r="C8" s="5">
        <f t="shared" si="4"/>
        <v>71644.624065478783</v>
      </c>
      <c r="D8" s="5">
        <f t="shared" si="5"/>
        <v>68450.080493746485</v>
      </c>
      <c r="E8" s="5">
        <f t="shared" si="6"/>
        <v>58950.080493746485</v>
      </c>
      <c r="F8" s="5">
        <f t="shared" si="7"/>
        <v>21993.959330582878</v>
      </c>
      <c r="G8" s="5">
        <f t="shared" si="8"/>
        <v>46456.121163163611</v>
      </c>
      <c r="H8" s="22">
        <f t="shared" si="1"/>
        <v>31724.220449118664</v>
      </c>
      <c r="I8" s="5">
        <f t="shared" si="9"/>
        <v>76372.061046682502</v>
      </c>
      <c r="J8" s="26">
        <f t="shared" si="2"/>
        <v>0.21651054321325774</v>
      </c>
      <c r="L8" s="22">
        <f t="shared" si="3"/>
        <v>159163.88719755603</v>
      </c>
      <c r="M8" s="5">
        <f>scrimecost*Meta!O5</f>
        <v>3018.4560000000001</v>
      </c>
      <c r="N8" s="22"/>
    </row>
    <row r="9" spans="1:18" x14ac:dyDescent="0.2">
      <c r="A9" s="5">
        <v>18</v>
      </c>
      <c r="B9" s="1">
        <f t="shared" si="0"/>
        <v>1.1038128906249998</v>
      </c>
      <c r="C9" s="5">
        <f t="shared" si="4"/>
        <v>73435.739667115762</v>
      </c>
      <c r="D9" s="5">
        <f t="shared" si="5"/>
        <v>70139.102506090159</v>
      </c>
      <c r="E9" s="5">
        <f t="shared" si="6"/>
        <v>60639.102506090159</v>
      </c>
      <c r="F9" s="5">
        <f t="shared" si="7"/>
        <v>22714.327218847455</v>
      </c>
      <c r="G9" s="5">
        <f t="shared" si="8"/>
        <v>47424.775287242708</v>
      </c>
      <c r="H9" s="22">
        <f t="shared" si="1"/>
        <v>32517.325960346625</v>
      </c>
      <c r="I9" s="5">
        <f t="shared" si="9"/>
        <v>78088.613667849568</v>
      </c>
      <c r="J9" s="26">
        <f t="shared" si="2"/>
        <v>0.21843969633363361</v>
      </c>
      <c r="L9" s="22">
        <f t="shared" si="3"/>
        <v>163142.98437749493</v>
      </c>
      <c r="M9" s="5">
        <f>scrimecost*Meta!O6</f>
        <v>3668.4479999999999</v>
      </c>
      <c r="N9" s="22"/>
    </row>
    <row r="10" spans="1:18" x14ac:dyDescent="0.2">
      <c r="A10" s="5">
        <v>19</v>
      </c>
      <c r="B10" s="1">
        <f t="shared" si="0"/>
        <v>1.1314082128906247</v>
      </c>
      <c r="C10" s="5">
        <f t="shared" si="4"/>
        <v>75271.633158793644</v>
      </c>
      <c r="D10" s="5">
        <f t="shared" si="5"/>
        <v>71870.350068742395</v>
      </c>
      <c r="E10" s="5">
        <f t="shared" si="6"/>
        <v>62370.350068742395</v>
      </c>
      <c r="F10" s="5">
        <f t="shared" si="7"/>
        <v>23452.704304318635</v>
      </c>
      <c r="G10" s="5">
        <f t="shared" si="8"/>
        <v>48417.64576442376</v>
      </c>
      <c r="H10" s="22">
        <f t="shared" si="1"/>
        <v>33330.259109355291</v>
      </c>
      <c r="I10" s="5">
        <f t="shared" si="9"/>
        <v>79848.080104545807</v>
      </c>
      <c r="J10" s="26">
        <f t="shared" si="2"/>
        <v>0.22032179693887838</v>
      </c>
      <c r="L10" s="22">
        <f t="shared" si="3"/>
        <v>167221.55898693227</v>
      </c>
      <c r="M10" s="5">
        <f>scrimecost*Meta!O7</f>
        <v>3921.0990000000002</v>
      </c>
      <c r="N10" s="22"/>
    </row>
    <row r="11" spans="1:18" x14ac:dyDescent="0.2">
      <c r="A11" s="5">
        <v>20</v>
      </c>
      <c r="B11" s="1">
        <f t="shared" si="0"/>
        <v>1.1596934182128902</v>
      </c>
      <c r="C11" s="5">
        <f t="shared" si="4"/>
        <v>77153.423987763468</v>
      </c>
      <c r="D11" s="5">
        <f t="shared" si="5"/>
        <v>73644.878820460945</v>
      </c>
      <c r="E11" s="5">
        <f t="shared" si="6"/>
        <v>64144.878820460945</v>
      </c>
      <c r="F11" s="5">
        <f t="shared" si="7"/>
        <v>24209.540816926594</v>
      </c>
      <c r="G11" s="5">
        <f t="shared" si="8"/>
        <v>49435.338003534351</v>
      </c>
      <c r="H11" s="22">
        <f t="shared" si="1"/>
        <v>34163.515587089169</v>
      </c>
      <c r="I11" s="5">
        <f t="shared" si="9"/>
        <v>81651.533202159437</v>
      </c>
      <c r="J11" s="26">
        <f t="shared" si="2"/>
        <v>0.22215799265131225</v>
      </c>
      <c r="L11" s="22">
        <f t="shared" si="3"/>
        <v>171402.09796160558</v>
      </c>
      <c r="M11" s="5">
        <f>scrimecost*Meta!O8</f>
        <v>3755.2620000000002</v>
      </c>
      <c r="N11" s="22"/>
    </row>
    <row r="12" spans="1:18" x14ac:dyDescent="0.2">
      <c r="A12" s="5">
        <v>21</v>
      </c>
      <c r="B12" s="1">
        <f t="shared" si="0"/>
        <v>1.1886857536682125</v>
      </c>
      <c r="C12" s="5">
        <f t="shared" si="4"/>
        <v>79082.259587457564</v>
      </c>
      <c r="D12" s="5">
        <f t="shared" si="5"/>
        <v>75463.77079097247</v>
      </c>
      <c r="E12" s="5">
        <f t="shared" si="6"/>
        <v>65963.77079097247</v>
      </c>
      <c r="F12" s="5">
        <f t="shared" si="7"/>
        <v>24985.29824234976</v>
      </c>
      <c r="G12" s="5">
        <f t="shared" si="8"/>
        <v>50478.472548622711</v>
      </c>
      <c r="H12" s="22">
        <f t="shared" si="1"/>
        <v>35017.603476766402</v>
      </c>
      <c r="I12" s="5">
        <f t="shared" si="9"/>
        <v>83500.072627213434</v>
      </c>
      <c r="J12" s="26">
        <f t="shared" si="2"/>
        <v>0.22394940310246733</v>
      </c>
      <c r="L12" s="22">
        <f t="shared" si="3"/>
        <v>175687.15041064573</v>
      </c>
      <c r="M12" s="5">
        <f>scrimecost*Meta!O9</f>
        <v>3410.232</v>
      </c>
      <c r="N12" s="22"/>
    </row>
    <row r="13" spans="1:18" x14ac:dyDescent="0.2">
      <c r="A13" s="5">
        <v>22</v>
      </c>
      <c r="B13" s="1">
        <f t="shared" si="0"/>
        <v>1.2184028975099177</v>
      </c>
      <c r="C13" s="5">
        <f t="shared" si="4"/>
        <v>81059.316077144002</v>
      </c>
      <c r="D13" s="5">
        <f t="shared" si="5"/>
        <v>77328.13506074679</v>
      </c>
      <c r="E13" s="5">
        <f t="shared" si="6"/>
        <v>67828.13506074679</v>
      </c>
      <c r="F13" s="5">
        <f t="shared" si="7"/>
        <v>25780.449603408506</v>
      </c>
      <c r="G13" s="5">
        <f t="shared" si="8"/>
        <v>51547.685457338288</v>
      </c>
      <c r="H13" s="22">
        <f t="shared" si="1"/>
        <v>35893.043563685555</v>
      </c>
      <c r="I13" s="5">
        <f t="shared" si="9"/>
        <v>85394.825537893761</v>
      </c>
      <c r="J13" s="26">
        <f t="shared" si="2"/>
        <v>0.22569712061578937</v>
      </c>
      <c r="L13" s="22">
        <f t="shared" si="3"/>
        <v>180079.32917091183</v>
      </c>
      <c r="M13" s="5">
        <f>scrimecost*Meta!O10</f>
        <v>3125.3039999999996</v>
      </c>
      <c r="N13" s="22"/>
    </row>
    <row r="14" spans="1:18" x14ac:dyDescent="0.2">
      <c r="A14" s="5">
        <v>23</v>
      </c>
      <c r="B14" s="1">
        <f t="shared" si="0"/>
        <v>1.2488629699476654</v>
      </c>
      <c r="C14" s="5">
        <f t="shared" si="4"/>
        <v>83085.798979072584</v>
      </c>
      <c r="D14" s="5">
        <f t="shared" si="5"/>
        <v>79239.108437265444</v>
      </c>
      <c r="E14" s="5">
        <f t="shared" si="6"/>
        <v>69739.108437265444</v>
      </c>
      <c r="F14" s="5">
        <f t="shared" si="7"/>
        <v>26595.479748493715</v>
      </c>
      <c r="G14" s="5">
        <f t="shared" si="8"/>
        <v>52643.628688771729</v>
      </c>
      <c r="H14" s="22">
        <f t="shared" si="1"/>
        <v>36790.369652777692</v>
      </c>
      <c r="I14" s="5">
        <f t="shared" si="9"/>
        <v>87336.94727134108</v>
      </c>
      <c r="J14" s="26">
        <f t="shared" si="2"/>
        <v>0.22740221087268889</v>
      </c>
      <c r="L14" s="22">
        <f t="shared" si="3"/>
        <v>184581.31240018463</v>
      </c>
      <c r="M14" s="5">
        <f>scrimecost*Meta!O11</f>
        <v>2920.5120000000002</v>
      </c>
      <c r="N14" s="22"/>
    </row>
    <row r="15" spans="1:18" x14ac:dyDescent="0.2">
      <c r="A15" s="5">
        <v>24</v>
      </c>
      <c r="B15" s="1">
        <f t="shared" si="0"/>
        <v>1.2800845441963571</v>
      </c>
      <c r="C15" s="5">
        <f t="shared" si="4"/>
        <v>85162.943953549388</v>
      </c>
      <c r="D15" s="5">
        <f t="shared" si="5"/>
        <v>81197.856148197068</v>
      </c>
      <c r="E15" s="5">
        <f t="shared" si="6"/>
        <v>71697.856148197068</v>
      </c>
      <c r="F15" s="5">
        <f t="shared" si="7"/>
        <v>27430.885647206051</v>
      </c>
      <c r="G15" s="5">
        <f t="shared" si="8"/>
        <v>53766.970500991018</v>
      </c>
      <c r="H15" s="22">
        <f t="shared" si="1"/>
        <v>37710.128894097128</v>
      </c>
      <c r="I15" s="5">
        <f t="shared" si="9"/>
        <v>89327.622048124613</v>
      </c>
      <c r="J15" s="26">
        <f t="shared" si="2"/>
        <v>0.2290657135623469</v>
      </c>
      <c r="L15" s="22">
        <f t="shared" si="3"/>
        <v>189195.84521018923</v>
      </c>
      <c r="M15" s="5">
        <f>scrimecost*Meta!O12</f>
        <v>2790.2910000000002</v>
      </c>
      <c r="N15" s="22"/>
    </row>
    <row r="16" spans="1:18" x14ac:dyDescent="0.2">
      <c r="A16" s="5">
        <v>25</v>
      </c>
      <c r="B16" s="1">
        <f t="shared" si="0"/>
        <v>1.312086657801266</v>
      </c>
      <c r="C16" s="5">
        <f t="shared" si="4"/>
        <v>87292.017552388119</v>
      </c>
      <c r="D16" s="5">
        <f t="shared" si="5"/>
        <v>83205.572551901991</v>
      </c>
      <c r="E16" s="5">
        <f t="shared" si="6"/>
        <v>73705.572551901991</v>
      </c>
      <c r="F16" s="5">
        <f t="shared" si="7"/>
        <v>28287.176693386202</v>
      </c>
      <c r="G16" s="5">
        <f t="shared" si="8"/>
        <v>54918.395858515789</v>
      </c>
      <c r="H16" s="22">
        <f t="shared" si="1"/>
        <v>38652.88211644956</v>
      </c>
      <c r="I16" s="5">
        <f t="shared" si="9"/>
        <v>91368.06369432772</v>
      </c>
      <c r="J16" s="26">
        <f t="shared" si="2"/>
        <v>0.23068864301567185</v>
      </c>
      <c r="L16" s="22">
        <f t="shared" si="3"/>
        <v>193925.74134044396</v>
      </c>
      <c r="M16" s="5">
        <f>scrimecost*Meta!O13</f>
        <v>2342.8649999999998</v>
      </c>
      <c r="N16" s="22"/>
    </row>
    <row r="17" spans="1:14" x14ac:dyDescent="0.2">
      <c r="A17" s="5">
        <v>26</v>
      </c>
      <c r="B17" s="1">
        <f t="shared" si="0"/>
        <v>1.3448888242462975</v>
      </c>
      <c r="C17" s="5">
        <f t="shared" si="4"/>
        <v>89474.317991197822</v>
      </c>
      <c r="D17" s="5">
        <f t="shared" si="5"/>
        <v>85263.481865699534</v>
      </c>
      <c r="E17" s="5">
        <f t="shared" si="6"/>
        <v>75763.481865699534</v>
      </c>
      <c r="F17" s="5">
        <f t="shared" si="7"/>
        <v>29164.875015720852</v>
      </c>
      <c r="G17" s="5">
        <f t="shared" si="8"/>
        <v>56098.606849978678</v>
      </c>
      <c r="H17" s="22">
        <f t="shared" si="1"/>
        <v>39619.204169360797</v>
      </c>
      <c r="I17" s="5">
        <f t="shared" si="9"/>
        <v>93459.516381685913</v>
      </c>
      <c r="J17" s="26">
        <f t="shared" si="2"/>
        <v>0.23227198882379371</v>
      </c>
      <c r="L17" s="22">
        <f t="shared" si="3"/>
        <v>198773.88487395504</v>
      </c>
      <c r="M17" s="5">
        <f>scrimecost*Meta!O14</f>
        <v>2342.8649999999998</v>
      </c>
      <c r="N17" s="22"/>
    </row>
    <row r="18" spans="1:14" x14ac:dyDescent="0.2">
      <c r="A18" s="5">
        <v>27</v>
      </c>
      <c r="B18" s="1">
        <f t="shared" si="0"/>
        <v>1.3785110448524549</v>
      </c>
      <c r="C18" s="5">
        <f t="shared" si="4"/>
        <v>91711.175940977773</v>
      </c>
      <c r="D18" s="5">
        <f t="shared" si="5"/>
        <v>87372.838912342035</v>
      </c>
      <c r="E18" s="5">
        <f t="shared" si="6"/>
        <v>77872.838912342035</v>
      </c>
      <c r="F18" s="5">
        <f t="shared" si="7"/>
        <v>30064.515796113879</v>
      </c>
      <c r="G18" s="5">
        <f t="shared" si="8"/>
        <v>57308.323116228159</v>
      </c>
      <c r="H18" s="22">
        <f t="shared" si="1"/>
        <v>40609.684273594816</v>
      </c>
      <c r="I18" s="5">
        <f t="shared" si="9"/>
        <v>95603.255386228062</v>
      </c>
      <c r="J18" s="26">
        <f t="shared" si="2"/>
        <v>0.23381671644147367</v>
      </c>
      <c r="L18" s="22">
        <f t="shared" si="3"/>
        <v>203743.23199580392</v>
      </c>
      <c r="M18" s="5">
        <f>scrimecost*Meta!O15</f>
        <v>2342.8649999999998</v>
      </c>
      <c r="N18" s="22"/>
    </row>
    <row r="19" spans="1:14" x14ac:dyDescent="0.2">
      <c r="A19" s="5">
        <v>28</v>
      </c>
      <c r="B19" s="1">
        <f t="shared" si="0"/>
        <v>1.4129738209737661</v>
      </c>
      <c r="C19" s="5">
        <f t="shared" si="4"/>
        <v>94003.955339502209</v>
      </c>
      <c r="D19" s="5">
        <f t="shared" si="5"/>
        <v>89534.929885150574</v>
      </c>
      <c r="E19" s="5">
        <f t="shared" si="6"/>
        <v>80034.929885150574</v>
      </c>
      <c r="F19" s="5">
        <f t="shared" si="7"/>
        <v>30986.647596016719</v>
      </c>
      <c r="G19" s="5">
        <f t="shared" si="8"/>
        <v>58548.282289133858</v>
      </c>
      <c r="H19" s="22">
        <f t="shared" si="1"/>
        <v>41624.926380434677</v>
      </c>
      <c r="I19" s="5">
        <f t="shared" si="9"/>
        <v>97800.587865883746</v>
      </c>
      <c r="J19" s="26">
        <f t="shared" si="2"/>
        <v>0.23532376777579547</v>
      </c>
      <c r="L19" s="22">
        <f t="shared" si="3"/>
        <v>208836.81279569899</v>
      </c>
      <c r="M19" s="5">
        <f>scrimecost*Meta!O16</f>
        <v>2342.8649999999998</v>
      </c>
      <c r="N19" s="22"/>
    </row>
    <row r="20" spans="1:14" x14ac:dyDescent="0.2">
      <c r="A20" s="5">
        <v>29</v>
      </c>
      <c r="B20" s="1">
        <f t="shared" si="0"/>
        <v>1.4482981664981105</v>
      </c>
      <c r="C20" s="5">
        <f t="shared" si="4"/>
        <v>96354.054222989769</v>
      </c>
      <c r="D20" s="5">
        <f t="shared" si="5"/>
        <v>91751.073132279344</v>
      </c>
      <c r="E20" s="5">
        <f t="shared" si="6"/>
        <v>82251.073132279344</v>
      </c>
      <c r="F20" s="5">
        <f t="shared" si="7"/>
        <v>31931.832690917141</v>
      </c>
      <c r="G20" s="5">
        <f t="shared" si="8"/>
        <v>59819.240441362199</v>
      </c>
      <c r="H20" s="22">
        <f t="shared" si="1"/>
        <v>42665.549539945554</v>
      </c>
      <c r="I20" s="5">
        <f t="shared" si="9"/>
        <v>100052.85365753085</v>
      </c>
      <c r="J20" s="26">
        <f t="shared" si="2"/>
        <v>0.23679406176049969</v>
      </c>
      <c r="L20" s="22">
        <f t="shared" si="3"/>
        <v>214057.73311559149</v>
      </c>
      <c r="M20" s="5">
        <f>scrimecost*Meta!O17</f>
        <v>2342.8649999999998</v>
      </c>
      <c r="N20" s="22"/>
    </row>
    <row r="21" spans="1:14" x14ac:dyDescent="0.2">
      <c r="A21" s="5">
        <v>30</v>
      </c>
      <c r="B21" s="1">
        <f t="shared" si="0"/>
        <v>1.4845056206605631</v>
      </c>
      <c r="C21" s="5">
        <f t="shared" si="4"/>
        <v>98762.905578564503</v>
      </c>
      <c r="D21" s="5">
        <f t="shared" si="5"/>
        <v>94022.619960586322</v>
      </c>
      <c r="E21" s="5">
        <f t="shared" si="6"/>
        <v>84522.619960586322</v>
      </c>
      <c r="F21" s="5">
        <f t="shared" si="7"/>
        <v>32928.326012007659</v>
      </c>
      <c r="G21" s="5">
        <f t="shared" si="8"/>
        <v>61094.293948578663</v>
      </c>
      <c r="H21" s="22">
        <f t="shared" si="1"/>
        <v>43732.188278444184</v>
      </c>
      <c r="I21" s="5">
        <f t="shared" si="9"/>
        <v>102333.74749515153</v>
      </c>
      <c r="J21" s="26">
        <f t="shared" si="2"/>
        <v>0.23843447844628152</v>
      </c>
      <c r="L21" s="22">
        <f t="shared" si="3"/>
        <v>219409.17644348126</v>
      </c>
      <c r="M21" s="5">
        <f>scrimecost*Meta!O18</f>
        <v>1888.761</v>
      </c>
      <c r="N21" s="22"/>
    </row>
    <row r="22" spans="1:14" x14ac:dyDescent="0.2">
      <c r="A22" s="5">
        <v>31</v>
      </c>
      <c r="B22" s="1">
        <f t="shared" si="0"/>
        <v>1.521618261177077</v>
      </c>
      <c r="C22" s="5">
        <f t="shared" si="4"/>
        <v>101231.9782180286</v>
      </c>
      <c r="D22" s="5">
        <f t="shared" si="5"/>
        <v>96350.955459600955</v>
      </c>
      <c r="E22" s="5">
        <f t="shared" si="6"/>
        <v>86850.955459600955</v>
      </c>
      <c r="F22" s="5">
        <f t="shared" si="7"/>
        <v>33991.211167307833</v>
      </c>
      <c r="G22" s="5">
        <f t="shared" si="8"/>
        <v>62359.744292293122</v>
      </c>
      <c r="H22" s="22">
        <f t="shared" si="1"/>
        <v>44825.49298540529</v>
      </c>
      <c r="I22" s="5">
        <f t="shared" si="9"/>
        <v>104630.18417753032</v>
      </c>
      <c r="J22" s="26">
        <f t="shared" si="2"/>
        <v>0.24033604550069648</v>
      </c>
      <c r="L22" s="22">
        <f t="shared" si="3"/>
        <v>224894.40585456826</v>
      </c>
      <c r="M22" s="5">
        <f>scrimecost*Meta!O19</f>
        <v>1888.761</v>
      </c>
      <c r="N22" s="22"/>
    </row>
    <row r="23" spans="1:14" x14ac:dyDescent="0.2">
      <c r="A23" s="5">
        <v>32</v>
      </c>
      <c r="B23" s="1">
        <f t="shared" si="0"/>
        <v>1.559658717706504</v>
      </c>
      <c r="C23" s="5">
        <f t="shared" si="4"/>
        <v>103762.77767347933</v>
      </c>
      <c r="D23" s="5">
        <f t="shared" si="5"/>
        <v>98737.499346091005</v>
      </c>
      <c r="E23" s="5">
        <f t="shared" si="6"/>
        <v>89237.499346091005</v>
      </c>
      <c r="F23" s="5">
        <f t="shared" si="7"/>
        <v>35080.668451490543</v>
      </c>
      <c r="G23" s="5">
        <f t="shared" si="8"/>
        <v>63656.830894600462</v>
      </c>
      <c r="H23" s="22">
        <f t="shared" si="1"/>
        <v>45946.130310040418</v>
      </c>
      <c r="I23" s="5">
        <f t="shared" si="9"/>
        <v>106984.03177696856</v>
      </c>
      <c r="J23" s="26">
        <f t="shared" si="2"/>
        <v>0.24219123287085759</v>
      </c>
      <c r="L23" s="22">
        <f t="shared" si="3"/>
        <v>230516.76600093249</v>
      </c>
      <c r="M23" s="5">
        <f>scrimecost*Meta!O20</f>
        <v>1888.761</v>
      </c>
      <c r="N23" s="22"/>
    </row>
    <row r="24" spans="1:14" x14ac:dyDescent="0.2">
      <c r="A24" s="5">
        <v>33</v>
      </c>
      <c r="B24" s="1">
        <f t="shared" si="0"/>
        <v>1.5986501856491666</v>
      </c>
      <c r="C24" s="5">
        <f t="shared" si="4"/>
        <v>106356.8471153163</v>
      </c>
      <c r="D24" s="5">
        <f t="shared" si="5"/>
        <v>101183.70682974326</v>
      </c>
      <c r="E24" s="5">
        <f t="shared" si="6"/>
        <v>91683.706829743256</v>
      </c>
      <c r="F24" s="5">
        <f t="shared" si="7"/>
        <v>36197.362167777792</v>
      </c>
      <c r="G24" s="5">
        <f t="shared" si="8"/>
        <v>64986.344661965464</v>
      </c>
      <c r="H24" s="22">
        <f t="shared" si="1"/>
        <v>47094.783567791434</v>
      </c>
      <c r="I24" s="5">
        <f t="shared" si="9"/>
        <v>109396.72556639279</v>
      </c>
      <c r="J24" s="26">
        <f t="shared" si="2"/>
        <v>0.2440011717685755</v>
      </c>
      <c r="L24" s="22">
        <f t="shared" si="3"/>
        <v>236279.68515095577</v>
      </c>
      <c r="M24" s="5">
        <f>scrimecost*Meta!O21</f>
        <v>1888.761</v>
      </c>
      <c r="N24" s="22"/>
    </row>
    <row r="25" spans="1:14" x14ac:dyDescent="0.2">
      <c r="A25" s="5">
        <v>34</v>
      </c>
      <c r="B25" s="1">
        <f t="shared" si="0"/>
        <v>1.6386164402903955</v>
      </c>
      <c r="C25" s="5">
        <f t="shared" si="4"/>
        <v>109015.7682931992</v>
      </c>
      <c r="D25" s="5">
        <f t="shared" si="5"/>
        <v>103691.06950048683</v>
      </c>
      <c r="E25" s="5">
        <f t="shared" si="6"/>
        <v>94191.069500486832</v>
      </c>
      <c r="F25" s="5">
        <f t="shared" si="7"/>
        <v>37341.973226972244</v>
      </c>
      <c r="G25" s="5">
        <f t="shared" si="8"/>
        <v>66349.096273514588</v>
      </c>
      <c r="H25" s="22">
        <f t="shared" si="1"/>
        <v>48272.153156986213</v>
      </c>
      <c r="I25" s="5">
        <f t="shared" si="9"/>
        <v>111869.73670055257</v>
      </c>
      <c r="J25" s="26">
        <f t="shared" si="2"/>
        <v>0.2457669658151298</v>
      </c>
      <c r="L25" s="22">
        <f t="shared" si="3"/>
        <v>242186.67727972966</v>
      </c>
      <c r="M25" s="5">
        <f>scrimecost*Meta!O22</f>
        <v>1888.761</v>
      </c>
      <c r="N25" s="22"/>
    </row>
    <row r="26" spans="1:14" x14ac:dyDescent="0.2">
      <c r="A26" s="5">
        <v>35</v>
      </c>
      <c r="B26" s="1">
        <f t="shared" si="0"/>
        <v>1.6795818512976552</v>
      </c>
      <c r="C26" s="5">
        <f t="shared" si="4"/>
        <v>111741.16250052917</v>
      </c>
      <c r="D26" s="5">
        <f t="shared" si="5"/>
        <v>106261.116237999</v>
      </c>
      <c r="E26" s="5">
        <f t="shared" si="6"/>
        <v>96761.116237998998</v>
      </c>
      <c r="F26" s="5">
        <f t="shared" si="7"/>
        <v>38515.199562646543</v>
      </c>
      <c r="G26" s="5">
        <f t="shared" si="8"/>
        <v>67745.916675352462</v>
      </c>
      <c r="H26" s="22">
        <f t="shared" si="1"/>
        <v>49478.956985910867</v>
      </c>
      <c r="I26" s="5">
        <f t="shared" si="9"/>
        <v>114404.57311306641</v>
      </c>
      <c r="J26" s="26">
        <f t="shared" si="2"/>
        <v>0.24748969171420707</v>
      </c>
      <c r="L26" s="22">
        <f t="shared" si="3"/>
        <v>248241.34421172287</v>
      </c>
      <c r="M26" s="5">
        <f>scrimecost*Meta!O23</f>
        <v>1465.8209999999999</v>
      </c>
      <c r="N26" s="22"/>
    </row>
    <row r="27" spans="1:14" x14ac:dyDescent="0.2">
      <c r="A27" s="5">
        <v>36</v>
      </c>
      <c r="B27" s="1">
        <f t="shared" si="0"/>
        <v>1.7215713975800966</v>
      </c>
      <c r="C27" s="5">
        <f t="shared" si="4"/>
        <v>114534.69156304239</v>
      </c>
      <c r="D27" s="5">
        <f t="shared" si="5"/>
        <v>108895.41414394896</v>
      </c>
      <c r="E27" s="5">
        <f t="shared" si="6"/>
        <v>99395.414143948961</v>
      </c>
      <c r="F27" s="5">
        <f t="shared" si="7"/>
        <v>39587.840879787858</v>
      </c>
      <c r="G27" s="5">
        <f t="shared" si="8"/>
        <v>69307.573264161096</v>
      </c>
      <c r="H27" s="22">
        <f t="shared" si="1"/>
        <v>50715.930910558629</v>
      </c>
      <c r="I27" s="5">
        <f t="shared" si="9"/>
        <v>117132.69611281788</v>
      </c>
      <c r="J27" s="26">
        <f t="shared" si="2"/>
        <v>0.24833670573989955</v>
      </c>
      <c r="L27" s="22">
        <f t="shared" si="3"/>
        <v>254447.37781701595</v>
      </c>
      <c r="M27" s="5">
        <f>scrimecost*Meta!O24</f>
        <v>1465.8209999999999</v>
      </c>
      <c r="N27" s="22"/>
    </row>
    <row r="28" spans="1:14" x14ac:dyDescent="0.2">
      <c r="A28" s="5">
        <v>37</v>
      </c>
      <c r="B28" s="1">
        <f t="shared" si="0"/>
        <v>1.7646106825195991</v>
      </c>
      <c r="C28" s="5">
        <f t="shared" si="4"/>
        <v>117398.05885211847</v>
      </c>
      <c r="D28" s="5">
        <f t="shared" si="5"/>
        <v>111595.56949754771</v>
      </c>
      <c r="E28" s="5">
        <f t="shared" si="6"/>
        <v>102095.56949754771</v>
      </c>
      <c r="F28" s="5">
        <f t="shared" si="7"/>
        <v>40653.052166782567</v>
      </c>
      <c r="G28" s="5">
        <f t="shared" si="8"/>
        <v>70942.517330765142</v>
      </c>
      <c r="H28" s="22">
        <f t="shared" si="1"/>
        <v>51983.829183322603</v>
      </c>
      <c r="I28" s="5">
        <f t="shared" si="9"/>
        <v>119963.26825063836</v>
      </c>
      <c r="J28" s="26">
        <f t="shared" si="2"/>
        <v>0.24894865732798657</v>
      </c>
      <c r="L28" s="22">
        <f t="shared" si="3"/>
        <v>260808.56226244135</v>
      </c>
      <c r="M28" s="5">
        <f>scrimecost*Meta!O25</f>
        <v>1465.8209999999999</v>
      </c>
      <c r="N28" s="22"/>
    </row>
    <row r="29" spans="1:14" x14ac:dyDescent="0.2">
      <c r="A29" s="5">
        <v>38</v>
      </c>
      <c r="B29" s="1">
        <f t="shared" si="0"/>
        <v>1.8087259495825889</v>
      </c>
      <c r="C29" s="5">
        <f t="shared" si="4"/>
        <v>120333.0103234214</v>
      </c>
      <c r="D29" s="5">
        <f t="shared" si="5"/>
        <v>114363.22873498638</v>
      </c>
      <c r="E29" s="5">
        <f t="shared" si="6"/>
        <v>104863.22873498638</v>
      </c>
      <c r="F29" s="5">
        <f t="shared" si="7"/>
        <v>41744.893735952122</v>
      </c>
      <c r="G29" s="5">
        <f t="shared" si="8"/>
        <v>72618.334999034254</v>
      </c>
      <c r="H29" s="22">
        <f t="shared" si="1"/>
        <v>53283.424912905662</v>
      </c>
      <c r="I29" s="5">
        <f t="shared" si="9"/>
        <v>122864.6046919043</v>
      </c>
      <c r="J29" s="26">
        <f t="shared" si="2"/>
        <v>0.24954568326758361</v>
      </c>
      <c r="L29" s="22">
        <f t="shared" si="3"/>
        <v>267328.77631900238</v>
      </c>
      <c r="M29" s="5">
        <f>scrimecost*Meta!O26</f>
        <v>1465.8209999999999</v>
      </c>
      <c r="N29" s="22"/>
    </row>
    <row r="30" spans="1:14" x14ac:dyDescent="0.2">
      <c r="A30" s="5">
        <v>39</v>
      </c>
      <c r="B30" s="1">
        <f t="shared" si="0"/>
        <v>1.8539440983221533</v>
      </c>
      <c r="C30" s="5">
        <f t="shared" si="4"/>
        <v>123341.33558150692</v>
      </c>
      <c r="D30" s="5">
        <f t="shared" si="5"/>
        <v>117200.07945336102</v>
      </c>
      <c r="E30" s="5">
        <f t="shared" si="6"/>
        <v>107700.07945336102</v>
      </c>
      <c r="F30" s="5">
        <f t="shared" si="7"/>
        <v>42864.031344350922</v>
      </c>
      <c r="G30" s="5">
        <f t="shared" si="8"/>
        <v>74336.048109010095</v>
      </c>
      <c r="H30" s="22">
        <f t="shared" si="1"/>
        <v>54615.510535728296</v>
      </c>
      <c r="I30" s="5">
        <f t="shared" si="9"/>
        <v>125838.47454420188</v>
      </c>
      <c r="J30" s="26">
        <f t="shared" si="2"/>
        <v>0.25012814759889784</v>
      </c>
      <c r="L30" s="22">
        <f t="shared" si="3"/>
        <v>274011.99572697736</v>
      </c>
      <c r="M30" s="5">
        <f>scrimecost*Meta!O27</f>
        <v>1465.8209999999999</v>
      </c>
      <c r="N30" s="22"/>
    </row>
    <row r="31" spans="1:14" x14ac:dyDescent="0.2">
      <c r="A31" s="5">
        <v>40</v>
      </c>
      <c r="B31" s="1">
        <f t="shared" si="0"/>
        <v>1.9002927007802071</v>
      </c>
      <c r="C31" s="5">
        <f t="shared" si="4"/>
        <v>126424.86897104459</v>
      </c>
      <c r="D31" s="5">
        <f t="shared" si="5"/>
        <v>120107.85143969503</v>
      </c>
      <c r="E31" s="5">
        <f t="shared" si="6"/>
        <v>110607.85143969503</v>
      </c>
      <c r="F31" s="5">
        <f t="shared" si="7"/>
        <v>44011.14739295969</v>
      </c>
      <c r="G31" s="5">
        <f t="shared" si="8"/>
        <v>76096.704046735336</v>
      </c>
      <c r="H31" s="22">
        <f t="shared" si="1"/>
        <v>55980.898299121494</v>
      </c>
      <c r="I31" s="5">
        <f t="shared" si="9"/>
        <v>128886.6911428069</v>
      </c>
      <c r="J31" s="26">
        <f t="shared" si="2"/>
        <v>0.25069640548310679</v>
      </c>
      <c r="L31" s="22">
        <f t="shared" si="3"/>
        <v>280862.2956201518</v>
      </c>
      <c r="M31" s="5">
        <f>scrimecost*Meta!O28</f>
        <v>1282.1759999999999</v>
      </c>
      <c r="N31" s="22"/>
    </row>
    <row r="32" spans="1:14" x14ac:dyDescent="0.2">
      <c r="A32" s="5">
        <v>41</v>
      </c>
      <c r="B32" s="1">
        <f t="shared" si="0"/>
        <v>1.9478000182997122</v>
      </c>
      <c r="C32" s="5">
        <f t="shared" si="4"/>
        <v>129585.4906953207</v>
      </c>
      <c r="D32" s="5">
        <f t="shared" si="5"/>
        <v>123088.3177256874</v>
      </c>
      <c r="E32" s="5">
        <f t="shared" si="6"/>
        <v>113588.3177256874</v>
      </c>
      <c r="F32" s="5">
        <f t="shared" si="7"/>
        <v>45186.941342783684</v>
      </c>
      <c r="G32" s="5">
        <f t="shared" si="8"/>
        <v>77901.37638290372</v>
      </c>
      <c r="H32" s="22">
        <f t="shared" si="1"/>
        <v>57380.420756599531</v>
      </c>
      <c r="I32" s="5">
        <f t="shared" si="9"/>
        <v>132011.11315637708</v>
      </c>
      <c r="J32" s="26">
        <f t="shared" si="2"/>
        <v>0.25125080341892042</v>
      </c>
      <c r="L32" s="22">
        <f t="shared" si="3"/>
        <v>287883.85301065556</v>
      </c>
      <c r="M32" s="5">
        <f>scrimecost*Meta!O29</f>
        <v>1282.1759999999999</v>
      </c>
      <c r="N32" s="22"/>
    </row>
    <row r="33" spans="1:14" x14ac:dyDescent="0.2">
      <c r="A33" s="5">
        <v>42</v>
      </c>
      <c r="B33" s="1">
        <f t="shared" si="0"/>
        <v>1.9964950187572048</v>
      </c>
      <c r="C33" s="5">
        <f t="shared" si="4"/>
        <v>132825.1279627037</v>
      </c>
      <c r="D33" s="5">
        <f t="shared" si="5"/>
        <v>126143.29566882958</v>
      </c>
      <c r="E33" s="5">
        <f t="shared" si="6"/>
        <v>116643.29566882958</v>
      </c>
      <c r="F33" s="5">
        <f t="shared" si="7"/>
        <v>46392.130141353264</v>
      </c>
      <c r="G33" s="5">
        <f t="shared" si="8"/>
        <v>79751.165527476318</v>
      </c>
      <c r="H33" s="22">
        <f t="shared" si="1"/>
        <v>58814.931275514515</v>
      </c>
      <c r="I33" s="5">
        <f t="shared" si="9"/>
        <v>135213.6457202865</v>
      </c>
      <c r="J33" s="26">
        <f t="shared" si="2"/>
        <v>0.25179167945386055</v>
      </c>
      <c r="L33" s="22">
        <f t="shared" si="3"/>
        <v>295080.94933592196</v>
      </c>
      <c r="M33" s="5">
        <f>scrimecost*Meta!O30</f>
        <v>1282.1759999999999</v>
      </c>
      <c r="N33" s="22"/>
    </row>
    <row r="34" spans="1:14" x14ac:dyDescent="0.2">
      <c r="A34" s="5">
        <v>43</v>
      </c>
      <c r="B34" s="1">
        <f t="shared" si="0"/>
        <v>2.0464073942261352</v>
      </c>
      <c r="C34" s="5">
        <f t="shared" si="4"/>
        <v>136145.75616177131</v>
      </c>
      <c r="D34" s="5">
        <f t="shared" si="5"/>
        <v>129274.64806055033</v>
      </c>
      <c r="E34" s="5">
        <f t="shared" si="6"/>
        <v>119774.64806055033</v>
      </c>
      <c r="F34" s="5">
        <f t="shared" si="7"/>
        <v>47627.448659887108</v>
      </c>
      <c r="G34" s="5">
        <f t="shared" si="8"/>
        <v>81647.19940066323</v>
      </c>
      <c r="H34" s="22">
        <f t="shared" si="1"/>
        <v>60285.304557402385</v>
      </c>
      <c r="I34" s="5">
        <f t="shared" si="9"/>
        <v>138496.24159829368</v>
      </c>
      <c r="J34" s="26">
        <f t="shared" si="2"/>
        <v>0.25231936339038752</v>
      </c>
      <c r="L34" s="22">
        <f t="shared" si="3"/>
        <v>302457.97306932003</v>
      </c>
      <c r="M34" s="5">
        <f>scrimecost*Meta!O31</f>
        <v>1282.1759999999999</v>
      </c>
      <c r="N34" s="22"/>
    </row>
    <row r="35" spans="1:14" x14ac:dyDescent="0.2">
      <c r="A35" s="5">
        <v>44</v>
      </c>
      <c r="B35" s="1">
        <f t="shared" si="0"/>
        <v>2.097567579081788</v>
      </c>
      <c r="C35" s="5">
        <f t="shared" si="4"/>
        <v>139549.40006581557</v>
      </c>
      <c r="D35" s="5">
        <f t="shared" si="5"/>
        <v>132484.28426206409</v>
      </c>
      <c r="E35" s="5">
        <f t="shared" si="6"/>
        <v>122984.28426206409</v>
      </c>
      <c r="F35" s="5">
        <f t="shared" si="7"/>
        <v>48893.650141384278</v>
      </c>
      <c r="G35" s="5">
        <f t="shared" si="8"/>
        <v>83590.63412067981</v>
      </c>
      <c r="H35" s="22">
        <f t="shared" si="1"/>
        <v>61792.437171337428</v>
      </c>
      <c r="I35" s="5">
        <f t="shared" si="9"/>
        <v>141860.90237325101</v>
      </c>
      <c r="J35" s="26">
        <f t="shared" si="2"/>
        <v>0.25283417698699917</v>
      </c>
      <c r="L35" s="22">
        <f t="shared" si="3"/>
        <v>310019.42239605298</v>
      </c>
      <c r="M35" s="5">
        <f>scrimecost*Meta!O32</f>
        <v>1282.1759999999999</v>
      </c>
      <c r="N35" s="22"/>
    </row>
    <row r="36" spans="1:14" x14ac:dyDescent="0.2">
      <c r="A36" s="5">
        <v>45</v>
      </c>
      <c r="B36" s="1">
        <f t="shared" si="0"/>
        <v>2.1500067685588333</v>
      </c>
      <c r="C36" s="5">
        <f t="shared" si="4"/>
        <v>143038.135067461</v>
      </c>
      <c r="D36" s="5">
        <f t="shared" si="5"/>
        <v>135774.16136861572</v>
      </c>
      <c r="E36" s="5">
        <f t="shared" si="6"/>
        <v>126274.16136861572</v>
      </c>
      <c r="F36" s="5">
        <f t="shared" si="7"/>
        <v>50191.506659918901</v>
      </c>
      <c r="G36" s="5">
        <f t="shared" si="8"/>
        <v>85582.65470869682</v>
      </c>
      <c r="H36" s="22">
        <f t="shared" si="1"/>
        <v>63337.248100620884</v>
      </c>
      <c r="I36" s="5">
        <f t="shared" si="9"/>
        <v>145309.67966758233</v>
      </c>
      <c r="J36" s="26">
        <f t="shared" si="2"/>
        <v>0.25333643415442519</v>
      </c>
      <c r="L36" s="22">
        <f t="shared" si="3"/>
        <v>317769.90795595432</v>
      </c>
      <c r="M36" s="5">
        <f>scrimecost*Meta!O33</f>
        <v>1036.203</v>
      </c>
      <c r="N36" s="22"/>
    </row>
    <row r="37" spans="1:14" x14ac:dyDescent="0.2">
      <c r="A37" s="5">
        <v>46</v>
      </c>
      <c r="B37" s="1">
        <f t="shared" ref="B37:B56" si="10">(1+experiencepremium)^(A37-startage)</f>
        <v>2.2037569377728037</v>
      </c>
      <c r="C37" s="5">
        <f t="shared" ref="C37:C56" si="11">pretaxincome*B37/expnorm</f>
        <v>146614.08844414749</v>
      </c>
      <c r="D37" s="5">
        <f t="shared" ref="D37:D56" si="12">IF(A37&lt;startage,1,0)*(C37*(1-initialunempprob))+IF(A37=startage,1,0)*(C37*(1-unempprob))+IF(A37&gt;startage,1,0)*(C37*(1-unempprob)+unempprob*300*52)</f>
        <v>139146.2854028311</v>
      </c>
      <c r="E37" s="5">
        <f t="shared" si="6"/>
        <v>129646.2854028311</v>
      </c>
      <c r="F37" s="5">
        <f t="shared" si="7"/>
        <v>51521.809591416866</v>
      </c>
      <c r="G37" s="5">
        <f t="shared" si="8"/>
        <v>87624.475811414231</v>
      </c>
      <c r="H37" s="22">
        <f t="shared" ref="H37:H56" si="13">benefits*B37/expnorm</f>
        <v>64920.679303136392</v>
      </c>
      <c r="I37" s="5">
        <f t="shared" ref="I37:I56" si="14">G37+IF(A37&lt;startage,1,0)*(H37*(1-initialunempprob))+IF(A37&gt;=startage,1,0)*(H37*(1-unempprob))</f>
        <v>148844.67639427184</v>
      </c>
      <c r="J37" s="26">
        <f t="shared" ref="J37:J56" si="15">(F37-(IF(A37&gt;startage,1,0)*(unempprob*300*52)))/(IF(A37&lt;startage,1,0)*((C37+H37)*(1-initialunempprob))+IF(A37&gt;=startage,1,0)*((C37+H37)*(1-unempprob)))</f>
        <v>0.25382644114703595</v>
      </c>
      <c r="L37" s="22">
        <f t="shared" ref="L37:L56" si="16">(sincome+sbenefits)*(1-sunemp)*B37/expnorm</f>
        <v>325714.15565485315</v>
      </c>
      <c r="M37" s="5">
        <f>scrimecost*Meta!O34</f>
        <v>1036.203</v>
      </c>
      <c r="N37" s="22"/>
    </row>
    <row r="38" spans="1:14" x14ac:dyDescent="0.2">
      <c r="A38" s="5">
        <v>47</v>
      </c>
      <c r="B38" s="1">
        <f t="shared" si="10"/>
        <v>2.2588508612171236</v>
      </c>
      <c r="C38" s="5">
        <f t="shared" si="11"/>
        <v>150279.44065525118</v>
      </c>
      <c r="D38" s="5">
        <f t="shared" si="12"/>
        <v>142602.71253790185</v>
      </c>
      <c r="E38" s="5">
        <f t="shared" si="6"/>
        <v>133102.71253790185</v>
      </c>
      <c r="F38" s="5">
        <f t="shared" si="7"/>
        <v>52885.370096202278</v>
      </c>
      <c r="G38" s="5">
        <f t="shared" si="8"/>
        <v>89717.342441699584</v>
      </c>
      <c r="H38" s="22">
        <f t="shared" si="13"/>
        <v>66543.696285714803</v>
      </c>
      <c r="I38" s="5">
        <f t="shared" si="14"/>
        <v>152468.04803912865</v>
      </c>
      <c r="J38" s="26">
        <f t="shared" si="15"/>
        <v>0.25430449674958294</v>
      </c>
      <c r="L38" s="22">
        <f t="shared" si="16"/>
        <v>333857.00954622444</v>
      </c>
      <c r="M38" s="5">
        <f>scrimecost*Meta!O35</f>
        <v>1036.203</v>
      </c>
      <c r="N38" s="22"/>
    </row>
    <row r="39" spans="1:14" x14ac:dyDescent="0.2">
      <c r="A39" s="5">
        <v>48</v>
      </c>
      <c r="B39" s="1">
        <f t="shared" si="10"/>
        <v>2.3153221327475517</v>
      </c>
      <c r="C39" s="5">
        <f t="shared" si="11"/>
        <v>154036.42667163242</v>
      </c>
      <c r="D39" s="5">
        <f t="shared" si="12"/>
        <v>146145.55035134937</v>
      </c>
      <c r="E39" s="5">
        <f t="shared" si="6"/>
        <v>136645.55035134937</v>
      </c>
      <c r="F39" s="5">
        <f t="shared" si="7"/>
        <v>54283.019613607328</v>
      </c>
      <c r="G39" s="5">
        <f t="shared" si="8"/>
        <v>91862.530737742054</v>
      </c>
      <c r="H39" s="22">
        <f t="shared" si="13"/>
        <v>68207.288692857677</v>
      </c>
      <c r="I39" s="5">
        <f t="shared" si="14"/>
        <v>156182.00397510684</v>
      </c>
      <c r="J39" s="26">
        <f t="shared" si="15"/>
        <v>0.25477089245938495</v>
      </c>
      <c r="L39" s="22">
        <f t="shared" si="16"/>
        <v>342203.43478488002</v>
      </c>
      <c r="M39" s="5">
        <f>scrimecost*Meta!O36</f>
        <v>1036.203</v>
      </c>
      <c r="N39" s="22"/>
    </row>
    <row r="40" spans="1:14" x14ac:dyDescent="0.2">
      <c r="A40" s="5">
        <v>49</v>
      </c>
      <c r="B40" s="1">
        <f t="shared" si="10"/>
        <v>2.3732051860662402</v>
      </c>
      <c r="C40" s="5">
        <f t="shared" si="11"/>
        <v>157887.33733842321</v>
      </c>
      <c r="D40" s="5">
        <f t="shared" si="12"/>
        <v>149776.95911013309</v>
      </c>
      <c r="E40" s="5">
        <f t="shared" si="6"/>
        <v>140276.95911013309</v>
      </c>
      <c r="F40" s="5">
        <f t="shared" si="7"/>
        <v>55715.610368947506</v>
      </c>
      <c r="G40" s="5">
        <f t="shared" si="8"/>
        <v>94061.348741185589</v>
      </c>
      <c r="H40" s="22">
        <f t="shared" si="13"/>
        <v>69912.470910179094</v>
      </c>
      <c r="I40" s="5">
        <f t="shared" si="14"/>
        <v>159988.80880948447</v>
      </c>
      <c r="J40" s="26">
        <f t="shared" si="15"/>
        <v>0.25522591266406985</v>
      </c>
      <c r="L40" s="22">
        <f t="shared" si="16"/>
        <v>350758.52065450203</v>
      </c>
      <c r="M40" s="5">
        <f>scrimecost*Meta!O37</f>
        <v>1036.203</v>
      </c>
      <c r="N40" s="22"/>
    </row>
    <row r="41" spans="1:14" x14ac:dyDescent="0.2">
      <c r="A41" s="5">
        <v>50</v>
      </c>
      <c r="B41" s="1">
        <f t="shared" si="10"/>
        <v>2.4325353157178964</v>
      </c>
      <c r="C41" s="5">
        <f t="shared" si="11"/>
        <v>161834.52077188384</v>
      </c>
      <c r="D41" s="5">
        <f t="shared" si="12"/>
        <v>153499.15308788646</v>
      </c>
      <c r="E41" s="5">
        <f t="shared" si="6"/>
        <v>143999.15308788646</v>
      </c>
      <c r="F41" s="5">
        <f t="shared" si="7"/>
        <v>57184.015893171207</v>
      </c>
      <c r="G41" s="5">
        <f t="shared" si="8"/>
        <v>96315.137194715251</v>
      </c>
      <c r="H41" s="22">
        <f t="shared" si="13"/>
        <v>71660.282682933583</v>
      </c>
      <c r="I41" s="5">
        <f t="shared" si="14"/>
        <v>163890.78376472162</v>
      </c>
      <c r="J41" s="26">
        <f t="shared" si="15"/>
        <v>0.25566983481498201</v>
      </c>
      <c r="L41" s="22">
        <f t="shared" si="16"/>
        <v>359527.48367086455</v>
      </c>
      <c r="M41" s="5">
        <f>scrimecost*Meta!O38</f>
        <v>692.28599999999994</v>
      </c>
      <c r="N41" s="22"/>
    </row>
    <row r="42" spans="1:14" x14ac:dyDescent="0.2">
      <c r="A42" s="5">
        <v>51</v>
      </c>
      <c r="B42" s="1">
        <f t="shared" si="10"/>
        <v>2.4933486986108435</v>
      </c>
      <c r="C42" s="5">
        <f t="shared" si="11"/>
        <v>165880.38379118091</v>
      </c>
      <c r="D42" s="5">
        <f t="shared" si="12"/>
        <v>157314.40191508361</v>
      </c>
      <c r="E42" s="5">
        <f t="shared" si="6"/>
        <v>147814.40191508361</v>
      </c>
      <c r="F42" s="5">
        <f t="shared" si="7"/>
        <v>58689.131555500484</v>
      </c>
      <c r="G42" s="5">
        <f t="shared" si="8"/>
        <v>98625.270359583126</v>
      </c>
      <c r="H42" s="22">
        <f t="shared" si="13"/>
        <v>73451.789750006923</v>
      </c>
      <c r="I42" s="5">
        <f t="shared" si="14"/>
        <v>167890.30809383965</v>
      </c>
      <c r="J42" s="26">
        <f t="shared" si="15"/>
        <v>0.25610292959635966</v>
      </c>
      <c r="L42" s="22">
        <f t="shared" si="16"/>
        <v>368515.67076263617</v>
      </c>
      <c r="M42" s="5">
        <f>scrimecost*Meta!O39</f>
        <v>692.28599999999994</v>
      </c>
      <c r="N42" s="22"/>
    </row>
    <row r="43" spans="1:14" x14ac:dyDescent="0.2">
      <c r="A43" s="5">
        <v>52</v>
      </c>
      <c r="B43" s="1">
        <f t="shared" si="10"/>
        <v>2.555682416076114</v>
      </c>
      <c r="C43" s="5">
        <f t="shared" si="11"/>
        <v>170027.3933859604</v>
      </c>
      <c r="D43" s="5">
        <f t="shared" si="12"/>
        <v>161225.03196296067</v>
      </c>
      <c r="E43" s="5">
        <f t="shared" si="6"/>
        <v>151725.03196296067</v>
      </c>
      <c r="F43" s="5">
        <f t="shared" si="7"/>
        <v>60231.875109387976</v>
      </c>
      <c r="G43" s="5">
        <f t="shared" si="8"/>
        <v>100993.1568535727</v>
      </c>
      <c r="H43" s="22">
        <f t="shared" si="13"/>
        <v>75288.08449375708</v>
      </c>
      <c r="I43" s="5">
        <f t="shared" si="14"/>
        <v>171989.8205311856</v>
      </c>
      <c r="J43" s="26">
        <f t="shared" si="15"/>
        <v>0.2565254610903866</v>
      </c>
      <c r="L43" s="22">
        <f t="shared" si="16"/>
        <v>377728.56253170199</v>
      </c>
      <c r="M43" s="5">
        <f>scrimecost*Meta!O40</f>
        <v>692.28599999999994</v>
      </c>
      <c r="N43" s="22"/>
    </row>
    <row r="44" spans="1:14" x14ac:dyDescent="0.2">
      <c r="A44" s="5">
        <v>53</v>
      </c>
      <c r="B44" s="1">
        <f t="shared" si="10"/>
        <v>2.6195744764780171</v>
      </c>
      <c r="C44" s="5">
        <f t="shared" si="11"/>
        <v>174278.0782206094</v>
      </c>
      <c r="D44" s="5">
        <f t="shared" si="12"/>
        <v>165233.42776203467</v>
      </c>
      <c r="E44" s="5">
        <f t="shared" si="6"/>
        <v>155733.42776203467</v>
      </c>
      <c r="F44" s="5">
        <f t="shared" si="7"/>
        <v>61813.187252122676</v>
      </c>
      <c r="G44" s="5">
        <f t="shared" si="8"/>
        <v>103420.24050991199</v>
      </c>
      <c r="H44" s="22">
        <f t="shared" si="13"/>
        <v>77170.286606101014</v>
      </c>
      <c r="I44" s="5">
        <f t="shared" si="14"/>
        <v>176191.82077946526</v>
      </c>
      <c r="J44" s="26">
        <f t="shared" si="15"/>
        <v>0.25693768693821778</v>
      </c>
      <c r="L44" s="22">
        <f t="shared" si="16"/>
        <v>387171.77659499453</v>
      </c>
      <c r="M44" s="5">
        <f>scrimecost*Meta!O41</f>
        <v>692.28599999999994</v>
      </c>
      <c r="N44" s="22"/>
    </row>
    <row r="45" spans="1:14" x14ac:dyDescent="0.2">
      <c r="A45" s="5">
        <v>54</v>
      </c>
      <c r="B45" s="1">
        <f t="shared" si="10"/>
        <v>2.6850638383899672</v>
      </c>
      <c r="C45" s="5">
        <f t="shared" si="11"/>
        <v>178635.03017612462</v>
      </c>
      <c r="D45" s="5">
        <f t="shared" si="12"/>
        <v>169342.03345608551</v>
      </c>
      <c r="E45" s="5">
        <f t="shared" si="6"/>
        <v>159842.03345608551</v>
      </c>
      <c r="F45" s="5">
        <f t="shared" si="7"/>
        <v>63434.032198425732</v>
      </c>
      <c r="G45" s="5">
        <f t="shared" si="8"/>
        <v>105908.00125765978</v>
      </c>
      <c r="H45" s="22">
        <f t="shared" si="13"/>
        <v>79099.54377125352</v>
      </c>
      <c r="I45" s="5">
        <f t="shared" si="14"/>
        <v>180498.87103395184</v>
      </c>
      <c r="J45" s="26">
        <f t="shared" si="15"/>
        <v>0.25733985849707747</v>
      </c>
      <c r="L45" s="22">
        <f t="shared" si="16"/>
        <v>396851.0710098694</v>
      </c>
      <c r="M45" s="5">
        <f>scrimecost*Meta!O42</f>
        <v>692.28599999999994</v>
      </c>
      <c r="N45" s="22"/>
    </row>
    <row r="46" spans="1:14" x14ac:dyDescent="0.2">
      <c r="A46" s="5">
        <v>55</v>
      </c>
      <c r="B46" s="1">
        <f t="shared" si="10"/>
        <v>2.7521904343497163</v>
      </c>
      <c r="C46" s="5">
        <f t="shared" si="11"/>
        <v>183100.90593052775</v>
      </c>
      <c r="D46" s="5">
        <f t="shared" si="12"/>
        <v>173553.35429248767</v>
      </c>
      <c r="E46" s="5">
        <f t="shared" si="6"/>
        <v>164053.35429248767</v>
      </c>
      <c r="F46" s="5">
        <f t="shared" si="7"/>
        <v>65095.39826838638</v>
      </c>
      <c r="G46" s="5">
        <f t="shared" si="8"/>
        <v>108457.9560241013</v>
      </c>
      <c r="H46" s="22">
        <f t="shared" si="13"/>
        <v>81077.032365534847</v>
      </c>
      <c r="I46" s="5">
        <f t="shared" si="14"/>
        <v>184913.59754480066</v>
      </c>
      <c r="J46" s="26">
        <f t="shared" si="15"/>
        <v>0.257732220993526</v>
      </c>
      <c r="L46" s="22">
        <f t="shared" si="16"/>
        <v>406772.34778511612</v>
      </c>
      <c r="M46" s="5">
        <f>scrimecost*Meta!O43</f>
        <v>383.98499999999996</v>
      </c>
      <c r="N46" s="22"/>
    </row>
    <row r="47" spans="1:14" x14ac:dyDescent="0.2">
      <c r="A47" s="5">
        <v>56</v>
      </c>
      <c r="B47" s="1">
        <f t="shared" si="10"/>
        <v>2.8209951952084591</v>
      </c>
      <c r="C47" s="5">
        <f t="shared" si="11"/>
        <v>187678.42857879092</v>
      </c>
      <c r="D47" s="5">
        <f t="shared" si="12"/>
        <v>177869.95814979984</v>
      </c>
      <c r="E47" s="5">
        <f t="shared" si="6"/>
        <v>168369.95814979984</v>
      </c>
      <c r="F47" s="5">
        <f t="shared" si="7"/>
        <v>66798.298490096044</v>
      </c>
      <c r="G47" s="5">
        <f t="shared" si="8"/>
        <v>111071.6596597038</v>
      </c>
      <c r="H47" s="22">
        <f t="shared" si="13"/>
        <v>83103.958174673229</v>
      </c>
      <c r="I47" s="5">
        <f t="shared" si="14"/>
        <v>189438.69221842065</v>
      </c>
      <c r="J47" s="26">
        <f t="shared" si="15"/>
        <v>0.258115013672988</v>
      </c>
      <c r="L47" s="22">
        <f t="shared" si="16"/>
        <v>416941.65647974401</v>
      </c>
      <c r="M47" s="5">
        <f>scrimecost*Meta!O44</f>
        <v>383.98499999999996</v>
      </c>
      <c r="N47" s="22"/>
    </row>
    <row r="48" spans="1:14" x14ac:dyDescent="0.2">
      <c r="A48" s="5">
        <v>57</v>
      </c>
      <c r="B48" s="1">
        <f t="shared" si="10"/>
        <v>2.8915200750886707</v>
      </c>
      <c r="C48" s="5">
        <f t="shared" si="11"/>
        <v>192370.3892932607</v>
      </c>
      <c r="D48" s="5">
        <f t="shared" si="12"/>
        <v>182294.47710354484</v>
      </c>
      <c r="E48" s="5">
        <f t="shared" si="6"/>
        <v>172794.47710354484</v>
      </c>
      <c r="F48" s="5">
        <f t="shared" si="7"/>
        <v>68543.771217348447</v>
      </c>
      <c r="G48" s="5">
        <f t="shared" si="8"/>
        <v>113750.70588619639</v>
      </c>
      <c r="H48" s="22">
        <f t="shared" si="13"/>
        <v>85181.557129040055</v>
      </c>
      <c r="I48" s="5">
        <f t="shared" si="14"/>
        <v>194076.91425888115</v>
      </c>
      <c r="J48" s="26">
        <f t="shared" si="15"/>
        <v>0.25848846994563374</v>
      </c>
      <c r="L48" s="22">
        <f t="shared" si="16"/>
        <v>427365.19789173763</v>
      </c>
      <c r="M48" s="5">
        <f>scrimecost*Meta!O45</f>
        <v>383.98499999999996</v>
      </c>
      <c r="N48" s="22"/>
    </row>
    <row r="49" spans="1:14" x14ac:dyDescent="0.2">
      <c r="A49" s="5">
        <v>58</v>
      </c>
      <c r="B49" s="1">
        <f t="shared" si="10"/>
        <v>2.9638080769658868</v>
      </c>
      <c r="C49" s="5">
        <f t="shared" si="11"/>
        <v>197179.64902559217</v>
      </c>
      <c r="D49" s="5">
        <f t="shared" si="12"/>
        <v>186829.60903113341</v>
      </c>
      <c r="E49" s="5">
        <f t="shared" si="6"/>
        <v>177329.60903113341</v>
      </c>
      <c r="F49" s="5">
        <f t="shared" si="7"/>
        <v>70479.361214338802</v>
      </c>
      <c r="G49" s="5">
        <f t="shared" si="8"/>
        <v>116350.24781679461</v>
      </c>
      <c r="H49" s="22">
        <f t="shared" si="13"/>
        <v>87311.096057266041</v>
      </c>
      <c r="I49" s="5">
        <f t="shared" si="14"/>
        <v>198684.61139879649</v>
      </c>
      <c r="J49" s="26">
        <f t="shared" si="15"/>
        <v>0.25939882657058871</v>
      </c>
      <c r="L49" s="22">
        <f t="shared" si="16"/>
        <v>438049.32783903094</v>
      </c>
      <c r="M49" s="5">
        <f>scrimecost*Meta!O46</f>
        <v>383.98499999999996</v>
      </c>
      <c r="N49" s="22"/>
    </row>
    <row r="50" spans="1:14" x14ac:dyDescent="0.2">
      <c r="A50" s="5">
        <v>59</v>
      </c>
      <c r="B50" s="1">
        <f t="shared" si="10"/>
        <v>3.0379032788900342</v>
      </c>
      <c r="C50" s="5">
        <f t="shared" si="11"/>
        <v>202109.14025123199</v>
      </c>
      <c r="D50" s="5">
        <f t="shared" si="12"/>
        <v>191478.11925691177</v>
      </c>
      <c r="E50" s="5">
        <f t="shared" si="6"/>
        <v>181978.11925691177</v>
      </c>
      <c r="F50" s="5">
        <f t="shared" si="7"/>
        <v>72545.624009697276</v>
      </c>
      <c r="G50" s="5">
        <f t="shared" si="8"/>
        <v>118932.49524721449</v>
      </c>
      <c r="H50" s="22">
        <f t="shared" si="13"/>
        <v>89493.873458697693</v>
      </c>
      <c r="I50" s="5">
        <f t="shared" si="14"/>
        <v>203325.21791876643</v>
      </c>
      <c r="J50" s="26">
        <f t="shared" si="15"/>
        <v>0.26058621043632674</v>
      </c>
      <c r="L50" s="22">
        <f t="shared" si="16"/>
        <v>449000.56103500677</v>
      </c>
      <c r="M50" s="5">
        <f>scrimecost*Meta!O47</f>
        <v>383.98499999999996</v>
      </c>
      <c r="N50" s="22"/>
    </row>
    <row r="51" spans="1:14" x14ac:dyDescent="0.2">
      <c r="A51" s="5">
        <v>60</v>
      </c>
      <c r="B51" s="1">
        <f t="shared" si="10"/>
        <v>3.1138508608622844</v>
      </c>
      <c r="C51" s="5">
        <f t="shared" si="11"/>
        <v>207161.86875751274</v>
      </c>
      <c r="D51" s="5">
        <f t="shared" si="12"/>
        <v>196242.8422383345</v>
      </c>
      <c r="E51" s="5">
        <f t="shared" si="6"/>
        <v>186742.8422383345</v>
      </c>
      <c r="F51" s="5">
        <f t="shared" si="7"/>
        <v>74663.543374939691</v>
      </c>
      <c r="G51" s="5">
        <f t="shared" si="8"/>
        <v>121579.29886339481</v>
      </c>
      <c r="H51" s="22">
        <f t="shared" si="13"/>
        <v>91731.220295165127</v>
      </c>
      <c r="I51" s="5">
        <f t="shared" si="14"/>
        <v>208081.83960173553</v>
      </c>
      <c r="J51" s="26">
        <f t="shared" si="15"/>
        <v>0.26174463371997353</v>
      </c>
      <c r="L51" s="22">
        <f t="shared" si="16"/>
        <v>460225.57506088185</v>
      </c>
      <c r="M51" s="5">
        <f>scrimecost*Meta!O48</f>
        <v>202.566</v>
      </c>
      <c r="N51" s="22"/>
    </row>
    <row r="52" spans="1:14" x14ac:dyDescent="0.2">
      <c r="A52" s="5">
        <v>61</v>
      </c>
      <c r="B52" s="1">
        <f t="shared" si="10"/>
        <v>3.1916971323838421</v>
      </c>
      <c r="C52" s="5">
        <f t="shared" si="11"/>
        <v>212340.91547645061</v>
      </c>
      <c r="D52" s="5">
        <f t="shared" si="12"/>
        <v>201126.68329429292</v>
      </c>
      <c r="E52" s="5">
        <f t="shared" si="6"/>
        <v>191626.68329429292</v>
      </c>
      <c r="F52" s="5">
        <f t="shared" si="7"/>
        <v>76834.410724313202</v>
      </c>
      <c r="G52" s="5">
        <f t="shared" si="8"/>
        <v>124292.27256997972</v>
      </c>
      <c r="H52" s="22">
        <f t="shared" si="13"/>
        <v>94024.500802544266</v>
      </c>
      <c r="I52" s="5">
        <f t="shared" si="14"/>
        <v>212957.37682677896</v>
      </c>
      <c r="J52" s="26">
        <f t="shared" si="15"/>
        <v>0.26287480277718994</v>
      </c>
      <c r="L52" s="22">
        <f t="shared" si="16"/>
        <v>471731.21443740395</v>
      </c>
      <c r="M52" s="5">
        <f>scrimecost*Meta!O49</f>
        <v>202.566</v>
      </c>
      <c r="N52" s="22"/>
    </row>
    <row r="53" spans="1:14" x14ac:dyDescent="0.2">
      <c r="A53" s="5">
        <v>62</v>
      </c>
      <c r="B53" s="1">
        <f t="shared" si="10"/>
        <v>3.2714895606934378</v>
      </c>
      <c r="C53" s="5">
        <f t="shared" si="11"/>
        <v>217649.43836336187</v>
      </c>
      <c r="D53" s="5">
        <f t="shared" si="12"/>
        <v>206132.62037665024</v>
      </c>
      <c r="E53" s="5">
        <f t="shared" si="6"/>
        <v>196632.62037665024</v>
      </c>
      <c r="F53" s="5">
        <f t="shared" si="7"/>
        <v>79059.549757421031</v>
      </c>
      <c r="G53" s="5">
        <f t="shared" si="8"/>
        <v>127073.07061922921</v>
      </c>
      <c r="H53" s="22">
        <f t="shared" si="13"/>
        <v>96375.113322607867</v>
      </c>
      <c r="I53" s="5">
        <f t="shared" si="14"/>
        <v>217954.80248244843</v>
      </c>
      <c r="J53" s="26">
        <f t="shared" si="15"/>
        <v>0.26397740673544984</v>
      </c>
      <c r="L53" s="22">
        <f t="shared" si="16"/>
        <v>483524.49479833897</v>
      </c>
      <c r="M53" s="5">
        <f>scrimecost*Meta!O50</f>
        <v>202.566</v>
      </c>
      <c r="N53" s="22"/>
    </row>
    <row r="54" spans="1:14" x14ac:dyDescent="0.2">
      <c r="A54" s="5">
        <v>63</v>
      </c>
      <c r="B54" s="1">
        <f t="shared" si="10"/>
        <v>3.3532767997107733</v>
      </c>
      <c r="C54" s="5">
        <f t="shared" si="11"/>
        <v>223090.67432244588</v>
      </c>
      <c r="D54" s="5">
        <f t="shared" si="12"/>
        <v>211263.70588606645</v>
      </c>
      <c r="E54" s="5">
        <f t="shared" si="6"/>
        <v>201763.70588606645</v>
      </c>
      <c r="F54" s="5">
        <f t="shared" si="7"/>
        <v>81340.317266356535</v>
      </c>
      <c r="G54" s="5">
        <f t="shared" si="8"/>
        <v>129923.38861970992</v>
      </c>
      <c r="H54" s="22">
        <f t="shared" si="13"/>
        <v>98784.491155673051</v>
      </c>
      <c r="I54" s="5">
        <f t="shared" si="14"/>
        <v>223077.1637795096</v>
      </c>
      <c r="J54" s="26">
        <f t="shared" si="15"/>
        <v>0.26505311791424002</v>
      </c>
      <c r="L54" s="22">
        <f t="shared" si="16"/>
        <v>495612.60716829746</v>
      </c>
      <c r="M54" s="5">
        <f>scrimecost*Meta!O51</f>
        <v>202.566</v>
      </c>
      <c r="N54" s="22"/>
    </row>
    <row r="55" spans="1:14" x14ac:dyDescent="0.2">
      <c r="A55" s="5">
        <v>64</v>
      </c>
      <c r="B55" s="1">
        <f t="shared" si="10"/>
        <v>3.4371087197035428</v>
      </c>
      <c r="C55" s="5">
        <f t="shared" si="11"/>
        <v>228667.94118050704</v>
      </c>
      <c r="D55" s="5">
        <f t="shared" si="12"/>
        <v>216523.06853321815</v>
      </c>
      <c r="E55" s="5">
        <f t="shared" si="6"/>
        <v>207023.06853321815</v>
      </c>
      <c r="F55" s="5">
        <f t="shared" si="7"/>
        <v>83678.10396301547</v>
      </c>
      <c r="G55" s="5">
        <f t="shared" si="8"/>
        <v>132844.96457020269</v>
      </c>
      <c r="H55" s="22">
        <f t="shared" si="13"/>
        <v>101254.10343456488</v>
      </c>
      <c r="I55" s="5">
        <f t="shared" si="14"/>
        <v>228327.58410899737</v>
      </c>
      <c r="J55" s="26">
        <f t="shared" si="15"/>
        <v>0.26610259223501098</v>
      </c>
      <c r="L55" s="22">
        <f t="shared" si="16"/>
        <v>508002.92234750488</v>
      </c>
      <c r="M55" s="5">
        <f>scrimecost*Meta!O52</f>
        <v>202.566</v>
      </c>
      <c r="N55" s="22"/>
    </row>
    <row r="56" spans="1:14" x14ac:dyDescent="0.2">
      <c r="A56" s="5">
        <v>65</v>
      </c>
      <c r="B56" s="1">
        <f t="shared" si="10"/>
        <v>3.5230364376961316</v>
      </c>
      <c r="C56" s="5">
        <f t="shared" si="11"/>
        <v>234384.63971001972</v>
      </c>
      <c r="D56" s="5">
        <f t="shared" si="12"/>
        <v>221913.9152465486</v>
      </c>
      <c r="E56" s="5">
        <f t="shared" si="6"/>
        <v>212413.9152465486</v>
      </c>
      <c r="F56" s="5">
        <f t="shared" si="7"/>
        <v>86074.335327090856</v>
      </c>
      <c r="G56" s="5">
        <f t="shared" si="8"/>
        <v>135839.57991945773</v>
      </c>
      <c r="H56" s="22">
        <f t="shared" si="13"/>
        <v>103785.456020429</v>
      </c>
      <c r="I56" s="5">
        <f t="shared" si="14"/>
        <v>233709.26494672225</v>
      </c>
      <c r="J56" s="26">
        <f t="shared" si="15"/>
        <v>0.2671264696211289</v>
      </c>
      <c r="L56" s="22">
        <f t="shared" si="16"/>
        <v>520702.99540619249</v>
      </c>
      <c r="M56" s="5">
        <f>scrimecost*Meta!O53</f>
        <v>61.215000000000003</v>
      </c>
      <c r="N56" s="22"/>
    </row>
    <row r="57" spans="1:14" x14ac:dyDescent="0.2">
      <c r="A57" s="5">
        <v>66</v>
      </c>
      <c r="C57" s="5"/>
      <c r="H57" s="21"/>
      <c r="I57" s="5"/>
      <c r="M57" s="5">
        <f>scrimecost*Meta!O54</f>
        <v>61.215000000000003</v>
      </c>
      <c r="N57" s="5"/>
    </row>
    <row r="58" spans="1:14" x14ac:dyDescent="0.2">
      <c r="A58" s="5">
        <v>67</v>
      </c>
      <c r="C58" s="5"/>
      <c r="H58" s="21"/>
      <c r="I58" s="5"/>
      <c r="M58" s="5">
        <f>scrimecost*Meta!O55</f>
        <v>61.215000000000003</v>
      </c>
      <c r="N58" s="5"/>
    </row>
    <row r="59" spans="1:14" x14ac:dyDescent="0.2">
      <c r="A59" s="5">
        <v>68</v>
      </c>
      <c r="H59" s="21"/>
      <c r="I59" s="5"/>
      <c r="M59" s="5">
        <f>scrimecost*Meta!O56</f>
        <v>61.215000000000003</v>
      </c>
      <c r="N59" s="5"/>
    </row>
    <row r="60" spans="1:14" x14ac:dyDescent="0.2">
      <c r="A60" s="5">
        <v>69</v>
      </c>
      <c r="H60" s="21"/>
      <c r="I60" s="5"/>
      <c r="M60" s="5">
        <f>scrimecost*Meta!O57</f>
        <v>61.215000000000003</v>
      </c>
      <c r="N60" s="5"/>
    </row>
    <row r="61" spans="1:14" x14ac:dyDescent="0.2">
      <c r="A61" s="5">
        <v>70</v>
      </c>
      <c r="H61" s="21"/>
      <c r="I61" s="5"/>
      <c r="M61" s="5">
        <f>scrimecost*Meta!O58</f>
        <v>61.215000000000003</v>
      </c>
      <c r="N61" s="5"/>
    </row>
    <row r="62" spans="1:14" x14ac:dyDescent="0.2">
      <c r="A62" s="5">
        <v>71</v>
      </c>
      <c r="H62" s="21"/>
      <c r="I62" s="5"/>
      <c r="M62" s="5">
        <f>scrimecost*Meta!O59</f>
        <v>61.215000000000003</v>
      </c>
      <c r="N62" s="5"/>
    </row>
    <row r="63" spans="1:14" x14ac:dyDescent="0.2">
      <c r="A63" s="5">
        <v>72</v>
      </c>
      <c r="H63" s="21"/>
      <c r="M63" s="5">
        <f>scrimecost*Meta!O60</f>
        <v>61.215000000000003</v>
      </c>
      <c r="N63" s="5"/>
    </row>
    <row r="64" spans="1:14" x14ac:dyDescent="0.2">
      <c r="A64" s="5">
        <v>73</v>
      </c>
      <c r="H64" s="21"/>
      <c r="M64" s="5">
        <f>scrimecost*Meta!O61</f>
        <v>61.215000000000003</v>
      </c>
      <c r="N64" s="5"/>
    </row>
    <row r="65" spans="1:14" x14ac:dyDescent="0.2">
      <c r="A65" s="5">
        <v>74</v>
      </c>
      <c r="H65" s="21"/>
      <c r="M65" s="5">
        <f>scrimecost*Meta!O62</f>
        <v>61.215000000000003</v>
      </c>
      <c r="N65" s="5"/>
    </row>
    <row r="66" spans="1:14" x14ac:dyDescent="0.2">
      <c r="A66" s="5">
        <v>75</v>
      </c>
      <c r="H66" s="21"/>
      <c r="M66" s="5">
        <f>scrimecost*Meta!O63</f>
        <v>61.215000000000003</v>
      </c>
      <c r="N66" s="5"/>
    </row>
    <row r="67" spans="1:14" x14ac:dyDescent="0.2">
      <c r="A67" s="5">
        <v>76</v>
      </c>
      <c r="H67" s="21"/>
      <c r="M67" s="5">
        <f>scrimecost*Meta!O64</f>
        <v>61.215000000000003</v>
      </c>
      <c r="N67" s="5"/>
    </row>
    <row r="68" spans="1:14" x14ac:dyDescent="0.2">
      <c r="A68" s="5">
        <v>77</v>
      </c>
      <c r="H68" s="21"/>
      <c r="M68" s="5">
        <f>scrimecost*Meta!O65</f>
        <v>61.215000000000003</v>
      </c>
      <c r="N68" s="5"/>
    </row>
    <row r="69" spans="1:14" x14ac:dyDescent="0.2">
      <c r="A69" s="5">
        <v>78</v>
      </c>
      <c r="H69" s="21"/>
      <c r="M69" s="5">
        <f>scrimecost*Meta!O66</f>
        <v>61.215000000000003</v>
      </c>
      <c r="N69" s="5"/>
    </row>
    <row r="70" spans="1:14" x14ac:dyDescent="0.2">
      <c r="A70" s="5">
        <v>79</v>
      </c>
      <c r="H70" s="21"/>
      <c r="M70" s="5"/>
    </row>
    <row r="71" spans="1:14" x14ac:dyDescent="0.2">
      <c r="A71" s="5">
        <v>80</v>
      </c>
      <c r="H71" s="21"/>
      <c r="M71" s="5"/>
    </row>
    <row r="72" spans="1:14" x14ac:dyDescent="0.2">
      <c r="A72" s="5">
        <v>81</v>
      </c>
      <c r="H72" s="21"/>
      <c r="M72" s="5"/>
    </row>
    <row r="73" spans="1:14" x14ac:dyDescent="0.2">
      <c r="A73" s="5">
        <v>82</v>
      </c>
      <c r="H73" s="21"/>
      <c r="M73" s="5"/>
    </row>
    <row r="74" spans="1:14" x14ac:dyDescent="0.2">
      <c r="A74" s="5">
        <v>83</v>
      </c>
      <c r="H74" s="21"/>
      <c r="M74" s="5"/>
    </row>
    <row r="75" spans="1:14" x14ac:dyDescent="0.2">
      <c r="A75" s="5">
        <v>84</v>
      </c>
      <c r="H75" s="21"/>
      <c r="M75" s="5"/>
    </row>
    <row r="76" spans="1:14" x14ac:dyDescent="0.2">
      <c r="A76" s="5">
        <v>85</v>
      </c>
      <c r="H76" s="21"/>
    </row>
    <row r="77" spans="1:14" x14ac:dyDescent="0.2">
      <c r="A77" s="5">
        <v>86</v>
      </c>
      <c r="H77" s="21"/>
    </row>
    <row r="78" spans="1:14" x14ac:dyDescent="0.2">
      <c r="A78" s="5">
        <v>87</v>
      </c>
      <c r="H78" s="21"/>
    </row>
    <row r="79" spans="1:14" x14ac:dyDescent="0.2">
      <c r="A79" s="5">
        <v>88</v>
      </c>
      <c r="H79" s="21"/>
    </row>
    <row r="80" spans="1:14" x14ac:dyDescent="0.2">
      <c r="A80" s="5">
        <v>89</v>
      </c>
      <c r="H80" s="21"/>
    </row>
    <row r="81" spans="1:8" x14ac:dyDescent="0.2">
      <c r="A81" s="5">
        <v>90</v>
      </c>
      <c r="H81" s="21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A5" sqref="A5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Meta!A3+6</f>
        <v>15</v>
      </c>
      <c r="C2" s="7">
        <f>Meta!B3</f>
        <v>141307</v>
      </c>
      <c r="D2" s="7">
        <f>Meta!C3</f>
        <v>62571</v>
      </c>
      <c r="E2" s="1">
        <f>Meta!D3</f>
        <v>5.3999999999999999E-2</v>
      </c>
      <c r="F2" s="1">
        <f>Meta!F3</f>
        <v>0.61799999999999999</v>
      </c>
      <c r="G2" s="1">
        <f>Meta!I3</f>
        <v>1.978852107996969</v>
      </c>
      <c r="H2" s="1">
        <f>Meta!E3</f>
        <v>0.98599999999999999</v>
      </c>
      <c r="I2" s="13"/>
      <c r="J2" s="1">
        <f>Meta!X2</f>
        <v>0.72799999999999998</v>
      </c>
      <c r="K2" s="1">
        <f>Meta!D2</f>
        <v>5.7000000000000002E-2</v>
      </c>
      <c r="L2" s="29"/>
      <c r="N2" s="22">
        <f>Meta!T3</f>
        <v>225200</v>
      </c>
      <c r="O2" s="22">
        <f>Meta!U3</f>
        <v>94950</v>
      </c>
      <c r="P2" s="1">
        <f>Meta!V3</f>
        <v>3.1E-2</v>
      </c>
      <c r="Q2" s="1">
        <f>Meta!X3</f>
        <v>0.73599999999999999</v>
      </c>
      <c r="R2" s="22">
        <f>Meta!W3</f>
        <v>1090</v>
      </c>
      <c r="T2" s="12">
        <f>IRR(S5:S69)+1</f>
        <v>1.0403966551478034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B5" s="1">
        <v>1</v>
      </c>
      <c r="C5" s="5">
        <f>0.1*Grade8!C5</f>
        <v>6652.9155702770458</v>
      </c>
      <c r="D5" s="5">
        <f>IF(A5&lt;startage,1,0)*(C5*(1-initialunempprob))+IF(A5=startage,1,0)*(C5*(1-unempprob))+IF(A5&gt;startage,1,0)*(C5*(1-unempprob)+unempprob*300*52)</f>
        <v>6273.699382771254</v>
      </c>
      <c r="E5" s="5">
        <f>IF(D5-9500&gt;0,1,0)*(D5-9500)</f>
        <v>0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479.93800278200092</v>
      </c>
      <c r="G5" s="5">
        <f>D5-F5</f>
        <v>5793.7613799892533</v>
      </c>
      <c r="H5" s="22">
        <f>0.1*Grade8!H5</f>
        <v>2945.9092420939842</v>
      </c>
      <c r="I5" s="5">
        <f>G5+IF(A5&lt;startage,1,0)*(H5*(1-initialunempprob))+IF(A5&gt;=startage,1,0)*(H5*(1-unempprob))</f>
        <v>8571.7537952838793</v>
      </c>
      <c r="J5" s="26">
        <f t="shared" ref="J5:J36" si="0">(F5-(IF(A5&gt;startage,1,0)*(unempprob*300*52)))/(IF(A5&lt;startage,1,0)*((C5+H5)*(1-initialunempprob))+IF(A5&gt;=startage,1,0)*((C5+H5)*(1-unempprob)))</f>
        <v>5.3021911648002823E-2</v>
      </c>
      <c r="L5" s="22">
        <f>0.1*Grade8!L5</f>
        <v>14779.94918913479</v>
      </c>
      <c r="M5" s="5"/>
      <c r="N5" s="5">
        <f>L5-Grade8!L5</f>
        <v>-133019.5427022131</v>
      </c>
      <c r="O5" s="5"/>
      <c r="P5" s="22"/>
      <c r="Q5" s="22">
        <f>0.05*feel*Grade8!G5</f>
        <v>604.51532344270402</v>
      </c>
      <c r="R5" s="22">
        <f>hstuition</f>
        <v>11298</v>
      </c>
      <c r="S5" s="22">
        <f t="shared" ref="S5:S36" si="1">IF(A5&lt;startage,1,0)*(N5-Q5-R5)+IF(A5&gt;=startage,1,0)*completionprob*(N5*spart+O5+P5)</f>
        <v>-144922.0580256558</v>
      </c>
      <c r="T5" s="22">
        <f t="shared" ref="T5:T36" si="2">S5/sreturn^(A5-startage+1)</f>
        <v>-144922.0580256558</v>
      </c>
    </row>
    <row r="6" spans="1:20" x14ac:dyDescent="0.2">
      <c r="A6" s="5">
        <v>15</v>
      </c>
      <c r="B6" s="1">
        <f t="shared" ref="B6:B36" si="3">(1+experiencepremium)^(A6-startage)</f>
        <v>1</v>
      </c>
      <c r="C6" s="5">
        <f t="shared" ref="C6:C36" si="4">pretaxincome*B6/expnorm</f>
        <v>71408.570367107211</v>
      </c>
      <c r="D6" s="5">
        <f t="shared" ref="D6:D36" si="5">IF(A6&lt;startage,1,0)*(C6*(1-initialunempprob))+IF(A6=startage,1,0)*(C6*(1-unempprob))+IF(A6&gt;startage,1,0)*(C6*(1-unempprob)+unempprob*300*52)</f>
        <v>67552.507567283421</v>
      </c>
      <c r="E6" s="5">
        <f t="shared" ref="E6:E56" si="6">IF(D6-9500&gt;0,1,0)*(D6-9500)</f>
        <v>58052.507567283421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21611.144477446382</v>
      </c>
      <c r="G6" s="5">
        <f t="shared" ref="G6:G56" si="8">D6-F6</f>
        <v>45941.363089837039</v>
      </c>
      <c r="H6" s="22">
        <f t="shared" ref="H6:H36" si="9">benefits*B6/expnorm</f>
        <v>31619.846549995862</v>
      </c>
      <c r="I6" s="5">
        <f t="shared" ref="I6:I36" si="10">G6+IF(A6&lt;startage,1,0)*(H6*(1-initialunempprob))+IF(A6&gt;=startage,1,0)*(H6*(1-unempprob))</f>
        <v>75853.737926133123</v>
      </c>
      <c r="J6" s="26">
        <f t="shared" si="0"/>
        <v>0.22173262763463497</v>
      </c>
      <c r="L6" s="22">
        <f t="shared" ref="L6:L36" si="11">(sincome+sbenefits)*(1-sunemp)*B6/expnorm</f>
        <v>156770.35628196382</v>
      </c>
      <c r="M6" s="5">
        <f>scrimecost*Meta!O3</f>
        <v>2023.0400000000002</v>
      </c>
      <c r="N6" s="5">
        <f>L6-Grade8!L6</f>
        <v>5275.8770933322667</v>
      </c>
      <c r="O6" s="5">
        <f>Grade8!M6-M6</f>
        <v>42.687999999999874</v>
      </c>
      <c r="P6" s="22">
        <f t="shared" ref="P6:P37" si="12">(spart-initialspart)*(L6*J6+nptrans)</f>
        <v>330.52082426894225</v>
      </c>
      <c r="S6" s="22">
        <f t="shared" si="1"/>
        <v>4196.6668038520293</v>
      </c>
      <c r="T6" s="22">
        <f t="shared" si="2"/>
        <v>4033.7180853929522</v>
      </c>
    </row>
    <row r="7" spans="1:20" x14ac:dyDescent="0.2">
      <c r="A7" s="5">
        <v>16</v>
      </c>
      <c r="B7" s="1">
        <f t="shared" si="3"/>
        <v>1.0249999999999999</v>
      </c>
      <c r="C7" s="5">
        <f t="shared" si="4"/>
        <v>73193.784626284891</v>
      </c>
      <c r="D7" s="5">
        <f t="shared" si="5"/>
        <v>70083.720256465502</v>
      </c>
      <c r="E7" s="5">
        <f t="shared" si="6"/>
        <v>60583.720256465502</v>
      </c>
      <c r="F7" s="5">
        <f t="shared" si="7"/>
        <v>22690.706689382536</v>
      </c>
      <c r="G7" s="5">
        <f t="shared" si="8"/>
        <v>47393.013567082962</v>
      </c>
      <c r="H7" s="22">
        <f t="shared" si="9"/>
        <v>32410.342713745755</v>
      </c>
      <c r="I7" s="5">
        <f t="shared" si="10"/>
        <v>78053.19777428644</v>
      </c>
      <c r="J7" s="26">
        <f t="shared" si="0"/>
        <v>0.21869847512985224</v>
      </c>
      <c r="L7" s="22">
        <f t="shared" si="11"/>
        <v>160689.6151890129</v>
      </c>
      <c r="M7" s="5">
        <f>scrimecost*Meta!O4</f>
        <v>2559.3199999999997</v>
      </c>
      <c r="N7" s="5">
        <f>L7-Grade8!L7</f>
        <v>5407.774020665529</v>
      </c>
      <c r="O7" s="5">
        <f>Grade8!M7-M7</f>
        <v>54.00400000000036</v>
      </c>
      <c r="P7" s="22">
        <f t="shared" si="12"/>
        <v>333.57259048831924</v>
      </c>
      <c r="S7" s="22">
        <f t="shared" si="1"/>
        <v>4306.5504939223747</v>
      </c>
      <c r="T7" s="22">
        <f t="shared" si="2"/>
        <v>3978.6125579414993</v>
      </c>
    </row>
    <row r="8" spans="1:20" x14ac:dyDescent="0.2">
      <c r="A8" s="5">
        <v>17</v>
      </c>
      <c r="B8" s="1">
        <f t="shared" si="3"/>
        <v>1.0506249999999999</v>
      </c>
      <c r="C8" s="5">
        <f t="shared" si="4"/>
        <v>75023.629241942006</v>
      </c>
      <c r="D8" s="5">
        <f t="shared" si="5"/>
        <v>71814.75326287713</v>
      </c>
      <c r="E8" s="5">
        <f t="shared" si="6"/>
        <v>62314.75326287713</v>
      </c>
      <c r="F8" s="5">
        <f t="shared" si="7"/>
        <v>23428.992266617097</v>
      </c>
      <c r="G8" s="5">
        <f t="shared" si="8"/>
        <v>48385.760996260033</v>
      </c>
      <c r="H8" s="22">
        <f t="shared" si="9"/>
        <v>33220.601281589406</v>
      </c>
      <c r="I8" s="5">
        <f t="shared" si="10"/>
        <v>79812.449808643607</v>
      </c>
      <c r="J8" s="26">
        <f t="shared" si="0"/>
        <v>0.22057425351710341</v>
      </c>
      <c r="L8" s="22">
        <f t="shared" si="11"/>
        <v>164706.85556873825</v>
      </c>
      <c r="M8" s="5">
        <f>scrimecost*Meta!O5</f>
        <v>2956.0800000000004</v>
      </c>
      <c r="N8" s="5">
        <f>L8-Grade8!L8</f>
        <v>5542.9683711822145</v>
      </c>
      <c r="O8" s="5">
        <f>Grade8!M8-M8</f>
        <v>62.375999999999749</v>
      </c>
      <c r="P8" s="22">
        <f t="shared" si="12"/>
        <v>343.07273372979074</v>
      </c>
      <c r="S8" s="22">
        <f t="shared" si="1"/>
        <v>4422.2824265510217</v>
      </c>
      <c r="T8" s="22">
        <f t="shared" si="2"/>
        <v>3926.8981131499895</v>
      </c>
    </row>
    <row r="9" spans="1:20" x14ac:dyDescent="0.2">
      <c r="A9" s="5">
        <v>18</v>
      </c>
      <c r="B9" s="1">
        <f t="shared" si="3"/>
        <v>1.0768906249999999</v>
      </c>
      <c r="C9" s="5">
        <f t="shared" si="4"/>
        <v>76899.219972990555</v>
      </c>
      <c r="D9" s="5">
        <f t="shared" si="5"/>
        <v>73589.062094449051</v>
      </c>
      <c r="E9" s="5">
        <f t="shared" si="6"/>
        <v>64089.062094449051</v>
      </c>
      <c r="F9" s="5">
        <f t="shared" si="7"/>
        <v>24185.73498328252</v>
      </c>
      <c r="G9" s="5">
        <f t="shared" si="8"/>
        <v>49403.327111166531</v>
      </c>
      <c r="H9" s="22">
        <f t="shared" si="9"/>
        <v>34051.116313629136</v>
      </c>
      <c r="I9" s="5">
        <f t="shared" si="10"/>
        <v>81615.6831438597</v>
      </c>
      <c r="J9" s="26">
        <f t="shared" si="0"/>
        <v>0.22240428121198261</v>
      </c>
      <c r="L9" s="22">
        <f t="shared" si="11"/>
        <v>168824.5269579567</v>
      </c>
      <c r="M9" s="5">
        <f>scrimecost*Meta!O6</f>
        <v>3592.64</v>
      </c>
      <c r="N9" s="5">
        <f>L9-Grade8!L9</f>
        <v>5681.5425804617698</v>
      </c>
      <c r="O9" s="5">
        <f>Grade8!M9-M9</f>
        <v>75.807999999999993</v>
      </c>
      <c r="P9" s="22">
        <f t="shared" si="12"/>
        <v>352.81038055229908</v>
      </c>
      <c r="S9" s="22">
        <f t="shared" si="1"/>
        <v>4545.6904476953505</v>
      </c>
      <c r="T9" s="22">
        <f t="shared" si="2"/>
        <v>3879.7529203965732</v>
      </c>
    </row>
    <row r="10" spans="1:20" x14ac:dyDescent="0.2">
      <c r="A10" s="5">
        <v>19</v>
      </c>
      <c r="B10" s="1">
        <f t="shared" si="3"/>
        <v>1.1038128906249998</v>
      </c>
      <c r="C10" s="5">
        <f t="shared" si="4"/>
        <v>78821.700472315322</v>
      </c>
      <c r="D10" s="5">
        <f t="shared" si="5"/>
        <v>75407.728646810283</v>
      </c>
      <c r="E10" s="5">
        <f t="shared" si="6"/>
        <v>65907.728646810283</v>
      </c>
      <c r="F10" s="5">
        <f t="shared" si="7"/>
        <v>24961.396267864584</v>
      </c>
      <c r="G10" s="5">
        <f t="shared" si="8"/>
        <v>50446.332378945699</v>
      </c>
      <c r="H10" s="22">
        <f t="shared" si="9"/>
        <v>34902.394221469855</v>
      </c>
      <c r="I10" s="5">
        <f t="shared" si="10"/>
        <v>83463.99731245618</v>
      </c>
      <c r="J10" s="26">
        <f t="shared" si="0"/>
        <v>0.22418967408503551</v>
      </c>
      <c r="L10" s="22">
        <f t="shared" si="11"/>
        <v>173045.14013190559</v>
      </c>
      <c r="M10" s="5">
        <f>scrimecost*Meta!O7</f>
        <v>3840.07</v>
      </c>
      <c r="N10" s="5">
        <f>L10-Grade8!L10</f>
        <v>5823.5811449733155</v>
      </c>
      <c r="O10" s="5">
        <f>Grade8!M10-M10</f>
        <v>81.028999999999996</v>
      </c>
      <c r="P10" s="22">
        <f t="shared" si="12"/>
        <v>362.79146854537004</v>
      </c>
      <c r="S10" s="22">
        <f t="shared" si="1"/>
        <v>4663.756524568289</v>
      </c>
      <c r="T10" s="22">
        <f t="shared" si="2"/>
        <v>3825.9662373515289</v>
      </c>
    </row>
    <row r="11" spans="1:20" x14ac:dyDescent="0.2">
      <c r="A11" s="5">
        <v>20</v>
      </c>
      <c r="B11" s="1">
        <f t="shared" si="3"/>
        <v>1.1314082128906247</v>
      </c>
      <c r="C11" s="5">
        <f t="shared" si="4"/>
        <v>80792.242984123179</v>
      </c>
      <c r="D11" s="5">
        <f t="shared" si="5"/>
        <v>77271.861862980513</v>
      </c>
      <c r="E11" s="5">
        <f t="shared" si="6"/>
        <v>67771.861862980513</v>
      </c>
      <c r="F11" s="5">
        <f t="shared" si="7"/>
        <v>25756.449084561187</v>
      </c>
      <c r="G11" s="5">
        <f t="shared" si="8"/>
        <v>51515.412778419326</v>
      </c>
      <c r="H11" s="22">
        <f t="shared" si="9"/>
        <v>35774.954077006601</v>
      </c>
      <c r="I11" s="5">
        <f t="shared" si="10"/>
        <v>85358.519335267571</v>
      </c>
      <c r="J11" s="26">
        <f t="shared" si="0"/>
        <v>0.22593152079045289</v>
      </c>
      <c r="L11" s="22">
        <f t="shared" si="11"/>
        <v>177371.26863520319</v>
      </c>
      <c r="M11" s="5">
        <f>scrimecost*Meta!O8</f>
        <v>3677.6600000000003</v>
      </c>
      <c r="N11" s="5">
        <f>L11-Grade8!L11</f>
        <v>5969.170673597604</v>
      </c>
      <c r="O11" s="5">
        <f>Grade8!M11-M11</f>
        <v>77.601999999999862</v>
      </c>
      <c r="P11" s="22">
        <f t="shared" si="12"/>
        <v>373.02208373826761</v>
      </c>
      <c r="S11" s="22">
        <f t="shared" si="1"/>
        <v>4776.1186277130182</v>
      </c>
      <c r="T11" s="22">
        <f t="shared" si="2"/>
        <v>3766.0095887270618</v>
      </c>
    </row>
    <row r="12" spans="1:20" x14ac:dyDescent="0.2">
      <c r="A12" s="5">
        <v>21</v>
      </c>
      <c r="B12" s="1">
        <f t="shared" si="3"/>
        <v>1.1596934182128902</v>
      </c>
      <c r="C12" s="5">
        <f t="shared" si="4"/>
        <v>82812.049058726261</v>
      </c>
      <c r="D12" s="5">
        <f t="shared" si="5"/>
        <v>79182.598409555038</v>
      </c>
      <c r="E12" s="5">
        <f t="shared" si="6"/>
        <v>69682.598409555038</v>
      </c>
      <c r="F12" s="5">
        <f t="shared" si="7"/>
        <v>26571.378221675222</v>
      </c>
      <c r="G12" s="5">
        <f t="shared" si="8"/>
        <v>52611.220187879815</v>
      </c>
      <c r="H12" s="22">
        <f t="shared" si="9"/>
        <v>36669.327928931765</v>
      </c>
      <c r="I12" s="5">
        <f t="shared" si="10"/>
        <v>87300.404408649265</v>
      </c>
      <c r="J12" s="26">
        <f t="shared" si="0"/>
        <v>0.22763088342988461</v>
      </c>
      <c r="L12" s="22">
        <f t="shared" si="11"/>
        <v>181805.55035108325</v>
      </c>
      <c r="M12" s="5">
        <f>scrimecost*Meta!O9</f>
        <v>3339.76</v>
      </c>
      <c r="N12" s="5">
        <f>L12-Grade8!L12</f>
        <v>6118.3999404375209</v>
      </c>
      <c r="O12" s="5">
        <f>Grade8!M12-M12</f>
        <v>70.471999999999753</v>
      </c>
      <c r="P12" s="22">
        <f t="shared" si="12"/>
        <v>383.5084643109879</v>
      </c>
      <c r="S12" s="22">
        <f t="shared" si="1"/>
        <v>4887.7231009863799</v>
      </c>
      <c r="T12" s="22">
        <f t="shared" si="2"/>
        <v>3704.3666304652638</v>
      </c>
    </row>
    <row r="13" spans="1:20" x14ac:dyDescent="0.2">
      <c r="A13" s="5">
        <v>22</v>
      </c>
      <c r="B13" s="1">
        <f t="shared" si="3"/>
        <v>1.1886857536682125</v>
      </c>
      <c r="C13" s="5">
        <f t="shared" si="4"/>
        <v>84882.350285194421</v>
      </c>
      <c r="D13" s="5">
        <f t="shared" si="5"/>
        <v>81141.103369793913</v>
      </c>
      <c r="E13" s="5">
        <f t="shared" si="6"/>
        <v>71641.103369793913</v>
      </c>
      <c r="F13" s="5">
        <f t="shared" si="7"/>
        <v>27406.680587217106</v>
      </c>
      <c r="G13" s="5">
        <f t="shared" si="8"/>
        <v>53734.422782576803</v>
      </c>
      <c r="H13" s="22">
        <f t="shared" si="9"/>
        <v>37586.061127155066</v>
      </c>
      <c r="I13" s="5">
        <f t="shared" si="10"/>
        <v>89290.836608865502</v>
      </c>
      <c r="J13" s="26">
        <f t="shared" si="0"/>
        <v>0.22928879820006187</v>
      </c>
      <c r="L13" s="22">
        <f t="shared" si="11"/>
        <v>186350.68910986037</v>
      </c>
      <c r="M13" s="5">
        <f>scrimecost*Meta!O10</f>
        <v>3060.72</v>
      </c>
      <c r="N13" s="5">
        <f>L13-Grade8!L13</f>
        <v>6271.3599389485316</v>
      </c>
      <c r="O13" s="5">
        <f>Grade8!M13-M13</f>
        <v>64.583999999999833</v>
      </c>
      <c r="P13" s="22">
        <f t="shared" si="12"/>
        <v>394.25700439802625</v>
      </c>
      <c r="S13" s="22">
        <f t="shared" si="1"/>
        <v>5003.5180525916467</v>
      </c>
      <c r="T13" s="22">
        <f t="shared" si="2"/>
        <v>3644.8855237073963</v>
      </c>
    </row>
    <row r="14" spans="1:20" x14ac:dyDescent="0.2">
      <c r="A14" s="5">
        <v>23</v>
      </c>
      <c r="B14" s="1">
        <f t="shared" si="3"/>
        <v>1.2184028975099177</v>
      </c>
      <c r="C14" s="5">
        <f t="shared" si="4"/>
        <v>87004.409042324274</v>
      </c>
      <c r="D14" s="5">
        <f t="shared" si="5"/>
        <v>83148.570954038747</v>
      </c>
      <c r="E14" s="5">
        <f t="shared" si="6"/>
        <v>73648.570954038747</v>
      </c>
      <c r="F14" s="5">
        <f t="shared" si="7"/>
        <v>28262.865511897529</v>
      </c>
      <c r="G14" s="5">
        <f t="shared" si="8"/>
        <v>54885.705442141218</v>
      </c>
      <c r="H14" s="22">
        <f t="shared" si="9"/>
        <v>38525.712655333933</v>
      </c>
      <c r="I14" s="5">
        <f t="shared" si="10"/>
        <v>91331.029614087107</v>
      </c>
      <c r="J14" s="26">
        <f t="shared" si="0"/>
        <v>0.23090627602462505</v>
      </c>
      <c r="L14" s="22">
        <f t="shared" si="11"/>
        <v>191009.45633760685</v>
      </c>
      <c r="M14" s="5">
        <f>scrimecost*Meta!O11</f>
        <v>2860.1600000000003</v>
      </c>
      <c r="N14" s="5">
        <f>L14-Grade8!L14</f>
        <v>6428.1439374222246</v>
      </c>
      <c r="O14" s="5">
        <f>Grade8!M14-M14</f>
        <v>60.351999999999862</v>
      </c>
      <c r="P14" s="22">
        <f t="shared" si="12"/>
        <v>405.27425798724045</v>
      </c>
      <c r="S14" s="22">
        <f t="shared" si="1"/>
        <v>5123.9858331869764</v>
      </c>
      <c r="T14" s="22">
        <f t="shared" si="2"/>
        <v>3587.710526316906</v>
      </c>
    </row>
    <row r="15" spans="1:20" x14ac:dyDescent="0.2">
      <c r="A15" s="5">
        <v>24</v>
      </c>
      <c r="B15" s="1">
        <f t="shared" si="3"/>
        <v>1.2488629699476654</v>
      </c>
      <c r="C15" s="5">
        <f t="shared" si="4"/>
        <v>89179.519268382355</v>
      </c>
      <c r="D15" s="5">
        <f t="shared" si="5"/>
        <v>85206.225227889692</v>
      </c>
      <c r="E15" s="5">
        <f t="shared" si="6"/>
        <v>75706.225227889692</v>
      </c>
      <c r="F15" s="5">
        <f t="shared" si="7"/>
        <v>29140.455059694956</v>
      </c>
      <c r="G15" s="5">
        <f t="shared" si="8"/>
        <v>56065.770168194736</v>
      </c>
      <c r="H15" s="22">
        <f t="shared" si="9"/>
        <v>39488.855471717281</v>
      </c>
      <c r="I15" s="5">
        <f t="shared" si="10"/>
        <v>93422.227444439282</v>
      </c>
      <c r="J15" s="26">
        <f t="shared" si="0"/>
        <v>0.23248430317054028</v>
      </c>
      <c r="L15" s="22">
        <f t="shared" si="11"/>
        <v>195784.69274604699</v>
      </c>
      <c r="M15" s="5">
        <f>scrimecost*Meta!O12</f>
        <v>2732.63</v>
      </c>
      <c r="N15" s="5">
        <f>L15-Grade8!L15</f>
        <v>6588.8475358577562</v>
      </c>
      <c r="O15" s="5">
        <f>Grade8!M15-M15</f>
        <v>57.661000000000058</v>
      </c>
      <c r="P15" s="22">
        <f t="shared" si="12"/>
        <v>416.56694291618493</v>
      </c>
      <c r="S15" s="22">
        <f t="shared" si="1"/>
        <v>5249.0890530971892</v>
      </c>
      <c r="T15" s="22">
        <f t="shared" si="2"/>
        <v>3532.6000279657842</v>
      </c>
    </row>
    <row r="16" spans="1:20" x14ac:dyDescent="0.2">
      <c r="A16" s="5">
        <v>25</v>
      </c>
      <c r="B16" s="1">
        <f t="shared" si="3"/>
        <v>1.2800845441963571</v>
      </c>
      <c r="C16" s="5">
        <f t="shared" si="4"/>
        <v>91409.007250091934</v>
      </c>
      <c r="D16" s="5">
        <f t="shared" si="5"/>
        <v>87315.320858586958</v>
      </c>
      <c r="E16" s="5">
        <f t="shared" si="6"/>
        <v>77815.320858586958</v>
      </c>
      <c r="F16" s="5">
        <f t="shared" si="7"/>
        <v>30039.984346187339</v>
      </c>
      <c r="G16" s="5">
        <f t="shared" si="8"/>
        <v>57275.336512399619</v>
      </c>
      <c r="H16" s="22">
        <f t="shared" si="9"/>
        <v>40476.076858510205</v>
      </c>
      <c r="I16" s="5">
        <f t="shared" si="10"/>
        <v>95565.70522055027</v>
      </c>
      <c r="J16" s="26">
        <f t="shared" si="0"/>
        <v>0.23402384184948205</v>
      </c>
      <c r="L16" s="22">
        <f t="shared" si="11"/>
        <v>200679.31006469816</v>
      </c>
      <c r="M16" s="5">
        <f>scrimecost*Meta!O13</f>
        <v>2294.4499999999998</v>
      </c>
      <c r="N16" s="5">
        <f>L16-Grade8!L16</f>
        <v>6753.5687242542044</v>
      </c>
      <c r="O16" s="5">
        <f>Grade8!M16-M16</f>
        <v>48.414999999999964</v>
      </c>
      <c r="P16" s="22">
        <f t="shared" si="12"/>
        <v>428.14194496835313</v>
      </c>
      <c r="S16" s="22">
        <f t="shared" si="1"/>
        <v>5370.9229566551749</v>
      </c>
      <c r="T16" s="22">
        <f t="shared" si="2"/>
        <v>3474.2454914651935</v>
      </c>
    </row>
    <row r="17" spans="1:20" x14ac:dyDescent="0.2">
      <c r="A17" s="5">
        <v>26</v>
      </c>
      <c r="B17" s="1">
        <f t="shared" si="3"/>
        <v>1.312086657801266</v>
      </c>
      <c r="C17" s="5">
        <f t="shared" si="4"/>
        <v>93694.232431344222</v>
      </c>
      <c r="D17" s="5">
        <f t="shared" si="5"/>
        <v>89477.143880051619</v>
      </c>
      <c r="E17" s="5">
        <f t="shared" si="6"/>
        <v>79977.143880051619</v>
      </c>
      <c r="F17" s="5">
        <f t="shared" si="7"/>
        <v>30962.001864842015</v>
      </c>
      <c r="G17" s="5">
        <f t="shared" si="8"/>
        <v>58515.142015209603</v>
      </c>
      <c r="H17" s="22">
        <f t="shared" si="9"/>
        <v>41487.97877997296</v>
      </c>
      <c r="I17" s="5">
        <f t="shared" si="10"/>
        <v>97762.76994106402</v>
      </c>
      <c r="J17" s="26">
        <f t="shared" si="0"/>
        <v>0.23552583080454711</v>
      </c>
      <c r="L17" s="22">
        <f t="shared" si="11"/>
        <v>205696.2928163156</v>
      </c>
      <c r="M17" s="5">
        <f>scrimecost*Meta!O14</f>
        <v>2294.4499999999998</v>
      </c>
      <c r="N17" s="5">
        <f>L17-Grade8!L17</f>
        <v>6922.4079423605581</v>
      </c>
      <c r="O17" s="5">
        <f>Grade8!M17-M17</f>
        <v>48.414999999999964</v>
      </c>
      <c r="P17" s="22">
        <f t="shared" si="12"/>
        <v>440.00632207182542</v>
      </c>
      <c r="S17" s="22">
        <f t="shared" si="1"/>
        <v>5505.1471777021079</v>
      </c>
      <c r="T17" s="22">
        <f t="shared" si="2"/>
        <v>3422.8003426110577</v>
      </c>
    </row>
    <row r="18" spans="1:20" x14ac:dyDescent="0.2">
      <c r="A18" s="5">
        <v>27</v>
      </c>
      <c r="B18" s="1">
        <f t="shared" si="3"/>
        <v>1.3448888242462975</v>
      </c>
      <c r="C18" s="5">
        <f t="shared" si="4"/>
        <v>96036.588242127822</v>
      </c>
      <c r="D18" s="5">
        <f t="shared" si="5"/>
        <v>91693.012477052907</v>
      </c>
      <c r="E18" s="5">
        <f t="shared" si="6"/>
        <v>82193.012477052907</v>
      </c>
      <c r="F18" s="5">
        <f t="shared" si="7"/>
        <v>31907.069821463065</v>
      </c>
      <c r="G18" s="5">
        <f t="shared" si="8"/>
        <v>59785.942655589839</v>
      </c>
      <c r="H18" s="22">
        <f t="shared" si="9"/>
        <v>42525.178249472287</v>
      </c>
      <c r="I18" s="5">
        <f t="shared" si="10"/>
        <v>100014.76127959062</v>
      </c>
      <c r="J18" s="26">
        <f t="shared" si="0"/>
        <v>0.23699118588265941</v>
      </c>
      <c r="L18" s="22">
        <f t="shared" si="11"/>
        <v>210838.70013672349</v>
      </c>
      <c r="M18" s="5">
        <f>scrimecost*Meta!O15</f>
        <v>2294.4499999999998</v>
      </c>
      <c r="N18" s="5">
        <f>L18-Grade8!L18</f>
        <v>7095.4681409195764</v>
      </c>
      <c r="O18" s="5">
        <f>Grade8!M18-M18</f>
        <v>48.414999999999964</v>
      </c>
      <c r="P18" s="22">
        <f t="shared" si="12"/>
        <v>452.16730860288459</v>
      </c>
      <c r="S18" s="22">
        <f t="shared" si="1"/>
        <v>5642.727004275218</v>
      </c>
      <c r="T18" s="22">
        <f t="shared" si="2"/>
        <v>3372.1177012314065</v>
      </c>
    </row>
    <row r="19" spans="1:20" x14ac:dyDescent="0.2">
      <c r="A19" s="5">
        <v>28</v>
      </c>
      <c r="B19" s="1">
        <f t="shared" si="3"/>
        <v>1.3785110448524549</v>
      </c>
      <c r="C19" s="5">
        <f t="shared" si="4"/>
        <v>98437.50294818102</v>
      </c>
      <c r="D19" s="5">
        <f t="shared" si="5"/>
        <v>93964.277788979234</v>
      </c>
      <c r="E19" s="5">
        <f t="shared" si="6"/>
        <v>84464.277788979234</v>
      </c>
      <c r="F19" s="5">
        <f t="shared" si="7"/>
        <v>32901.692810669017</v>
      </c>
      <c r="G19" s="5">
        <f t="shared" si="8"/>
        <v>61062.584978310217</v>
      </c>
      <c r="H19" s="22">
        <f t="shared" si="9"/>
        <v>43588.307705709085</v>
      </c>
      <c r="I19" s="5">
        <f t="shared" si="10"/>
        <v>102297.12406791101</v>
      </c>
      <c r="J19" s="26">
        <f t="shared" si="0"/>
        <v>0.23861378232229499</v>
      </c>
      <c r="L19" s="22">
        <f t="shared" si="11"/>
        <v>216109.66764014159</v>
      </c>
      <c r="M19" s="5">
        <f>scrimecost*Meta!O16</f>
        <v>2294.4499999999998</v>
      </c>
      <c r="N19" s="5">
        <f>L19-Grade8!L19</f>
        <v>7272.8548444425978</v>
      </c>
      <c r="O19" s="5">
        <f>Grade8!M19-M19</f>
        <v>48.414999999999964</v>
      </c>
      <c r="P19" s="22">
        <f t="shared" si="12"/>
        <v>464.96596153622653</v>
      </c>
      <c r="S19" s="22">
        <f t="shared" si="1"/>
        <v>5784.0752972673345</v>
      </c>
      <c r="T19" s="22">
        <f t="shared" si="2"/>
        <v>3322.3751982487138</v>
      </c>
    </row>
    <row r="20" spans="1:20" x14ac:dyDescent="0.2">
      <c r="A20" s="5">
        <v>29</v>
      </c>
      <c r="B20" s="1">
        <f t="shared" si="3"/>
        <v>1.4129738209737661</v>
      </c>
      <c r="C20" s="5">
        <f t="shared" si="4"/>
        <v>100898.44052188552</v>
      </c>
      <c r="D20" s="5">
        <f t="shared" si="5"/>
        <v>96292.324733703688</v>
      </c>
      <c r="E20" s="5">
        <f t="shared" si="6"/>
        <v>86792.324733703688</v>
      </c>
      <c r="F20" s="5">
        <f t="shared" si="7"/>
        <v>33964.446240935737</v>
      </c>
      <c r="G20" s="5">
        <f t="shared" si="8"/>
        <v>62327.878492767952</v>
      </c>
      <c r="H20" s="22">
        <f t="shared" si="9"/>
        <v>44678.01539835181</v>
      </c>
      <c r="I20" s="5">
        <f t="shared" si="10"/>
        <v>104593.28105960877</v>
      </c>
      <c r="J20" s="26">
        <f t="shared" si="0"/>
        <v>0.24051096483001835</v>
      </c>
      <c r="L20" s="22">
        <f t="shared" si="11"/>
        <v>221512.40933114509</v>
      </c>
      <c r="M20" s="5">
        <f>scrimecost*Meta!O17</f>
        <v>2294.4499999999998</v>
      </c>
      <c r="N20" s="5">
        <f>L20-Grade8!L20</f>
        <v>7454.676215553598</v>
      </c>
      <c r="O20" s="5">
        <f>Grade8!M20-M20</f>
        <v>48.414999999999964</v>
      </c>
      <c r="P20" s="22">
        <f t="shared" si="12"/>
        <v>478.64130632044572</v>
      </c>
      <c r="S20" s="22">
        <f t="shared" si="1"/>
        <v>5929.506228954343</v>
      </c>
      <c r="T20" s="22">
        <f t="shared" si="2"/>
        <v>3273.6656424080925</v>
      </c>
    </row>
    <row r="21" spans="1:20" x14ac:dyDescent="0.2">
      <c r="A21" s="5">
        <v>30</v>
      </c>
      <c r="B21" s="1">
        <f t="shared" si="3"/>
        <v>1.4482981664981105</v>
      </c>
      <c r="C21" s="5">
        <f t="shared" si="4"/>
        <v>103420.90153493268</v>
      </c>
      <c r="D21" s="5">
        <f t="shared" si="5"/>
        <v>98678.572852046302</v>
      </c>
      <c r="E21" s="5">
        <f t="shared" si="6"/>
        <v>89178.572852046302</v>
      </c>
      <c r="F21" s="5">
        <f t="shared" si="7"/>
        <v>35053.768506959139</v>
      </c>
      <c r="G21" s="5">
        <f t="shared" si="8"/>
        <v>63624.804345087163</v>
      </c>
      <c r="H21" s="22">
        <f t="shared" si="9"/>
        <v>45794.96578331061</v>
      </c>
      <c r="I21" s="5">
        <f t="shared" si="10"/>
        <v>106946.84197609901</v>
      </c>
      <c r="J21" s="26">
        <f t="shared" si="0"/>
        <v>0.24236187459365105</v>
      </c>
      <c r="L21" s="22">
        <f t="shared" si="11"/>
        <v>227050.21956442375</v>
      </c>
      <c r="M21" s="5">
        <f>scrimecost*Meta!O18</f>
        <v>1849.73</v>
      </c>
      <c r="N21" s="5">
        <f>L21-Grade8!L21</f>
        <v>7641.043120942486</v>
      </c>
      <c r="O21" s="5">
        <f>Grade8!M21-M21</f>
        <v>39.030999999999949</v>
      </c>
      <c r="P21" s="22">
        <f t="shared" si="12"/>
        <v>492.65853472427091</v>
      </c>
      <c r="S21" s="22">
        <f t="shared" si="1"/>
        <v>6069.3203099336097</v>
      </c>
      <c r="T21" s="22">
        <f t="shared" si="2"/>
        <v>3220.7491558352599</v>
      </c>
    </row>
    <row r="22" spans="1:20" x14ac:dyDescent="0.2">
      <c r="A22" s="5">
        <v>31</v>
      </c>
      <c r="B22" s="1">
        <f t="shared" si="3"/>
        <v>1.4845056206605631</v>
      </c>
      <c r="C22" s="5">
        <f t="shared" si="4"/>
        <v>106006.42407330599</v>
      </c>
      <c r="D22" s="5">
        <f t="shared" si="5"/>
        <v>101124.47717334745</v>
      </c>
      <c r="E22" s="5">
        <f t="shared" si="6"/>
        <v>91624.477173347448</v>
      </c>
      <c r="F22" s="5">
        <f t="shared" si="7"/>
        <v>36170.323829633111</v>
      </c>
      <c r="G22" s="5">
        <f t="shared" si="8"/>
        <v>64954.153343714337</v>
      </c>
      <c r="H22" s="22">
        <f t="shared" si="9"/>
        <v>46939.839927893372</v>
      </c>
      <c r="I22" s="5">
        <f t="shared" si="10"/>
        <v>109359.24191550146</v>
      </c>
      <c r="J22" s="26">
        <f t="shared" si="0"/>
        <v>0.24416764021670725</v>
      </c>
      <c r="L22" s="22">
        <f t="shared" si="11"/>
        <v>232726.47505353432</v>
      </c>
      <c r="M22" s="5">
        <f>scrimecost*Meta!O19</f>
        <v>1849.73</v>
      </c>
      <c r="N22" s="5">
        <f>L22-Grade8!L22</f>
        <v>7832.0691989660554</v>
      </c>
      <c r="O22" s="5">
        <f>Grade8!M22-M22</f>
        <v>39.030999999999949</v>
      </c>
      <c r="P22" s="22">
        <f t="shared" si="12"/>
        <v>507.02619383819138</v>
      </c>
      <c r="S22" s="22">
        <f t="shared" si="1"/>
        <v>6222.1136825373269</v>
      </c>
      <c r="T22" s="22">
        <f t="shared" si="2"/>
        <v>3173.6266761759175</v>
      </c>
    </row>
    <row r="23" spans="1:20" x14ac:dyDescent="0.2">
      <c r="A23" s="5">
        <v>32</v>
      </c>
      <c r="B23" s="1">
        <f t="shared" si="3"/>
        <v>1.521618261177077</v>
      </c>
      <c r="C23" s="5">
        <f t="shared" si="4"/>
        <v>108656.58467513861</v>
      </c>
      <c r="D23" s="5">
        <f t="shared" si="5"/>
        <v>103631.52910268112</v>
      </c>
      <c r="E23" s="5">
        <f t="shared" si="6"/>
        <v>94131.529102681117</v>
      </c>
      <c r="F23" s="5">
        <f t="shared" si="7"/>
        <v>37314.793035373928</v>
      </c>
      <c r="G23" s="5">
        <f t="shared" si="8"/>
        <v>66316.736067307182</v>
      </c>
      <c r="H23" s="22">
        <f t="shared" si="9"/>
        <v>48113.335926090702</v>
      </c>
      <c r="I23" s="5">
        <f t="shared" si="10"/>
        <v>111831.95185338898</v>
      </c>
      <c r="J23" s="26">
        <f t="shared" si="0"/>
        <v>0.24592936277578645</v>
      </c>
      <c r="L23" s="22">
        <f t="shared" si="11"/>
        <v>238544.63692987262</v>
      </c>
      <c r="M23" s="5">
        <f>scrimecost*Meta!O20</f>
        <v>1849.73</v>
      </c>
      <c r="N23" s="5">
        <f>L23-Grade8!L23</f>
        <v>8027.8709289401304</v>
      </c>
      <c r="O23" s="5">
        <f>Grade8!M23-M23</f>
        <v>39.030999999999949</v>
      </c>
      <c r="P23" s="22">
        <f t="shared" si="12"/>
        <v>521.75304442995969</v>
      </c>
      <c r="S23" s="22">
        <f t="shared" si="1"/>
        <v>6378.7268894560775</v>
      </c>
      <c r="T23" s="22">
        <f t="shared" si="2"/>
        <v>3127.1805541502931</v>
      </c>
    </row>
    <row r="24" spans="1:20" x14ac:dyDescent="0.2">
      <c r="A24" s="5">
        <v>33</v>
      </c>
      <c r="B24" s="1">
        <f t="shared" si="3"/>
        <v>1.559658717706504</v>
      </c>
      <c r="C24" s="5">
        <f t="shared" si="4"/>
        <v>111372.99929201709</v>
      </c>
      <c r="D24" s="5">
        <f t="shared" si="5"/>
        <v>106201.25733024816</v>
      </c>
      <c r="E24" s="5">
        <f t="shared" si="6"/>
        <v>96701.257330248161</v>
      </c>
      <c r="F24" s="5">
        <f t="shared" si="7"/>
        <v>38487.87397125829</v>
      </c>
      <c r="G24" s="5">
        <f t="shared" si="8"/>
        <v>67713.383358989871</v>
      </c>
      <c r="H24" s="22">
        <f t="shared" si="9"/>
        <v>49316.169324242976</v>
      </c>
      <c r="I24" s="5">
        <f t="shared" si="10"/>
        <v>114366.47953972372</v>
      </c>
      <c r="J24" s="26">
        <f t="shared" si="0"/>
        <v>0.24764811649196136</v>
      </c>
      <c r="L24" s="22">
        <f t="shared" si="11"/>
        <v>244508.25285311948</v>
      </c>
      <c r="M24" s="5">
        <f>scrimecost*Meta!O21</f>
        <v>1849.73</v>
      </c>
      <c r="N24" s="5">
        <f>L24-Grade8!L24</f>
        <v>8228.5677021637093</v>
      </c>
      <c r="O24" s="5">
        <f>Grade8!M24-M24</f>
        <v>39.030999999999949</v>
      </c>
      <c r="P24" s="22">
        <f t="shared" si="12"/>
        <v>536.84806628652268</v>
      </c>
      <c r="S24" s="22">
        <f t="shared" si="1"/>
        <v>6539.2554265479057</v>
      </c>
      <c r="T24" s="22">
        <f t="shared" si="2"/>
        <v>3081.401595847009</v>
      </c>
    </row>
    <row r="25" spans="1:20" x14ac:dyDescent="0.2">
      <c r="A25" s="5">
        <v>34</v>
      </c>
      <c r="B25" s="1">
        <f t="shared" si="3"/>
        <v>1.5986501856491666</v>
      </c>
      <c r="C25" s="5">
        <f t="shared" si="4"/>
        <v>114157.32427431752</v>
      </c>
      <c r="D25" s="5">
        <f t="shared" si="5"/>
        <v>108835.22876350436</v>
      </c>
      <c r="E25" s="5">
        <f t="shared" si="6"/>
        <v>99335.228763504361</v>
      </c>
      <c r="F25" s="5">
        <f t="shared" si="7"/>
        <v>39564.097747202468</v>
      </c>
      <c r="G25" s="5">
        <f t="shared" si="8"/>
        <v>69271.131016301893</v>
      </c>
      <c r="H25" s="22">
        <f t="shared" si="9"/>
        <v>50549.073557349046</v>
      </c>
      <c r="I25" s="5">
        <f t="shared" si="10"/>
        <v>117090.55460155409</v>
      </c>
      <c r="J25" s="26">
        <f t="shared" si="0"/>
        <v>0.2485151017554845</v>
      </c>
      <c r="L25" s="22">
        <f t="shared" si="11"/>
        <v>250620.95917444746</v>
      </c>
      <c r="M25" s="5">
        <f>scrimecost*Meta!O22</f>
        <v>1849.73</v>
      </c>
      <c r="N25" s="5">
        <f>L25-Grade8!L25</f>
        <v>8434.2818947178021</v>
      </c>
      <c r="O25" s="5">
        <f>Grade8!M25-M25</f>
        <v>39.030999999999949</v>
      </c>
      <c r="P25" s="22">
        <f t="shared" si="12"/>
        <v>550.69674537035996</v>
      </c>
      <c r="S25" s="22">
        <f t="shared" si="1"/>
        <v>6702.196190804304</v>
      </c>
      <c r="T25" s="22">
        <f t="shared" si="2"/>
        <v>3035.5555937971571</v>
      </c>
    </row>
    <row r="26" spans="1:20" x14ac:dyDescent="0.2">
      <c r="A26" s="5">
        <v>35</v>
      </c>
      <c r="B26" s="1">
        <f t="shared" si="3"/>
        <v>1.6386164402903955</v>
      </c>
      <c r="C26" s="5">
        <f t="shared" si="4"/>
        <v>117011.25738117544</v>
      </c>
      <c r="D26" s="5">
        <f t="shared" si="5"/>
        <v>111535.04948259196</v>
      </c>
      <c r="E26" s="5">
        <f t="shared" si="6"/>
        <v>102035.04948259196</v>
      </c>
      <c r="F26" s="5">
        <f t="shared" si="7"/>
        <v>40629.177020882533</v>
      </c>
      <c r="G26" s="5">
        <f t="shared" si="8"/>
        <v>70905.872461709427</v>
      </c>
      <c r="H26" s="22">
        <f t="shared" si="9"/>
        <v>51812.800396282764</v>
      </c>
      <c r="I26" s="5">
        <f t="shared" si="10"/>
        <v>119920.78163659292</v>
      </c>
      <c r="J26" s="26">
        <f t="shared" si="0"/>
        <v>0.24912269247201485</v>
      </c>
      <c r="L26" s="22">
        <f t="shared" si="11"/>
        <v>256886.48315380863</v>
      </c>
      <c r="M26" s="5">
        <f>scrimecost*Meta!O23</f>
        <v>1435.53</v>
      </c>
      <c r="N26" s="5">
        <f>L26-Grade8!L26</f>
        <v>8645.1389420857595</v>
      </c>
      <c r="O26" s="5">
        <f>Grade8!M26-M26</f>
        <v>30.29099999999994</v>
      </c>
      <c r="P26" s="22">
        <f t="shared" si="12"/>
        <v>564.40201874355</v>
      </c>
      <c r="S26" s="22">
        <f t="shared" si="1"/>
        <v>6860.1100661970077</v>
      </c>
      <c r="T26" s="22">
        <f t="shared" si="2"/>
        <v>2986.4358537768353</v>
      </c>
    </row>
    <row r="27" spans="1:20" x14ac:dyDescent="0.2">
      <c r="A27" s="5">
        <v>36</v>
      </c>
      <c r="B27" s="1">
        <f t="shared" si="3"/>
        <v>1.6795818512976552</v>
      </c>
      <c r="C27" s="5">
        <f t="shared" si="4"/>
        <v>119936.53881570481</v>
      </c>
      <c r="D27" s="5">
        <f t="shared" si="5"/>
        <v>114302.36571965674</v>
      </c>
      <c r="E27" s="5">
        <f t="shared" si="6"/>
        <v>104802.36571965674</v>
      </c>
      <c r="F27" s="5">
        <f t="shared" si="7"/>
        <v>41720.883276404587</v>
      </c>
      <c r="G27" s="5">
        <f t="shared" si="8"/>
        <v>72581.482443252142</v>
      </c>
      <c r="H27" s="22">
        <f t="shared" si="9"/>
        <v>53108.120406189832</v>
      </c>
      <c r="I27" s="5">
        <f t="shared" si="10"/>
        <v>122821.76434750772</v>
      </c>
      <c r="J27" s="26">
        <f t="shared" si="0"/>
        <v>0.2497154639027761</v>
      </c>
      <c r="L27" s="22">
        <f t="shared" si="11"/>
        <v>263308.64523265377</v>
      </c>
      <c r="M27" s="5">
        <f>scrimecost*Meta!O24</f>
        <v>1435.53</v>
      </c>
      <c r="N27" s="5">
        <f>L27-Grade8!L27</f>
        <v>8861.2674156378198</v>
      </c>
      <c r="O27" s="5">
        <f>Grade8!M27-M27</f>
        <v>30.29099999999994</v>
      </c>
      <c r="P27" s="22">
        <f t="shared" si="12"/>
        <v>578.44992395106954</v>
      </c>
      <c r="S27" s="22">
        <f t="shared" si="1"/>
        <v>7030.8048694744584</v>
      </c>
      <c r="T27" s="22">
        <f t="shared" si="2"/>
        <v>2941.9020216634017</v>
      </c>
    </row>
    <row r="28" spans="1:20" x14ac:dyDescent="0.2">
      <c r="A28" s="5">
        <v>37</v>
      </c>
      <c r="B28" s="1">
        <f t="shared" si="3"/>
        <v>1.7215713975800966</v>
      </c>
      <c r="C28" s="5">
        <f t="shared" si="4"/>
        <v>122934.95228609744</v>
      </c>
      <c r="D28" s="5">
        <f t="shared" si="5"/>
        <v>117138.86486264816</v>
      </c>
      <c r="E28" s="5">
        <f t="shared" si="6"/>
        <v>107638.86486264816</v>
      </c>
      <c r="F28" s="5">
        <f t="shared" si="7"/>
        <v>42839.882188314703</v>
      </c>
      <c r="G28" s="5">
        <f t="shared" si="8"/>
        <v>74298.982674333456</v>
      </c>
      <c r="H28" s="22">
        <f t="shared" si="9"/>
        <v>54435.823416344574</v>
      </c>
      <c r="I28" s="5">
        <f t="shared" si="10"/>
        <v>125795.27162619542</v>
      </c>
      <c r="J28" s="26">
        <f t="shared" si="0"/>
        <v>0.25029377749376269</v>
      </c>
      <c r="L28" s="22">
        <f t="shared" si="11"/>
        <v>269891.36136347009</v>
      </c>
      <c r="M28" s="5">
        <f>scrimecost*Meta!O25</f>
        <v>1435.53</v>
      </c>
      <c r="N28" s="5">
        <f>L28-Grade8!L28</f>
        <v>9082.7991010287369</v>
      </c>
      <c r="O28" s="5">
        <f>Grade8!M28-M28</f>
        <v>30.29099999999994</v>
      </c>
      <c r="P28" s="22">
        <f t="shared" si="12"/>
        <v>592.84902678877711</v>
      </c>
      <c r="S28" s="22">
        <f t="shared" si="1"/>
        <v>7205.7670428338852</v>
      </c>
      <c r="T28" s="22">
        <f t="shared" si="2"/>
        <v>2898.0403648723368</v>
      </c>
    </row>
    <row r="29" spans="1:20" x14ac:dyDescent="0.2">
      <c r="A29" s="5">
        <v>38</v>
      </c>
      <c r="B29" s="1">
        <f t="shared" si="3"/>
        <v>1.7646106825195991</v>
      </c>
      <c r="C29" s="5">
        <f t="shared" si="4"/>
        <v>126008.32609324988</v>
      </c>
      <c r="D29" s="5">
        <f t="shared" si="5"/>
        <v>120046.27648421438</v>
      </c>
      <c r="E29" s="5">
        <f t="shared" si="6"/>
        <v>110546.27648421438</v>
      </c>
      <c r="F29" s="5">
        <f t="shared" si="7"/>
        <v>43986.856073022573</v>
      </c>
      <c r="G29" s="5">
        <f t="shared" si="8"/>
        <v>76059.420411191808</v>
      </c>
      <c r="H29" s="22">
        <f t="shared" si="9"/>
        <v>55796.71900175319</v>
      </c>
      <c r="I29" s="5">
        <f t="shared" si="10"/>
        <v>128843.11658685032</v>
      </c>
      <c r="J29" s="26">
        <f t="shared" si="0"/>
        <v>0.25085798587521307</v>
      </c>
      <c r="L29" s="22">
        <f t="shared" si="11"/>
        <v>276638.64539755689</v>
      </c>
      <c r="M29" s="5">
        <f>scrimecost*Meta!O26</f>
        <v>1435.53</v>
      </c>
      <c r="N29" s="5">
        <f>L29-Grade8!L29</f>
        <v>9309.8690785545041</v>
      </c>
      <c r="O29" s="5">
        <f>Grade8!M29-M29</f>
        <v>30.29099999999994</v>
      </c>
      <c r="P29" s="22">
        <f t="shared" si="12"/>
        <v>607.60810719742778</v>
      </c>
      <c r="S29" s="22">
        <f t="shared" si="1"/>
        <v>7385.1032705273528</v>
      </c>
      <c r="T29" s="22">
        <f t="shared" si="2"/>
        <v>2854.8404263116186</v>
      </c>
    </row>
    <row r="30" spans="1:20" x14ac:dyDescent="0.2">
      <c r="A30" s="5">
        <v>39</v>
      </c>
      <c r="B30" s="1">
        <f t="shared" si="3"/>
        <v>1.8087259495825889</v>
      </c>
      <c r="C30" s="5">
        <f t="shared" si="4"/>
        <v>129158.53424558112</v>
      </c>
      <c r="D30" s="5">
        <f t="shared" si="5"/>
        <v>123026.37339631973</v>
      </c>
      <c r="E30" s="5">
        <f t="shared" si="6"/>
        <v>113526.37339631973</v>
      </c>
      <c r="F30" s="5">
        <f t="shared" si="7"/>
        <v>45162.504304848131</v>
      </c>
      <c r="G30" s="5">
        <f t="shared" si="8"/>
        <v>77863.869091471599</v>
      </c>
      <c r="H30" s="22">
        <f t="shared" si="9"/>
        <v>57191.63697679701</v>
      </c>
      <c r="I30" s="5">
        <f t="shared" si="10"/>
        <v>131967.15767152156</v>
      </c>
      <c r="J30" s="26">
        <f t="shared" si="0"/>
        <v>0.25140843307662802</v>
      </c>
      <c r="L30" s="22">
        <f t="shared" si="11"/>
        <v>283554.61153249582</v>
      </c>
      <c r="M30" s="5">
        <f>scrimecost*Meta!O27</f>
        <v>1435.53</v>
      </c>
      <c r="N30" s="5">
        <f>L30-Grade8!L30</f>
        <v>9542.6158055184642</v>
      </c>
      <c r="O30" s="5">
        <f>Grade8!M30-M30</f>
        <v>30.29099999999994</v>
      </c>
      <c r="P30" s="22">
        <f t="shared" si="12"/>
        <v>622.73616461629445</v>
      </c>
      <c r="S30" s="22">
        <f t="shared" si="1"/>
        <v>7568.9229039131942</v>
      </c>
      <c r="T30" s="22">
        <f t="shared" si="2"/>
        <v>2812.2919234319725</v>
      </c>
    </row>
    <row r="31" spans="1:20" x14ac:dyDescent="0.2">
      <c r="A31" s="5">
        <v>40</v>
      </c>
      <c r="B31" s="1">
        <f t="shared" si="3"/>
        <v>1.8539440983221533</v>
      </c>
      <c r="C31" s="5">
        <f t="shared" si="4"/>
        <v>132387.49760172062</v>
      </c>
      <c r="D31" s="5">
        <f t="shared" si="5"/>
        <v>126080.9727312277</v>
      </c>
      <c r="E31" s="5">
        <f t="shared" si="6"/>
        <v>116580.9727312277</v>
      </c>
      <c r="F31" s="5">
        <f t="shared" si="7"/>
        <v>46367.54374246933</v>
      </c>
      <c r="G31" s="5">
        <f t="shared" si="8"/>
        <v>79713.428988758358</v>
      </c>
      <c r="H31" s="22">
        <f t="shared" si="9"/>
        <v>58621.427901216928</v>
      </c>
      <c r="I31" s="5">
        <f t="shared" si="10"/>
        <v>135169.29978330957</v>
      </c>
      <c r="J31" s="26">
        <f t="shared" si="0"/>
        <v>0.25194545473654506</v>
      </c>
      <c r="L31" s="22">
        <f t="shared" si="11"/>
        <v>290643.47682080814</v>
      </c>
      <c r="M31" s="5">
        <f>scrimecost*Meta!O28</f>
        <v>1255.6799999999998</v>
      </c>
      <c r="N31" s="5">
        <f>L31-Grade8!L31</f>
        <v>9781.1812006563414</v>
      </c>
      <c r="O31" s="5">
        <f>Grade8!M31-M31</f>
        <v>26.496000000000095</v>
      </c>
      <c r="P31" s="22">
        <f t="shared" si="12"/>
        <v>638.24242347063262</v>
      </c>
      <c r="S31" s="22">
        <f t="shared" si="1"/>
        <v>7753.5961581335478</v>
      </c>
      <c r="T31" s="22">
        <f t="shared" si="2"/>
        <v>2769.0484076515027</v>
      </c>
    </row>
    <row r="32" spans="1:20" x14ac:dyDescent="0.2">
      <c r="A32" s="5">
        <v>41</v>
      </c>
      <c r="B32" s="1">
        <f t="shared" si="3"/>
        <v>1.9002927007802071</v>
      </c>
      <c r="C32" s="5">
        <f t="shared" si="4"/>
        <v>135697.18504176362</v>
      </c>
      <c r="D32" s="5">
        <f t="shared" si="5"/>
        <v>129211.93704950837</v>
      </c>
      <c r="E32" s="5">
        <f t="shared" si="6"/>
        <v>119711.93704950837</v>
      </c>
      <c r="F32" s="5">
        <f t="shared" si="7"/>
        <v>47602.709166031047</v>
      </c>
      <c r="G32" s="5">
        <f t="shared" si="8"/>
        <v>81609.227883477317</v>
      </c>
      <c r="H32" s="22">
        <f t="shared" si="9"/>
        <v>60086.963598747352</v>
      </c>
      <c r="I32" s="5">
        <f t="shared" si="10"/>
        <v>138451.49544789232</v>
      </c>
      <c r="J32" s="26">
        <f t="shared" si="0"/>
        <v>0.25246937830719579</v>
      </c>
      <c r="L32" s="22">
        <f t="shared" si="11"/>
        <v>297909.56374132837</v>
      </c>
      <c r="M32" s="5">
        <f>scrimecost*Meta!O29</f>
        <v>1255.6799999999998</v>
      </c>
      <c r="N32" s="5">
        <f>L32-Grade8!L32</f>
        <v>10025.710730672814</v>
      </c>
      <c r="O32" s="5">
        <f>Grade8!M32-M32</f>
        <v>26.496000000000095</v>
      </c>
      <c r="P32" s="22">
        <f t="shared" si="12"/>
        <v>654.13633879632937</v>
      </c>
      <c r="S32" s="22">
        <f t="shared" si="1"/>
        <v>7946.7216604595196</v>
      </c>
      <c r="T32" s="22">
        <f t="shared" si="2"/>
        <v>2727.8244974530776</v>
      </c>
    </row>
    <row r="33" spans="1:20" x14ac:dyDescent="0.2">
      <c r="A33" s="5">
        <v>42</v>
      </c>
      <c r="B33" s="1">
        <f t="shared" si="3"/>
        <v>1.9478000182997122</v>
      </c>
      <c r="C33" s="5">
        <f t="shared" si="4"/>
        <v>139089.61466780771</v>
      </c>
      <c r="D33" s="5">
        <f t="shared" si="5"/>
        <v>132421.17547574607</v>
      </c>
      <c r="E33" s="5">
        <f t="shared" si="6"/>
        <v>122921.17547574607</v>
      </c>
      <c r="F33" s="5">
        <f t="shared" si="7"/>
        <v>48868.753725181828</v>
      </c>
      <c r="G33" s="5">
        <f t="shared" si="8"/>
        <v>83552.421750564245</v>
      </c>
      <c r="H33" s="22">
        <f t="shared" si="9"/>
        <v>61589.13768871603</v>
      </c>
      <c r="I33" s="5">
        <f t="shared" si="10"/>
        <v>141815.7460040896</v>
      </c>
      <c r="J33" s="26">
        <f t="shared" si="0"/>
        <v>0.2529805232541722</v>
      </c>
      <c r="L33" s="22">
        <f t="shared" si="11"/>
        <v>305357.3028348615</v>
      </c>
      <c r="M33" s="5">
        <f>scrimecost*Meta!O30</f>
        <v>1255.6799999999998</v>
      </c>
      <c r="N33" s="5">
        <f>L33-Grade8!L33</f>
        <v>10276.353498939541</v>
      </c>
      <c r="O33" s="5">
        <f>Grade8!M33-M33</f>
        <v>26.496000000000095</v>
      </c>
      <c r="P33" s="22">
        <f t="shared" si="12"/>
        <v>670.42760200516841</v>
      </c>
      <c r="S33" s="22">
        <f t="shared" si="1"/>
        <v>8144.675300343526</v>
      </c>
      <c r="T33" s="22">
        <f t="shared" si="2"/>
        <v>2687.2201747314025</v>
      </c>
    </row>
    <row r="34" spans="1:20" x14ac:dyDescent="0.2">
      <c r="A34" s="5">
        <v>43</v>
      </c>
      <c r="B34" s="1">
        <f t="shared" si="3"/>
        <v>1.9964950187572048</v>
      </c>
      <c r="C34" s="5">
        <f t="shared" si="4"/>
        <v>142566.85503450289</v>
      </c>
      <c r="D34" s="5">
        <f t="shared" si="5"/>
        <v>135710.64486263972</v>
      </c>
      <c r="E34" s="5">
        <f t="shared" si="6"/>
        <v>126210.64486263972</v>
      </c>
      <c r="F34" s="5">
        <f t="shared" si="7"/>
        <v>50166.449398311372</v>
      </c>
      <c r="G34" s="5">
        <f t="shared" si="8"/>
        <v>85544.195464328339</v>
      </c>
      <c r="H34" s="22">
        <f t="shared" si="9"/>
        <v>63128.86613093393</v>
      </c>
      <c r="I34" s="5">
        <f t="shared" si="10"/>
        <v>145264.10282419182</v>
      </c>
      <c r="J34" s="26">
        <f t="shared" si="0"/>
        <v>0.25347920125122231</v>
      </c>
      <c r="L34" s="22">
        <f t="shared" si="11"/>
        <v>312991.23540573305</v>
      </c>
      <c r="M34" s="5">
        <f>scrimecost*Meta!O31</f>
        <v>1255.6799999999998</v>
      </c>
      <c r="N34" s="5">
        <f>L34-Grade8!L34</f>
        <v>10533.262336413027</v>
      </c>
      <c r="O34" s="5">
        <f>Grade8!M34-M34</f>
        <v>26.496000000000095</v>
      </c>
      <c r="P34" s="22">
        <f t="shared" si="12"/>
        <v>687.12614679422859</v>
      </c>
      <c r="S34" s="22">
        <f t="shared" si="1"/>
        <v>8347.5777812246961</v>
      </c>
      <c r="T34" s="22">
        <f t="shared" si="2"/>
        <v>2647.2259006034619</v>
      </c>
    </row>
    <row r="35" spans="1:20" x14ac:dyDescent="0.2">
      <c r="A35" s="5">
        <v>44</v>
      </c>
      <c r="B35" s="1">
        <f t="shared" si="3"/>
        <v>2.0464073942261352</v>
      </c>
      <c r="C35" s="5">
        <f t="shared" si="4"/>
        <v>146131.02641036548</v>
      </c>
      <c r="D35" s="5">
        <f t="shared" si="5"/>
        <v>139082.35098420572</v>
      </c>
      <c r="E35" s="5">
        <f t="shared" si="6"/>
        <v>129582.35098420572</v>
      </c>
      <c r="F35" s="5">
        <f t="shared" si="7"/>
        <v>51496.587463269163</v>
      </c>
      <c r="G35" s="5">
        <f t="shared" si="8"/>
        <v>87585.763520936569</v>
      </c>
      <c r="H35" s="22">
        <f t="shared" si="9"/>
        <v>64707.087784207288</v>
      </c>
      <c r="I35" s="5">
        <f t="shared" si="10"/>
        <v>148798.66856479665</v>
      </c>
      <c r="J35" s="26">
        <f t="shared" si="0"/>
        <v>0.25396571637029558</v>
      </c>
      <c r="L35" s="22">
        <f t="shared" si="11"/>
        <v>320816.01629087643</v>
      </c>
      <c r="M35" s="5">
        <f>scrimecost*Meta!O32</f>
        <v>1255.6799999999998</v>
      </c>
      <c r="N35" s="5">
        <f>L35-Grade8!L35</f>
        <v>10796.593894823454</v>
      </c>
      <c r="O35" s="5">
        <f>Grade8!M35-M35</f>
        <v>26.496000000000095</v>
      </c>
      <c r="P35" s="22">
        <f t="shared" si="12"/>
        <v>704.2421552030155</v>
      </c>
      <c r="S35" s="22">
        <f t="shared" si="1"/>
        <v>8555.5528241279753</v>
      </c>
      <c r="T35" s="22">
        <f t="shared" si="2"/>
        <v>2607.8322917057408</v>
      </c>
    </row>
    <row r="36" spans="1:20" x14ac:dyDescent="0.2">
      <c r="A36" s="5">
        <v>45</v>
      </c>
      <c r="B36" s="1">
        <f t="shared" si="3"/>
        <v>2.097567579081788</v>
      </c>
      <c r="C36" s="5">
        <f t="shared" si="4"/>
        <v>149784.3020706246</v>
      </c>
      <c r="D36" s="5">
        <f t="shared" si="5"/>
        <v>142538.34975881086</v>
      </c>
      <c r="E36" s="5">
        <f t="shared" si="6"/>
        <v>133038.34975881086</v>
      </c>
      <c r="F36" s="5">
        <f t="shared" si="7"/>
        <v>52859.978979850879</v>
      </c>
      <c r="G36" s="5">
        <f t="shared" si="8"/>
        <v>89678.370778959972</v>
      </c>
      <c r="H36" s="22">
        <f t="shared" si="9"/>
        <v>66324.764978812455</v>
      </c>
      <c r="I36" s="5">
        <f t="shared" si="10"/>
        <v>152421.59844891654</v>
      </c>
      <c r="J36" s="26">
        <f t="shared" si="0"/>
        <v>0.25444036526695241</v>
      </c>
      <c r="L36" s="22">
        <f t="shared" si="11"/>
        <v>328836.41669814824</v>
      </c>
      <c r="M36" s="5">
        <f>scrimecost*Meta!O33</f>
        <v>1014.7900000000001</v>
      </c>
      <c r="N36" s="5">
        <f>L36-Grade8!L36</f>
        <v>11066.508742193924</v>
      </c>
      <c r="O36" s="5">
        <f>Grade8!M36-M36</f>
        <v>21.412999999999897</v>
      </c>
      <c r="P36" s="22">
        <f t="shared" si="12"/>
        <v>721.78606382202156</v>
      </c>
      <c r="S36" s="22">
        <f t="shared" si="1"/>
        <v>8763.7154051036741</v>
      </c>
      <c r="T36" s="22">
        <f t="shared" si="2"/>
        <v>2567.5617670937972</v>
      </c>
    </row>
    <row r="37" spans="1:20" x14ac:dyDescent="0.2">
      <c r="A37" s="5">
        <v>46</v>
      </c>
      <c r="B37" s="1">
        <f t="shared" ref="B37:B56" si="13">(1+experiencepremium)^(A37-startage)</f>
        <v>2.1500067685588333</v>
      </c>
      <c r="C37" s="5">
        <f t="shared" ref="C37:C56" si="14">pretaxincome*B37/expnorm</f>
        <v>153528.90962239026</v>
      </c>
      <c r="D37" s="5">
        <f t="shared" ref="D37:D56" si="15">IF(A37&lt;startage,1,0)*(C37*(1-initialunempprob))+IF(A37=startage,1,0)*(C37*(1-unempprob))+IF(A37&gt;startage,1,0)*(C37*(1-unempprob)+unempprob*300*52)</f>
        <v>146080.74850278118</v>
      </c>
      <c r="E37" s="5">
        <f t="shared" si="6"/>
        <v>136580.74850278118</v>
      </c>
      <c r="F37" s="5">
        <f t="shared" si="7"/>
        <v>54257.455284347176</v>
      </c>
      <c r="G37" s="5">
        <f t="shared" si="8"/>
        <v>91823.293218434002</v>
      </c>
      <c r="H37" s="22">
        <f t="shared" ref="H37:H56" si="16">benefits*B37/expnorm</f>
        <v>67982.884103282777</v>
      </c>
      <c r="I37" s="5">
        <f t="shared" ref="I37:I56" si="17">G37+IF(A37&lt;startage,1,0)*(H37*(1-initialunempprob))+IF(A37&gt;=startage,1,0)*(H37*(1-unempprob))</f>
        <v>156135.10158013951</v>
      </c>
      <c r="J37" s="26">
        <f t="shared" ref="J37:J56" si="18">(F37-(IF(A37&gt;startage,1,0)*(unempprob*300*52)))/(IF(A37&lt;startage,1,0)*((C37+H37)*(1-initialunempprob))+IF(A37&gt;=startage,1,0)*((C37+H37)*(1-unempprob)))</f>
        <v>0.25490343736125182</v>
      </c>
      <c r="L37" s="22">
        <f t="shared" ref="L37:L56" si="19">(sincome+sbenefits)*(1-sunemp)*B37/expnorm</f>
        <v>337057.32711560203</v>
      </c>
      <c r="M37" s="5">
        <f>scrimecost*Meta!O34</f>
        <v>1014.7900000000001</v>
      </c>
      <c r="N37" s="5">
        <f>L37-Grade8!L37</f>
        <v>11343.171460748883</v>
      </c>
      <c r="O37" s="5">
        <f>Grade8!M37-M37</f>
        <v>21.412999999999897</v>
      </c>
      <c r="P37" s="22">
        <f t="shared" si="12"/>
        <v>739.7685701565033</v>
      </c>
      <c r="S37" s="22">
        <f t="shared" ref="S37:S68" si="20">IF(A37&lt;startage,1,0)*(N37-Q37-R37)+IF(A37&gt;=startage,1,0)*completionprob*(N37*spart+O37+P37)</f>
        <v>8982.2191845539328</v>
      </c>
      <c r="T37" s="22">
        <f t="shared" ref="T37:T68" si="21">S37/sreturn^(A37-startage+1)</f>
        <v>2529.3989597056752</v>
      </c>
    </row>
    <row r="38" spans="1:20" x14ac:dyDescent="0.2">
      <c r="A38" s="5">
        <v>47</v>
      </c>
      <c r="B38" s="1">
        <f t="shared" si="13"/>
        <v>2.2037569377728037</v>
      </c>
      <c r="C38" s="5">
        <f t="shared" si="14"/>
        <v>157367.13236294995</v>
      </c>
      <c r="D38" s="5">
        <f t="shared" si="15"/>
        <v>149711.70721535065</v>
      </c>
      <c r="E38" s="5">
        <f t="shared" si="6"/>
        <v>140211.70721535065</v>
      </c>
      <c r="F38" s="5">
        <f t="shared" si="7"/>
        <v>55689.868496455827</v>
      </c>
      <c r="G38" s="5">
        <f t="shared" si="8"/>
        <v>94021.838718894811</v>
      </c>
      <c r="H38" s="22">
        <f t="shared" si="16"/>
        <v>69682.456205864844</v>
      </c>
      <c r="I38" s="5">
        <f t="shared" si="17"/>
        <v>159941.44228964293</v>
      </c>
      <c r="J38" s="26">
        <f t="shared" si="18"/>
        <v>0.25535521501422676</v>
      </c>
      <c r="L38" s="22">
        <f t="shared" si="19"/>
        <v>345483.760293492</v>
      </c>
      <c r="M38" s="5">
        <f>scrimecost*Meta!O35</f>
        <v>1014.7900000000001</v>
      </c>
      <c r="N38" s="5">
        <f>L38-Grade8!L38</f>
        <v>11626.750747267564</v>
      </c>
      <c r="O38" s="5">
        <f>Grade8!M38-M38</f>
        <v>21.412999999999897</v>
      </c>
      <c r="P38" s="22">
        <f t="shared" ref="P38:P56" si="22">(spart-initialspart)*(L38*J38+nptrans)</f>
        <v>758.20063914934644</v>
      </c>
      <c r="S38" s="22">
        <f t="shared" si="20"/>
        <v>9206.1855584903387</v>
      </c>
      <c r="T38" s="22">
        <f t="shared" si="21"/>
        <v>2491.8073585841048</v>
      </c>
    </row>
    <row r="39" spans="1:20" x14ac:dyDescent="0.2">
      <c r="A39" s="5">
        <v>48</v>
      </c>
      <c r="B39" s="1">
        <f t="shared" si="13"/>
        <v>2.2588508612171236</v>
      </c>
      <c r="C39" s="5">
        <f t="shared" si="14"/>
        <v>161301.31067202371</v>
      </c>
      <c r="D39" s="5">
        <f t="shared" si="15"/>
        <v>153433.43989573442</v>
      </c>
      <c r="E39" s="5">
        <f t="shared" si="6"/>
        <v>143933.43989573442</v>
      </c>
      <c r="F39" s="5">
        <f t="shared" si="7"/>
        <v>57158.092038867231</v>
      </c>
      <c r="G39" s="5">
        <f t="shared" si="8"/>
        <v>96275.347856867185</v>
      </c>
      <c r="H39" s="22">
        <f t="shared" si="16"/>
        <v>71424.517611011455</v>
      </c>
      <c r="I39" s="5">
        <f t="shared" si="17"/>
        <v>163842.94151688402</v>
      </c>
      <c r="J39" s="26">
        <f t="shared" si="18"/>
        <v>0.25579597370005608</v>
      </c>
      <c r="L39" s="22">
        <f t="shared" si="19"/>
        <v>354120.85430082929</v>
      </c>
      <c r="M39" s="5">
        <f>scrimecost*Meta!O36</f>
        <v>1014.7900000000001</v>
      </c>
      <c r="N39" s="5">
        <f>L39-Grade8!L39</f>
        <v>11917.419515949266</v>
      </c>
      <c r="O39" s="5">
        <f>Grade8!M39-M39</f>
        <v>21.412999999999897</v>
      </c>
      <c r="P39" s="22">
        <f t="shared" si="22"/>
        <v>777.09350986701122</v>
      </c>
      <c r="S39" s="22">
        <f t="shared" si="20"/>
        <v>9435.7510917751915</v>
      </c>
      <c r="T39" s="22">
        <f t="shared" si="21"/>
        <v>2454.7782604401154</v>
      </c>
    </row>
    <row r="40" spans="1:20" x14ac:dyDescent="0.2">
      <c r="A40" s="5">
        <v>49</v>
      </c>
      <c r="B40" s="1">
        <f t="shared" si="13"/>
        <v>2.3153221327475517</v>
      </c>
      <c r="C40" s="5">
        <f t="shared" si="14"/>
        <v>165333.84343882432</v>
      </c>
      <c r="D40" s="5">
        <f t="shared" si="15"/>
        <v>157248.21589312778</v>
      </c>
      <c r="E40" s="5">
        <f t="shared" si="6"/>
        <v>147748.21589312778</v>
      </c>
      <c r="F40" s="5">
        <f t="shared" si="7"/>
        <v>58663.021169838903</v>
      </c>
      <c r="G40" s="5">
        <f t="shared" si="8"/>
        <v>98585.194723288878</v>
      </c>
      <c r="H40" s="22">
        <f t="shared" si="16"/>
        <v>73210.13055128674</v>
      </c>
      <c r="I40" s="5">
        <f t="shared" si="17"/>
        <v>167841.97822480614</v>
      </c>
      <c r="J40" s="26">
        <f t="shared" si="18"/>
        <v>0.2562259821740358</v>
      </c>
      <c r="L40" s="22">
        <f t="shared" si="19"/>
        <v>362973.87565835001</v>
      </c>
      <c r="M40" s="5">
        <f>scrimecost*Meta!O37</f>
        <v>1014.7900000000001</v>
      </c>
      <c r="N40" s="5">
        <f>L40-Grade8!L40</f>
        <v>12215.355003847973</v>
      </c>
      <c r="O40" s="5">
        <f>Grade8!M40-M40</f>
        <v>21.412999999999897</v>
      </c>
      <c r="P40" s="22">
        <f t="shared" si="22"/>
        <v>796.45870235261725</v>
      </c>
      <c r="S40" s="22">
        <f t="shared" si="20"/>
        <v>9671.0557633921399</v>
      </c>
      <c r="T40" s="22">
        <f t="shared" si="21"/>
        <v>2418.3031004942409</v>
      </c>
    </row>
    <row r="41" spans="1:20" x14ac:dyDescent="0.2">
      <c r="A41" s="5">
        <v>50</v>
      </c>
      <c r="B41" s="1">
        <f t="shared" si="13"/>
        <v>2.3732051860662402</v>
      </c>
      <c r="C41" s="5">
        <f t="shared" si="14"/>
        <v>169467.18952479487</v>
      </c>
      <c r="D41" s="5">
        <f t="shared" si="15"/>
        <v>161158.36129045594</v>
      </c>
      <c r="E41" s="5">
        <f t="shared" si="6"/>
        <v>151658.36129045594</v>
      </c>
      <c r="F41" s="5">
        <f t="shared" si="7"/>
        <v>60205.573529084875</v>
      </c>
      <c r="G41" s="5">
        <f t="shared" si="8"/>
        <v>100952.78776137106</v>
      </c>
      <c r="H41" s="22">
        <f t="shared" si="16"/>
        <v>75040.383815068897</v>
      </c>
      <c r="I41" s="5">
        <f t="shared" si="17"/>
        <v>171940.99085042623</v>
      </c>
      <c r="J41" s="26">
        <f t="shared" si="18"/>
        <v>0.25664550263645514</v>
      </c>
      <c r="L41" s="22">
        <f t="shared" si="19"/>
        <v>372048.22254980868</v>
      </c>
      <c r="M41" s="5">
        <f>scrimecost*Meta!O38</f>
        <v>677.98</v>
      </c>
      <c r="N41" s="5">
        <f>L41-Grade8!L41</f>
        <v>12520.738878944132</v>
      </c>
      <c r="O41" s="5">
        <f>Grade8!M41-M41</f>
        <v>14.305999999999926</v>
      </c>
      <c r="P41" s="22">
        <f t="shared" si="22"/>
        <v>816.30802465036379</v>
      </c>
      <c r="S41" s="22">
        <f t="shared" si="20"/>
        <v>9905.2355497994995</v>
      </c>
      <c r="T41" s="22">
        <f t="shared" si="21"/>
        <v>2380.6892210988785</v>
      </c>
    </row>
    <row r="42" spans="1:20" x14ac:dyDescent="0.2">
      <c r="A42" s="5">
        <v>51</v>
      </c>
      <c r="B42" s="1">
        <f t="shared" si="13"/>
        <v>2.4325353157178964</v>
      </c>
      <c r="C42" s="5">
        <f t="shared" si="14"/>
        <v>173703.86926291476</v>
      </c>
      <c r="D42" s="5">
        <f t="shared" si="15"/>
        <v>165166.26032271734</v>
      </c>
      <c r="E42" s="5">
        <f t="shared" si="6"/>
        <v>155666.26032271734</v>
      </c>
      <c r="F42" s="5">
        <f t="shared" si="7"/>
        <v>61786.689697311995</v>
      </c>
      <c r="G42" s="5">
        <f t="shared" si="8"/>
        <v>103379.57062540535</v>
      </c>
      <c r="H42" s="22">
        <f t="shared" si="16"/>
        <v>76916.393410445628</v>
      </c>
      <c r="I42" s="5">
        <f t="shared" si="17"/>
        <v>176142.47879168691</v>
      </c>
      <c r="J42" s="26">
        <f t="shared" si="18"/>
        <v>0.25705479089247396</v>
      </c>
      <c r="L42" s="22">
        <f t="shared" si="19"/>
        <v>381349.42811355396</v>
      </c>
      <c r="M42" s="5">
        <f>scrimecost*Meta!O39</f>
        <v>677.98</v>
      </c>
      <c r="N42" s="5">
        <f>L42-Grade8!L42</f>
        <v>12833.757350917789</v>
      </c>
      <c r="O42" s="5">
        <f>Grade8!M42-M42</f>
        <v>14.305999999999926</v>
      </c>
      <c r="P42" s="22">
        <f t="shared" si="22"/>
        <v>836.65358000555398</v>
      </c>
      <c r="S42" s="22">
        <f t="shared" si="20"/>
        <v>10152.452520417111</v>
      </c>
      <c r="T42" s="22">
        <f t="shared" si="21"/>
        <v>2345.3621806238475</v>
      </c>
    </row>
    <row r="43" spans="1:20" x14ac:dyDescent="0.2">
      <c r="A43" s="5">
        <v>52</v>
      </c>
      <c r="B43" s="1">
        <f t="shared" si="13"/>
        <v>2.4933486986108435</v>
      </c>
      <c r="C43" s="5">
        <f t="shared" si="14"/>
        <v>178046.46599448763</v>
      </c>
      <c r="D43" s="5">
        <f t="shared" si="15"/>
        <v>169274.35683078528</v>
      </c>
      <c r="E43" s="5">
        <f t="shared" si="6"/>
        <v>159774.35683078528</v>
      </c>
      <c r="F43" s="5">
        <f t="shared" si="7"/>
        <v>63407.333769744801</v>
      </c>
      <c r="G43" s="5">
        <f t="shared" si="8"/>
        <v>105867.02306104048</v>
      </c>
      <c r="H43" s="22">
        <f t="shared" si="16"/>
        <v>78839.30324570676</v>
      </c>
      <c r="I43" s="5">
        <f t="shared" si="17"/>
        <v>180449.00393147906</v>
      </c>
      <c r="J43" s="26">
        <f t="shared" si="18"/>
        <v>0.25745409650810208</v>
      </c>
      <c r="L43" s="22">
        <f t="shared" si="19"/>
        <v>390883.16381639277</v>
      </c>
      <c r="M43" s="5">
        <f>scrimecost*Meta!O40</f>
        <v>677.98</v>
      </c>
      <c r="N43" s="5">
        <f>L43-Grade8!L43</f>
        <v>13154.601284690783</v>
      </c>
      <c r="O43" s="5">
        <f>Grade8!M43-M43</f>
        <v>14.305999999999926</v>
      </c>
      <c r="P43" s="22">
        <f t="shared" si="22"/>
        <v>857.50777424462365</v>
      </c>
      <c r="S43" s="22">
        <f t="shared" si="20"/>
        <v>10405.849915300161</v>
      </c>
      <c r="T43" s="22">
        <f t="shared" si="21"/>
        <v>2310.5616518657366</v>
      </c>
    </row>
    <row r="44" spans="1:20" x14ac:dyDescent="0.2">
      <c r="A44" s="5">
        <v>53</v>
      </c>
      <c r="B44" s="1">
        <f t="shared" si="13"/>
        <v>2.555682416076114</v>
      </c>
      <c r="C44" s="5">
        <f t="shared" si="14"/>
        <v>182497.62764434976</v>
      </c>
      <c r="D44" s="5">
        <f t="shared" si="15"/>
        <v>173485.15575155485</v>
      </c>
      <c r="E44" s="5">
        <f t="shared" si="6"/>
        <v>163985.15575155485</v>
      </c>
      <c r="F44" s="5">
        <f t="shared" si="7"/>
        <v>65068.493943988389</v>
      </c>
      <c r="G44" s="5">
        <f t="shared" si="8"/>
        <v>108416.66180756646</v>
      </c>
      <c r="H44" s="22">
        <f t="shared" si="16"/>
        <v>80810.285826849402</v>
      </c>
      <c r="I44" s="5">
        <f t="shared" si="17"/>
        <v>184863.192199766</v>
      </c>
      <c r="J44" s="26">
        <f t="shared" si="18"/>
        <v>0.25784366296237338</v>
      </c>
      <c r="L44" s="22">
        <f t="shared" si="19"/>
        <v>400655.24291180249</v>
      </c>
      <c r="M44" s="5">
        <f>scrimecost*Meta!O41</f>
        <v>677.98</v>
      </c>
      <c r="N44" s="5">
        <f>L44-Grade8!L44</f>
        <v>13483.466316807957</v>
      </c>
      <c r="O44" s="5">
        <f>Grade8!M44-M44</f>
        <v>14.305999999999926</v>
      </c>
      <c r="P44" s="22">
        <f t="shared" si="22"/>
        <v>878.8833233396698</v>
      </c>
      <c r="S44" s="22">
        <f t="shared" si="20"/>
        <v>10665.58224505518</v>
      </c>
      <c r="T44" s="22">
        <f t="shared" si="21"/>
        <v>2276.2796989056505</v>
      </c>
    </row>
    <row r="45" spans="1:20" x14ac:dyDescent="0.2">
      <c r="A45" s="5">
        <v>54</v>
      </c>
      <c r="B45" s="1">
        <f t="shared" si="13"/>
        <v>2.6195744764780171</v>
      </c>
      <c r="C45" s="5">
        <f t="shared" si="14"/>
        <v>187060.06833545852</v>
      </c>
      <c r="D45" s="5">
        <f t="shared" si="15"/>
        <v>177801.22464534375</v>
      </c>
      <c r="E45" s="5">
        <f t="shared" si="6"/>
        <v>168301.22464534375</v>
      </c>
      <c r="F45" s="5">
        <f t="shared" si="7"/>
        <v>66771.183122588118</v>
      </c>
      <c r="G45" s="5">
        <f t="shared" si="8"/>
        <v>111030.04152275564</v>
      </c>
      <c r="H45" s="22">
        <f t="shared" si="16"/>
        <v>82830.542972520649</v>
      </c>
      <c r="I45" s="5">
        <f t="shared" si="17"/>
        <v>189387.73517476016</v>
      </c>
      <c r="J45" s="26">
        <f t="shared" si="18"/>
        <v>0.25822372779580893</v>
      </c>
      <c r="L45" s="22">
        <f t="shared" si="19"/>
        <v>410671.62398459762</v>
      </c>
      <c r="M45" s="5">
        <f>scrimecost*Meta!O42</f>
        <v>677.98</v>
      </c>
      <c r="N45" s="5">
        <f>L45-Grade8!L45</f>
        <v>13820.552974728227</v>
      </c>
      <c r="O45" s="5">
        <f>Grade8!M45-M45</f>
        <v>14.305999999999926</v>
      </c>
      <c r="P45" s="22">
        <f t="shared" si="22"/>
        <v>900.79326116209313</v>
      </c>
      <c r="S45" s="22">
        <f t="shared" si="20"/>
        <v>10931.8078830542</v>
      </c>
      <c r="T45" s="22">
        <f t="shared" si="21"/>
        <v>2242.5085088645769</v>
      </c>
    </row>
    <row r="46" spans="1:20" x14ac:dyDescent="0.2">
      <c r="A46" s="5">
        <v>55</v>
      </c>
      <c r="B46" s="1">
        <f t="shared" si="13"/>
        <v>2.6850638383899672</v>
      </c>
      <c r="C46" s="5">
        <f t="shared" si="14"/>
        <v>191736.57004384496</v>
      </c>
      <c r="D46" s="5">
        <f t="shared" si="15"/>
        <v>182225.19526147732</v>
      </c>
      <c r="E46" s="5">
        <f t="shared" si="6"/>
        <v>172725.19526147732</v>
      </c>
      <c r="F46" s="5">
        <f t="shared" si="7"/>
        <v>68516.439530652802</v>
      </c>
      <c r="G46" s="5">
        <f t="shared" si="8"/>
        <v>113708.75573082452</v>
      </c>
      <c r="H46" s="22">
        <f t="shared" si="16"/>
        <v>84901.306546833657</v>
      </c>
      <c r="I46" s="5">
        <f t="shared" si="17"/>
        <v>194025.39172412915</v>
      </c>
      <c r="J46" s="26">
        <f t="shared" si="18"/>
        <v>0.25859452275525813</v>
      </c>
      <c r="L46" s="22">
        <f t="shared" si="19"/>
        <v>420938.41458421253</v>
      </c>
      <c r="M46" s="5">
        <f>scrimecost*Meta!O43</f>
        <v>376.04999999999995</v>
      </c>
      <c r="N46" s="5">
        <f>L46-Grade8!L46</f>
        <v>14166.066799096414</v>
      </c>
      <c r="O46" s="5">
        <f>Grade8!M46-M46</f>
        <v>7.9350000000000023</v>
      </c>
      <c r="P46" s="22">
        <f t="shared" si="22"/>
        <v>923.25094743007617</v>
      </c>
      <c r="S46" s="22">
        <f t="shared" si="20"/>
        <v>11198.407356003127</v>
      </c>
      <c r="T46" s="22">
        <f t="shared" si="21"/>
        <v>2208.0017995448775</v>
      </c>
    </row>
    <row r="47" spans="1:20" x14ac:dyDescent="0.2">
      <c r="A47" s="5">
        <v>56</v>
      </c>
      <c r="B47" s="1">
        <f t="shared" si="13"/>
        <v>2.7521904343497163</v>
      </c>
      <c r="C47" s="5">
        <f t="shared" si="14"/>
        <v>196529.9842949411</v>
      </c>
      <c r="D47" s="5">
        <f t="shared" si="15"/>
        <v>186759.76514301426</v>
      </c>
      <c r="E47" s="5">
        <f t="shared" si="6"/>
        <v>177259.76514301426</v>
      </c>
      <c r="F47" s="5">
        <f t="shared" si="7"/>
        <v>70448.315606069838</v>
      </c>
      <c r="G47" s="5">
        <f t="shared" si="8"/>
        <v>116311.44953694442</v>
      </c>
      <c r="H47" s="22">
        <f t="shared" si="16"/>
        <v>87023.839210504491</v>
      </c>
      <c r="I47" s="5">
        <f t="shared" si="17"/>
        <v>198636.00143008167</v>
      </c>
      <c r="J47" s="26">
        <f t="shared" si="18"/>
        <v>0.25948933103057459</v>
      </c>
      <c r="L47" s="22">
        <f t="shared" si="19"/>
        <v>431461.87494881783</v>
      </c>
      <c r="M47" s="5">
        <f>scrimecost*Meta!O44</f>
        <v>376.04999999999995</v>
      </c>
      <c r="N47" s="5">
        <f>L47-Grade8!L47</f>
        <v>14520.218469073821</v>
      </c>
      <c r="O47" s="5">
        <f>Grade8!M47-M47</f>
        <v>7.9350000000000023</v>
      </c>
      <c r="P47" s="22">
        <f t="shared" si="22"/>
        <v>948.1100263653301</v>
      </c>
      <c r="S47" s="22">
        <f t="shared" si="20"/>
        <v>11479.924858129209</v>
      </c>
      <c r="T47" s="22">
        <f t="shared" si="21"/>
        <v>2175.6210877960566</v>
      </c>
    </row>
    <row r="48" spans="1:20" x14ac:dyDescent="0.2">
      <c r="A48" s="5">
        <v>57</v>
      </c>
      <c r="B48" s="1">
        <f t="shared" si="13"/>
        <v>2.8209951952084591</v>
      </c>
      <c r="C48" s="5">
        <f t="shared" si="14"/>
        <v>201443.23390231462</v>
      </c>
      <c r="D48" s="5">
        <f t="shared" si="15"/>
        <v>191407.6992715896</v>
      </c>
      <c r="E48" s="5">
        <f t="shared" si="6"/>
        <v>181907.6992715896</v>
      </c>
      <c r="F48" s="5">
        <f t="shared" si="7"/>
        <v>72514.322326221576</v>
      </c>
      <c r="G48" s="5">
        <f t="shared" si="8"/>
        <v>118893.37694536803</v>
      </c>
      <c r="H48" s="22">
        <f t="shared" si="16"/>
        <v>89199.435190767108</v>
      </c>
      <c r="I48" s="5">
        <f t="shared" si="17"/>
        <v>203276.04263583373</v>
      </c>
      <c r="J48" s="26">
        <f t="shared" si="18"/>
        <v>0.2606744964855906</v>
      </c>
      <c r="L48" s="22">
        <f t="shared" si="19"/>
        <v>442248.42182253819</v>
      </c>
      <c r="M48" s="5">
        <f>scrimecost*Meta!O45</f>
        <v>376.04999999999995</v>
      </c>
      <c r="N48" s="5">
        <f>L48-Grade8!L48</f>
        <v>14883.223930800566</v>
      </c>
      <c r="O48" s="5">
        <f>Grade8!M48-M48</f>
        <v>7.9350000000000023</v>
      </c>
      <c r="P48" s="22">
        <f t="shared" si="22"/>
        <v>974.69507744109865</v>
      </c>
      <c r="S48" s="22">
        <f t="shared" si="20"/>
        <v>11769.569330043169</v>
      </c>
      <c r="T48" s="22">
        <f t="shared" si="21"/>
        <v>2143.9064877643068</v>
      </c>
    </row>
    <row r="49" spans="1:20" x14ac:dyDescent="0.2">
      <c r="A49" s="5">
        <v>58</v>
      </c>
      <c r="B49" s="1">
        <f t="shared" si="13"/>
        <v>2.8915200750886707</v>
      </c>
      <c r="C49" s="5">
        <f t="shared" si="14"/>
        <v>206479.31474987249</v>
      </c>
      <c r="D49" s="5">
        <f t="shared" si="15"/>
        <v>196171.83175337935</v>
      </c>
      <c r="E49" s="5">
        <f t="shared" si="6"/>
        <v>186671.83175337935</v>
      </c>
      <c r="F49" s="5">
        <f t="shared" si="7"/>
        <v>74631.979214377119</v>
      </c>
      <c r="G49" s="5">
        <f t="shared" si="8"/>
        <v>121539.85253900223</v>
      </c>
      <c r="H49" s="22">
        <f t="shared" si="16"/>
        <v>91429.421070536278</v>
      </c>
      <c r="I49" s="5">
        <f t="shared" si="17"/>
        <v>208032.08487172954</v>
      </c>
      <c r="J49" s="26">
        <f t="shared" si="18"/>
        <v>0.26183075546609413</v>
      </c>
      <c r="L49" s="22">
        <f t="shared" si="19"/>
        <v>453304.63236810168</v>
      </c>
      <c r="M49" s="5">
        <f>scrimecost*Meta!O46</f>
        <v>376.04999999999995</v>
      </c>
      <c r="N49" s="5">
        <f>L49-Grade8!L49</f>
        <v>15255.304529070738</v>
      </c>
      <c r="O49" s="5">
        <f>Grade8!M49-M49</f>
        <v>7.9350000000000023</v>
      </c>
      <c r="P49" s="22">
        <f t="shared" si="22"/>
        <v>1001.9447547937619</v>
      </c>
      <c r="S49" s="22">
        <f t="shared" si="20"/>
        <v>12066.454913755166</v>
      </c>
      <c r="T49" s="22">
        <f t="shared" si="21"/>
        <v>2112.6425096427915</v>
      </c>
    </row>
    <row r="50" spans="1:20" x14ac:dyDescent="0.2">
      <c r="A50" s="5">
        <v>59</v>
      </c>
      <c r="B50" s="1">
        <f t="shared" si="13"/>
        <v>2.9638080769658868</v>
      </c>
      <c r="C50" s="5">
        <f t="shared" si="14"/>
        <v>211641.29761861922</v>
      </c>
      <c r="D50" s="5">
        <f t="shared" si="15"/>
        <v>201055.06754721378</v>
      </c>
      <c r="E50" s="5">
        <f t="shared" si="6"/>
        <v>191555.06754721378</v>
      </c>
      <c r="F50" s="5">
        <f t="shared" si="7"/>
        <v>76802.577524736538</v>
      </c>
      <c r="G50" s="5">
        <f t="shared" si="8"/>
        <v>124252.49002247724</v>
      </c>
      <c r="H50" s="22">
        <f t="shared" si="16"/>
        <v>93715.156597299676</v>
      </c>
      <c r="I50" s="5">
        <f t="shared" si="17"/>
        <v>212907.02816352271</v>
      </c>
      <c r="J50" s="26">
        <f t="shared" si="18"/>
        <v>0.2629588130080488</v>
      </c>
      <c r="L50" s="22">
        <f t="shared" si="19"/>
        <v>464637.24817730417</v>
      </c>
      <c r="M50" s="5">
        <f>scrimecost*Meta!O47</f>
        <v>376.04999999999995</v>
      </c>
      <c r="N50" s="5">
        <f>L50-Grade8!L50</f>
        <v>15636.687142297393</v>
      </c>
      <c r="O50" s="5">
        <f>Grade8!M50-M50</f>
        <v>7.9350000000000023</v>
      </c>
      <c r="P50" s="22">
        <f t="shared" si="22"/>
        <v>1029.8756740802417</v>
      </c>
      <c r="S50" s="22">
        <f t="shared" si="20"/>
        <v>12370.762637059766</v>
      </c>
      <c r="T50" s="22">
        <f t="shared" si="21"/>
        <v>2081.8232115044125</v>
      </c>
    </row>
    <row r="51" spans="1:20" x14ac:dyDescent="0.2">
      <c r="A51" s="5">
        <v>60</v>
      </c>
      <c r="B51" s="1">
        <f t="shared" si="13"/>
        <v>3.0379032788900342</v>
      </c>
      <c r="C51" s="5">
        <f t="shared" si="14"/>
        <v>216932.33005908475</v>
      </c>
      <c r="D51" s="5">
        <f t="shared" si="15"/>
        <v>206060.38423589416</v>
      </c>
      <c r="E51" s="5">
        <f t="shared" si="6"/>
        <v>196560.38423589416</v>
      </c>
      <c r="F51" s="5">
        <f t="shared" si="7"/>
        <v>79027.440792854948</v>
      </c>
      <c r="G51" s="5">
        <f t="shared" si="8"/>
        <v>127032.94344303921</v>
      </c>
      <c r="H51" s="22">
        <f t="shared" si="16"/>
        <v>96058.035512232178</v>
      </c>
      <c r="I51" s="5">
        <f t="shared" si="17"/>
        <v>217903.84503761085</v>
      </c>
      <c r="J51" s="26">
        <f t="shared" si="18"/>
        <v>0.26405935695141919</v>
      </c>
      <c r="L51" s="22">
        <f t="shared" si="19"/>
        <v>476253.17938173679</v>
      </c>
      <c r="M51" s="5">
        <f>scrimecost*Meta!O48</f>
        <v>198.38</v>
      </c>
      <c r="N51" s="5">
        <f>L51-Grade8!L51</f>
        <v>16027.604320854938</v>
      </c>
      <c r="O51" s="5">
        <f>Grade8!M51-M51</f>
        <v>4.186000000000007</v>
      </c>
      <c r="P51" s="22">
        <f t="shared" si="22"/>
        <v>1058.5048663488833</v>
      </c>
      <c r="S51" s="22">
        <f t="shared" si="20"/>
        <v>12678.981539447144</v>
      </c>
      <c r="T51" s="22">
        <f t="shared" si="21"/>
        <v>2050.8447943039127</v>
      </c>
    </row>
    <row r="52" spans="1:20" x14ac:dyDescent="0.2">
      <c r="A52" s="5">
        <v>61</v>
      </c>
      <c r="B52" s="1">
        <f t="shared" si="13"/>
        <v>3.1138508608622844</v>
      </c>
      <c r="C52" s="5">
        <f t="shared" si="14"/>
        <v>222355.6383105618</v>
      </c>
      <c r="D52" s="5">
        <f t="shared" si="15"/>
        <v>211190.83384179143</v>
      </c>
      <c r="E52" s="5">
        <f t="shared" si="6"/>
        <v>201690.83384179143</v>
      </c>
      <c r="F52" s="5">
        <f t="shared" si="7"/>
        <v>81307.925642676288</v>
      </c>
      <c r="G52" s="5">
        <f t="shared" si="8"/>
        <v>129882.90819911515</v>
      </c>
      <c r="H52" s="22">
        <f t="shared" si="16"/>
        <v>98459.486400037946</v>
      </c>
      <c r="I52" s="5">
        <f t="shared" si="17"/>
        <v>223025.58233355102</v>
      </c>
      <c r="J52" s="26">
        <f t="shared" si="18"/>
        <v>0.26513305835958528</v>
      </c>
      <c r="L52" s="22">
        <f t="shared" si="19"/>
        <v>488159.50886628008</v>
      </c>
      <c r="M52" s="5">
        <f>scrimecost*Meta!O49</f>
        <v>198.38</v>
      </c>
      <c r="N52" s="5">
        <f>L52-Grade8!L52</f>
        <v>16428.294428876135</v>
      </c>
      <c r="O52" s="5">
        <f>Grade8!M52-M52</f>
        <v>4.186000000000007</v>
      </c>
      <c r="P52" s="22">
        <f t="shared" si="22"/>
        <v>1087.8497884242404</v>
      </c>
      <c r="S52" s="22">
        <f t="shared" si="20"/>
        <v>12998.694841243996</v>
      </c>
      <c r="T52" s="22">
        <f t="shared" si="21"/>
        <v>2020.9204854152636</v>
      </c>
    </row>
    <row r="53" spans="1:20" x14ac:dyDescent="0.2">
      <c r="A53" s="5">
        <v>62</v>
      </c>
      <c r="B53" s="1">
        <f t="shared" si="13"/>
        <v>3.1916971323838421</v>
      </c>
      <c r="C53" s="5">
        <f t="shared" si="14"/>
        <v>227914.52926832589</v>
      </c>
      <c r="D53" s="5">
        <f t="shared" si="15"/>
        <v>216449.54468783629</v>
      </c>
      <c r="E53" s="5">
        <f t="shared" si="6"/>
        <v>206949.54468783629</v>
      </c>
      <c r="F53" s="5">
        <f t="shared" si="7"/>
        <v>83645.422613743227</v>
      </c>
      <c r="G53" s="5">
        <f t="shared" si="8"/>
        <v>132804.12207409306</v>
      </c>
      <c r="H53" s="22">
        <f t="shared" si="16"/>
        <v>100920.97356003891</v>
      </c>
      <c r="I53" s="5">
        <f t="shared" si="17"/>
        <v>228275.36306188986</v>
      </c>
      <c r="J53" s="26">
        <f t="shared" si="18"/>
        <v>0.26618057192852801</v>
      </c>
      <c r="L53" s="22">
        <f t="shared" si="19"/>
        <v>500363.49658793717</v>
      </c>
      <c r="M53" s="5">
        <f>scrimecost*Meta!O50</f>
        <v>198.38</v>
      </c>
      <c r="N53" s="5">
        <f>L53-Grade8!L53</f>
        <v>16839.001789598202</v>
      </c>
      <c r="O53" s="5">
        <f>Grade8!M53-M53</f>
        <v>4.186000000000007</v>
      </c>
      <c r="P53" s="22">
        <f t="shared" si="22"/>
        <v>1117.9283335514826</v>
      </c>
      <c r="S53" s="22">
        <f t="shared" si="20"/>
        <v>13326.400975586017</v>
      </c>
      <c r="T53" s="22">
        <f t="shared" si="21"/>
        <v>1991.4224883885695</v>
      </c>
    </row>
    <row r="54" spans="1:20" x14ac:dyDescent="0.2">
      <c r="A54" s="5">
        <v>63</v>
      </c>
      <c r="B54" s="1">
        <f t="shared" si="13"/>
        <v>3.2714895606934378</v>
      </c>
      <c r="C54" s="5">
        <f t="shared" si="14"/>
        <v>233612.39250003404</v>
      </c>
      <c r="D54" s="5">
        <f t="shared" si="15"/>
        <v>221839.72330503218</v>
      </c>
      <c r="E54" s="5">
        <f t="shared" si="6"/>
        <v>212339.72330503218</v>
      </c>
      <c r="F54" s="5">
        <f t="shared" si="7"/>
        <v>86041.357009086816</v>
      </c>
      <c r="G54" s="5">
        <f t="shared" si="8"/>
        <v>135798.36629594536</v>
      </c>
      <c r="H54" s="22">
        <f t="shared" si="16"/>
        <v>103443.99789903988</v>
      </c>
      <c r="I54" s="5">
        <f t="shared" si="17"/>
        <v>233656.38830843708</v>
      </c>
      <c r="J54" s="26">
        <f t="shared" si="18"/>
        <v>0.26720253638603303</v>
      </c>
      <c r="L54" s="22">
        <f t="shared" si="19"/>
        <v>512872.58400263556</v>
      </c>
      <c r="M54" s="5">
        <f>scrimecost*Meta!O51</f>
        <v>198.38</v>
      </c>
      <c r="N54" s="5">
        <f>L54-Grade8!L54</f>
        <v>17259.9768343381</v>
      </c>
      <c r="O54" s="5">
        <f>Grade8!M54-M54</f>
        <v>4.186000000000007</v>
      </c>
      <c r="P54" s="22">
        <f t="shared" si="22"/>
        <v>1148.7588423069051</v>
      </c>
      <c r="S54" s="22">
        <f t="shared" si="20"/>
        <v>13662.29976328643</v>
      </c>
      <c r="T54" s="22">
        <f t="shared" si="21"/>
        <v>1962.3451362498497</v>
      </c>
    </row>
    <row r="55" spans="1:20" x14ac:dyDescent="0.2">
      <c r="A55" s="5">
        <v>64</v>
      </c>
      <c r="B55" s="1">
        <f t="shared" si="13"/>
        <v>3.3532767997107733</v>
      </c>
      <c r="C55" s="5">
        <f t="shared" si="14"/>
        <v>239452.70231253482</v>
      </c>
      <c r="D55" s="5">
        <f t="shared" si="15"/>
        <v>227364.65638765792</v>
      </c>
      <c r="E55" s="5">
        <f t="shared" si="6"/>
        <v>217864.65638765792</v>
      </c>
      <c r="F55" s="5">
        <f t="shared" si="7"/>
        <v>88497.189764313953</v>
      </c>
      <c r="G55" s="5">
        <f t="shared" si="8"/>
        <v>138867.46662334396</v>
      </c>
      <c r="H55" s="22">
        <f t="shared" si="16"/>
        <v>106030.09784651587</v>
      </c>
      <c r="I55" s="5">
        <f t="shared" si="17"/>
        <v>239171.93918614797</v>
      </c>
      <c r="J55" s="26">
        <f t="shared" si="18"/>
        <v>0.26819957488115992</v>
      </c>
      <c r="L55" s="22">
        <f t="shared" si="19"/>
        <v>525694.39860270137</v>
      </c>
      <c r="M55" s="5">
        <f>scrimecost*Meta!O52</f>
        <v>198.38</v>
      </c>
      <c r="N55" s="5">
        <f>L55-Grade8!L55</f>
        <v>17691.476255196496</v>
      </c>
      <c r="O55" s="5">
        <f>Grade8!M55-M55</f>
        <v>4.186000000000007</v>
      </c>
      <c r="P55" s="22">
        <f t="shared" si="22"/>
        <v>1180.3601137812134</v>
      </c>
      <c r="S55" s="22">
        <f t="shared" si="20"/>
        <v>14006.596020679352</v>
      </c>
      <c r="T55" s="22">
        <f t="shared" si="21"/>
        <v>1933.6828209643318</v>
      </c>
    </row>
    <row r="56" spans="1:20" x14ac:dyDescent="0.2">
      <c r="A56" s="5">
        <v>65</v>
      </c>
      <c r="B56" s="1">
        <f t="shared" si="13"/>
        <v>3.4371087197035428</v>
      </c>
      <c r="C56" s="5">
        <f t="shared" si="14"/>
        <v>245439.01987034822</v>
      </c>
      <c r="D56" s="5">
        <f t="shared" si="15"/>
        <v>233027.71279734941</v>
      </c>
      <c r="E56" s="5">
        <f t="shared" si="6"/>
        <v>223527.71279734941</v>
      </c>
      <c r="F56" s="5">
        <f t="shared" si="7"/>
        <v>91014.418338421805</v>
      </c>
      <c r="G56" s="5">
        <f t="shared" si="8"/>
        <v>142013.29445892759</v>
      </c>
      <c r="H56" s="22">
        <f t="shared" si="16"/>
        <v>108680.85029267876</v>
      </c>
      <c r="I56" s="5">
        <f t="shared" si="17"/>
        <v>244825.37883580168</v>
      </c>
      <c r="J56" s="26">
        <f t="shared" si="18"/>
        <v>0.26917229536421045</v>
      </c>
      <c r="L56" s="22">
        <f t="shared" si="19"/>
        <v>538836.75856776885</v>
      </c>
      <c r="M56" s="5">
        <f>scrimecost*Meta!O53</f>
        <v>59.95</v>
      </c>
      <c r="N56" s="5">
        <f>L56-Grade8!L56</f>
        <v>18133.763161576353</v>
      </c>
      <c r="O56" s="5">
        <f>Grade8!M56-M56</f>
        <v>1.2650000000000006</v>
      </c>
      <c r="P56" s="22">
        <f t="shared" si="22"/>
        <v>1212.751417042379</v>
      </c>
      <c r="S56" s="22">
        <f t="shared" si="20"/>
        <v>14356.619578507098</v>
      </c>
      <c r="T56" s="22">
        <f t="shared" si="21"/>
        <v>1905.0478186318564</v>
      </c>
    </row>
    <row r="57" spans="1:20" x14ac:dyDescent="0.2">
      <c r="A57" s="5">
        <v>66</v>
      </c>
      <c r="C57" s="5"/>
      <c r="H57" s="21"/>
      <c r="I57" s="5"/>
      <c r="M57" s="5">
        <f>scrimecost*Meta!O54</f>
        <v>59.95</v>
      </c>
      <c r="N57" s="5">
        <f>L57-Grade8!L57</f>
        <v>0</v>
      </c>
      <c r="O57" s="5">
        <f>Grade8!M57-M57</f>
        <v>1.2650000000000006</v>
      </c>
      <c r="S57" s="22">
        <f t="shared" si="20"/>
        <v>1.2472900000000005</v>
      </c>
      <c r="T57" s="22">
        <f t="shared" si="21"/>
        <v>0.15908241743291068</v>
      </c>
    </row>
    <row r="58" spans="1:20" x14ac:dyDescent="0.2">
      <c r="A58" s="5">
        <v>67</v>
      </c>
      <c r="C58" s="5"/>
      <c r="H58" s="21"/>
      <c r="I58" s="5"/>
      <c r="M58" s="5">
        <f>scrimecost*Meta!O55</f>
        <v>59.95</v>
      </c>
      <c r="N58" s="5">
        <f>L58-Grade8!L58</f>
        <v>0</v>
      </c>
      <c r="O58" s="5">
        <f>Grade8!M58-M58</f>
        <v>1.2650000000000006</v>
      </c>
      <c r="S58" s="22">
        <f t="shared" si="20"/>
        <v>1.2472900000000005</v>
      </c>
      <c r="T58" s="22">
        <f t="shared" si="21"/>
        <v>0.1529055448667419</v>
      </c>
    </row>
    <row r="59" spans="1:20" x14ac:dyDescent="0.2">
      <c r="A59" s="5">
        <v>68</v>
      </c>
      <c r="H59" s="21"/>
      <c r="I59" s="5"/>
      <c r="M59" s="5">
        <f>scrimecost*Meta!O56</f>
        <v>59.95</v>
      </c>
      <c r="N59" s="5">
        <f>L59-Grade8!L59</f>
        <v>0</v>
      </c>
      <c r="O59" s="5">
        <f>Grade8!M59-M59</f>
        <v>1.2650000000000006</v>
      </c>
      <c r="S59" s="22">
        <f t="shared" si="20"/>
        <v>1.2472900000000005</v>
      </c>
      <c r="T59" s="22">
        <f t="shared" si="21"/>
        <v>0.14696850870307679</v>
      </c>
    </row>
    <row r="60" spans="1:20" x14ac:dyDescent="0.2">
      <c r="A60" s="5">
        <v>69</v>
      </c>
      <c r="H60" s="21"/>
      <c r="I60" s="5"/>
      <c r="M60" s="5">
        <f>scrimecost*Meta!O57</f>
        <v>59.95</v>
      </c>
      <c r="N60" s="5">
        <f>L60-Grade8!L60</f>
        <v>0</v>
      </c>
      <c r="O60" s="5">
        <f>Grade8!M60-M60</f>
        <v>1.2650000000000006</v>
      </c>
      <c r="S60" s="22">
        <f t="shared" si="20"/>
        <v>1.2472900000000005</v>
      </c>
      <c r="T60" s="22">
        <f t="shared" si="21"/>
        <v>0.14126199654322971</v>
      </c>
    </row>
    <row r="61" spans="1:20" x14ac:dyDescent="0.2">
      <c r="A61" s="5">
        <v>70</v>
      </c>
      <c r="H61" s="21"/>
      <c r="I61" s="5"/>
      <c r="M61" s="5">
        <f>scrimecost*Meta!O58</f>
        <v>59.95</v>
      </c>
      <c r="N61" s="5">
        <f>L61-Grade8!L61</f>
        <v>0</v>
      </c>
      <c r="O61" s="5">
        <f>Grade8!M61-M61</f>
        <v>1.2650000000000006</v>
      </c>
      <c r="S61" s="22">
        <f t="shared" si="20"/>
        <v>1.2472900000000005</v>
      </c>
      <c r="T61" s="22">
        <f t="shared" si="21"/>
        <v>0.13577705757152919</v>
      </c>
    </row>
    <row r="62" spans="1:20" x14ac:dyDescent="0.2">
      <c r="A62" s="5">
        <v>71</v>
      </c>
      <c r="H62" s="21"/>
      <c r="I62" s="5"/>
      <c r="M62" s="5">
        <f>scrimecost*Meta!O59</f>
        <v>59.95</v>
      </c>
      <c r="N62" s="5">
        <f>L62-Grade8!L62</f>
        <v>0</v>
      </c>
      <c r="O62" s="5">
        <f>Grade8!M62-M62</f>
        <v>1.2650000000000006</v>
      </c>
      <c r="S62" s="22">
        <f t="shared" si="20"/>
        <v>1.2472900000000005</v>
      </c>
      <c r="T62" s="22">
        <f t="shared" si="21"/>
        <v>0.13050508851572584</v>
      </c>
    </row>
    <row r="63" spans="1:20" x14ac:dyDescent="0.2">
      <c r="A63" s="5">
        <v>72</v>
      </c>
      <c r="H63" s="21"/>
      <c r="M63" s="5">
        <f>scrimecost*Meta!O60</f>
        <v>59.95</v>
      </c>
      <c r="N63" s="5">
        <f>L63-Grade8!L63</f>
        <v>0</v>
      </c>
      <c r="O63" s="5">
        <f>Grade8!M63-M63</f>
        <v>1.2650000000000006</v>
      </c>
      <c r="S63" s="22">
        <f t="shared" si="20"/>
        <v>1.2472900000000005</v>
      </c>
      <c r="T63" s="22">
        <f t="shared" si="21"/>
        <v>0.1254378201525318</v>
      </c>
    </row>
    <row r="64" spans="1:20" x14ac:dyDescent="0.2">
      <c r="A64" s="5">
        <v>73</v>
      </c>
      <c r="H64" s="21"/>
      <c r="M64" s="5">
        <f>scrimecost*Meta!O61</f>
        <v>59.95</v>
      </c>
      <c r="N64" s="5">
        <f>L64-Grade8!L64</f>
        <v>0</v>
      </c>
      <c r="O64" s="5">
        <f>Grade8!M64-M64</f>
        <v>1.2650000000000006</v>
      </c>
      <c r="S64" s="22">
        <f t="shared" si="20"/>
        <v>1.2472900000000005</v>
      </c>
      <c r="T64" s="22">
        <f t="shared" si="21"/>
        <v>0.12056730433712473</v>
      </c>
    </row>
    <row r="65" spans="1:20" x14ac:dyDescent="0.2">
      <c r="A65" s="5">
        <v>74</v>
      </c>
      <c r="H65" s="21"/>
      <c r="M65" s="5">
        <f>scrimecost*Meta!O62</f>
        <v>59.95</v>
      </c>
      <c r="N65" s="5">
        <f>L65-Grade8!L65</f>
        <v>0</v>
      </c>
      <c r="O65" s="5">
        <f>Grade8!M65-M65</f>
        <v>1.2650000000000006</v>
      </c>
      <c r="S65" s="22">
        <f t="shared" si="20"/>
        <v>1.2472900000000005</v>
      </c>
      <c r="T65" s="22">
        <f t="shared" si="21"/>
        <v>0.11588590153627165</v>
      </c>
    </row>
    <row r="66" spans="1:20" x14ac:dyDescent="0.2">
      <c r="A66" s="5">
        <v>75</v>
      </c>
      <c r="H66" s="21"/>
      <c r="M66" s="5">
        <f>scrimecost*Meta!O63</f>
        <v>59.95</v>
      </c>
      <c r="N66" s="5">
        <f>L66-Grade8!L66</f>
        <v>0</v>
      </c>
      <c r="O66" s="5">
        <f>Grade8!M66-M66</f>
        <v>1.2650000000000006</v>
      </c>
      <c r="S66" s="22">
        <f t="shared" si="20"/>
        <v>1.2472900000000005</v>
      </c>
      <c r="T66" s="22">
        <f t="shared" si="21"/>
        <v>0.11138626884551871</v>
      </c>
    </row>
    <row r="67" spans="1:20" x14ac:dyDescent="0.2">
      <c r="A67" s="5">
        <v>76</v>
      </c>
      <c r="H67" s="21"/>
      <c r="M67" s="5">
        <f>scrimecost*Meta!O64</f>
        <v>59.95</v>
      </c>
      <c r="N67" s="5">
        <f>L67-Grade8!L67</f>
        <v>0</v>
      </c>
      <c r="O67" s="5">
        <f>Grade8!M67-M67</f>
        <v>1.2650000000000006</v>
      </c>
      <c r="S67" s="22">
        <f t="shared" si="20"/>
        <v>1.2472900000000005</v>
      </c>
      <c r="T67" s="22">
        <f t="shared" si="21"/>
        <v>0.10706134847165062</v>
      </c>
    </row>
    <row r="68" spans="1:20" x14ac:dyDescent="0.2">
      <c r="A68" s="5">
        <v>77</v>
      </c>
      <c r="H68" s="21"/>
      <c r="M68" s="5">
        <f>scrimecost*Meta!O65</f>
        <v>59.95</v>
      </c>
      <c r="N68" s="5">
        <f>L68-Grade8!L68</f>
        <v>0</v>
      </c>
      <c r="O68" s="5">
        <f>Grade8!M68-M68</f>
        <v>1.2650000000000006</v>
      </c>
      <c r="S68" s="22">
        <f t="shared" si="20"/>
        <v>1.2472900000000005</v>
      </c>
      <c r="T68" s="22">
        <f t="shared" si="21"/>
        <v>0.10290435666235488</v>
      </c>
    </row>
    <row r="69" spans="1:20" x14ac:dyDescent="0.2">
      <c r="A69" s="5">
        <v>78</v>
      </c>
      <c r="H69" s="21"/>
      <c r="M69" s="5">
        <f>scrimecost*Meta!O66</f>
        <v>59.95</v>
      </c>
      <c r="N69" s="5">
        <f>L69-Grade8!L69</f>
        <v>0</v>
      </c>
      <c r="O69" s="5">
        <f>Grade8!M69-M69</f>
        <v>1.2650000000000006</v>
      </c>
      <c r="S69" s="22">
        <f>IF(A69&lt;startage,1,0)*(N69-Q69-R69)+IF(A69&gt;=startage,1,0)*completionprob*(N69*spart+O69+P69)</f>
        <v>1.2472900000000005</v>
      </c>
      <c r="T69" s="22">
        <f>S69/sreturn^(A69-startage+1)</f>
        <v>9.8908773065726402E-2</v>
      </c>
    </row>
    <row r="70" spans="1:20" x14ac:dyDescent="0.2">
      <c r="A70" s="5">
        <v>79</v>
      </c>
      <c r="H70" s="21"/>
      <c r="M70" s="5"/>
      <c r="S70" s="22">
        <f>SUM(T5:T69)</f>
        <v>1.5791966345712893E-10</v>
      </c>
    </row>
    <row r="71" spans="1:20" x14ac:dyDescent="0.2">
      <c r="A71" s="5">
        <v>80</v>
      </c>
      <c r="H71" s="21"/>
      <c r="M71" s="5"/>
    </row>
    <row r="72" spans="1:20" x14ac:dyDescent="0.2">
      <c r="A72" s="5">
        <v>81</v>
      </c>
      <c r="H72" s="21"/>
      <c r="M72" s="5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6" sqref="S6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Meta!A4+6</f>
        <v>16</v>
      </c>
      <c r="C2" s="7">
        <f>Meta!B4</f>
        <v>149428</v>
      </c>
      <c r="D2" s="7">
        <f>Meta!C4</f>
        <v>66167</v>
      </c>
      <c r="E2" s="1">
        <f>Meta!D4</f>
        <v>5.0999999999999997E-2</v>
      </c>
      <c r="F2" s="1">
        <f>Meta!F4</f>
        <v>0.63400000000000001</v>
      </c>
      <c r="G2" s="1">
        <f>Meta!I4</f>
        <v>1.9496869757628374</v>
      </c>
      <c r="H2" s="1">
        <f>Meta!E4</f>
        <v>0.98599999999999999</v>
      </c>
      <c r="I2" s="13"/>
      <c r="J2" s="1">
        <f>Meta!X3</f>
        <v>0.73599999999999999</v>
      </c>
      <c r="K2" s="1">
        <f>Meta!D3</f>
        <v>5.3999999999999999E-2</v>
      </c>
      <c r="L2" s="29"/>
      <c r="N2" s="22">
        <f>Meta!T4</f>
        <v>235095</v>
      </c>
      <c r="O2" s="22">
        <f>Meta!U4</f>
        <v>99122</v>
      </c>
      <c r="P2" s="1">
        <f>Meta!V4</f>
        <v>0.03</v>
      </c>
      <c r="Q2" s="1">
        <f>Meta!X4</f>
        <v>0.745</v>
      </c>
      <c r="R2" s="22">
        <f>Meta!W4</f>
        <v>1068</v>
      </c>
      <c r="T2" s="12">
        <f>IRR(S5:S69)+1</f>
        <v>1.0409066726440683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B6" s="1">
        <v>1</v>
      </c>
      <c r="C6" s="5">
        <f>0.1*Grade9!C6</f>
        <v>7140.8570367107213</v>
      </c>
      <c r="D6" s="5">
        <f t="shared" ref="D6:D36" si="0">IF(A6&lt;startage,1,0)*(C6*(1-initialunempprob))+IF(A6=startage,1,0)*(C6*(1-unempprob))+IF(A6&gt;startage,1,0)*(C6*(1-unempprob)+unempprob*300*52)</f>
        <v>6755.2507567283419</v>
      </c>
      <c r="E6" s="5">
        <f t="shared" ref="E6:E56" si="1">IF(D6-9500&gt;0,1,0)*(D6-9500)</f>
        <v>0</v>
      </c>
      <c r="F6" s="5">
        <f t="shared" ref="F6:F56" si="2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516.77668288971813</v>
      </c>
      <c r="G6" s="5">
        <f t="shared" ref="G6:G56" si="3">D6-F6</f>
        <v>6238.4740738386236</v>
      </c>
      <c r="H6" s="22">
        <f>0.1*Grade9!H6</f>
        <v>3161.9846549995864</v>
      </c>
      <c r="I6" s="5">
        <f t="shared" ref="I6:I36" si="4">G6+IF(A6&lt;startage,1,0)*(H6*(1-initialunempprob))+IF(A6&gt;=startage,1,0)*(H6*(1-unempprob))</f>
        <v>9229.7115574682321</v>
      </c>
      <c r="J6" s="26">
        <f t="shared" ref="J6:J37" si="5">(F6-(IF(A6&gt;startage,1,0)*(unempprob*300*52)))/(IF(A6&lt;startage,1,0)*((C6+H6)*(1-initialunempprob))+IF(A6&gt;=startage,1,0)*((C6+H6)*(1-unempprob)))</f>
        <v>5.3021834136100995E-2</v>
      </c>
      <c r="L6" s="22">
        <f>0.1*Grade9!L6</f>
        <v>15677.035628196383</v>
      </c>
      <c r="M6" s="5">
        <f>scrimecost*Meta!O3</f>
        <v>1982.2080000000001</v>
      </c>
      <c r="N6" s="5">
        <f>L6-Grade9!L6</f>
        <v>-141093.32065376744</v>
      </c>
      <c r="O6" s="5"/>
      <c r="P6" s="22"/>
      <c r="Q6" s="22">
        <f>0.05*feel*Grade9!G6</f>
        <v>643.17908325771862</v>
      </c>
      <c r="R6" s="22">
        <f>hstuition</f>
        <v>11298</v>
      </c>
      <c r="S6" s="22">
        <f t="shared" ref="S6:S37" si="6">IF(A6&lt;startage,1,0)*(N6-Q6-R6)+IF(A6&gt;=startage,1,0)*completionprob*(N6*spart+O6+P6)</f>
        <v>-153034.49973702515</v>
      </c>
      <c r="T6" s="22">
        <f t="shared" ref="T6:T37" si="7">S6/sreturn^(A6-startage+1)</f>
        <v>-153034.49973702515</v>
      </c>
    </row>
    <row r="7" spans="1:20" x14ac:dyDescent="0.2">
      <c r="A7" s="5">
        <v>16</v>
      </c>
      <c r="B7" s="1">
        <f t="shared" ref="B7:B36" si="8">(1+experiencepremium)^(A7-startage)</f>
        <v>1</v>
      </c>
      <c r="C7" s="5">
        <f t="shared" ref="C7:C36" si="9">pretaxincome*B7/expnorm</f>
        <v>76642.046573417043</v>
      </c>
      <c r="D7" s="5">
        <f t="shared" si="0"/>
        <v>72733.302198172765</v>
      </c>
      <c r="E7" s="5">
        <f t="shared" si="1"/>
        <v>63233.302198172765</v>
      </c>
      <c r="F7" s="5">
        <f t="shared" si="2"/>
        <v>23820.753387520686</v>
      </c>
      <c r="G7" s="5">
        <f t="shared" si="3"/>
        <v>48912.548810652079</v>
      </c>
      <c r="H7" s="22">
        <f t="shared" ref="H7:H36" si="10">benefits*B7/expnorm</f>
        <v>33937.242656150687</v>
      </c>
      <c r="I7" s="5">
        <f t="shared" si="4"/>
        <v>81118.992091339082</v>
      </c>
      <c r="J7" s="26">
        <f t="shared" si="5"/>
        <v>0.22699457940194265</v>
      </c>
      <c r="L7" s="22">
        <f t="shared" ref="L7:L36" si="11">(sincome+sbenefits)*(1-sunemp)*B7/expnorm</f>
        <v>166278.22518697224</v>
      </c>
      <c r="M7" s="5">
        <f>scrimecost*Meta!O4</f>
        <v>2507.6639999999998</v>
      </c>
      <c r="N7" s="5">
        <f>L7-Grade9!L7</f>
        <v>5588.6099979593419</v>
      </c>
      <c r="O7" s="5">
        <f>Grade9!M7-M7</f>
        <v>51.655999999999949</v>
      </c>
      <c r="P7" s="22">
        <f t="shared" ref="P7:P38" si="12">(spart-initialspart)*(L7*J7+nptrans)</f>
        <v>398.68430211016482</v>
      </c>
      <c r="Q7" s="22"/>
      <c r="R7" s="22"/>
      <c r="S7" s="22">
        <f t="shared" si="6"/>
        <v>4549.2607840816154</v>
      </c>
      <c r="T7" s="22">
        <f t="shared" si="7"/>
        <v>4370.4790291388663</v>
      </c>
    </row>
    <row r="8" spans="1:20" x14ac:dyDescent="0.2">
      <c r="A8" s="5">
        <v>17</v>
      </c>
      <c r="B8" s="1">
        <f t="shared" si="8"/>
        <v>1.0249999999999999</v>
      </c>
      <c r="C8" s="5">
        <f t="shared" si="9"/>
        <v>78558.097737752454</v>
      </c>
      <c r="D8" s="5">
        <f t="shared" si="0"/>
        <v>75347.234753127079</v>
      </c>
      <c r="E8" s="5">
        <f t="shared" si="1"/>
        <v>65847.234753127079</v>
      </c>
      <c r="F8" s="5">
        <f t="shared" si="2"/>
        <v>24935.595622208701</v>
      </c>
      <c r="G8" s="5">
        <f t="shared" si="3"/>
        <v>50411.639130918382</v>
      </c>
      <c r="H8" s="22">
        <f t="shared" si="10"/>
        <v>34785.673722554449</v>
      </c>
      <c r="I8" s="5">
        <f t="shared" si="4"/>
        <v>83423.243493622547</v>
      </c>
      <c r="J8" s="26">
        <f t="shared" si="5"/>
        <v>0.22442607549418578</v>
      </c>
      <c r="L8" s="22">
        <f t="shared" si="11"/>
        <v>170435.18081664655</v>
      </c>
      <c r="M8" s="5">
        <f>scrimecost*Meta!O5</f>
        <v>2896.4160000000002</v>
      </c>
      <c r="N8" s="5">
        <f>L8-Grade9!L8</f>
        <v>5728.3252479083021</v>
      </c>
      <c r="O8" s="5">
        <f>Grade9!M8-M8</f>
        <v>59.664000000000215</v>
      </c>
      <c r="P8" s="22">
        <f t="shared" si="12"/>
        <v>403.23688881139765</v>
      </c>
      <c r="Q8" s="22"/>
      <c r="R8" s="22"/>
      <c r="S8" s="22">
        <f t="shared" si="6"/>
        <v>4664.2761537240403</v>
      </c>
      <c r="T8" s="22">
        <f t="shared" si="7"/>
        <v>4304.8762377536732</v>
      </c>
    </row>
    <row r="9" spans="1:20" x14ac:dyDescent="0.2">
      <c r="A9" s="5">
        <v>18</v>
      </c>
      <c r="B9" s="1">
        <f t="shared" si="8"/>
        <v>1.0506249999999999</v>
      </c>
      <c r="C9" s="5">
        <f t="shared" si="9"/>
        <v>80522.05018119626</v>
      </c>
      <c r="D9" s="5">
        <f t="shared" si="0"/>
        <v>77211.025621955254</v>
      </c>
      <c r="E9" s="5">
        <f t="shared" si="1"/>
        <v>67711.025621955254</v>
      </c>
      <c r="F9" s="5">
        <f t="shared" si="2"/>
        <v>25730.502427763917</v>
      </c>
      <c r="G9" s="5">
        <f t="shared" si="3"/>
        <v>51480.523194191337</v>
      </c>
      <c r="H9" s="22">
        <f t="shared" si="10"/>
        <v>35655.315565618315</v>
      </c>
      <c r="I9" s="5">
        <f t="shared" si="4"/>
        <v>85317.417665963119</v>
      </c>
      <c r="J9" s="26">
        <f t="shared" si="5"/>
        <v>0.22616215610307711</v>
      </c>
      <c r="L9" s="22">
        <f t="shared" si="11"/>
        <v>174696.06033706269</v>
      </c>
      <c r="M9" s="5">
        <f>scrimecost*Meta!O6</f>
        <v>3520.1279999999997</v>
      </c>
      <c r="N9" s="5">
        <f>L9-Grade9!L9</f>
        <v>5871.5333791059966</v>
      </c>
      <c r="O9" s="5">
        <f>Grade9!M9-M9</f>
        <v>72.512000000000171</v>
      </c>
      <c r="P9" s="22">
        <f t="shared" si="12"/>
        <v>414.57273901689052</v>
      </c>
      <c r="Q9" s="22"/>
      <c r="R9" s="22"/>
      <c r="S9" s="22">
        <f t="shared" si="6"/>
        <v>4793.317826960546</v>
      </c>
      <c r="T9" s="22">
        <f t="shared" si="7"/>
        <v>4250.1166376248657</v>
      </c>
    </row>
    <row r="10" spans="1:20" x14ac:dyDescent="0.2">
      <c r="A10" s="5">
        <v>19</v>
      </c>
      <c r="B10" s="1">
        <f t="shared" si="8"/>
        <v>1.0768906249999999</v>
      </c>
      <c r="C10" s="5">
        <f t="shared" si="9"/>
        <v>82535.101435726174</v>
      </c>
      <c r="D10" s="5">
        <f t="shared" si="0"/>
        <v>79121.411262504145</v>
      </c>
      <c r="E10" s="5">
        <f t="shared" si="1"/>
        <v>69621.411262504145</v>
      </c>
      <c r="F10" s="5">
        <f t="shared" si="2"/>
        <v>26545.281903458017</v>
      </c>
      <c r="G10" s="5">
        <f t="shared" si="3"/>
        <v>52576.129359046128</v>
      </c>
      <c r="H10" s="22">
        <f t="shared" si="10"/>
        <v>36546.698454758771</v>
      </c>
      <c r="I10" s="5">
        <f t="shared" si="4"/>
        <v>87258.946192612202</v>
      </c>
      <c r="J10" s="26">
        <f t="shared" si="5"/>
        <v>0.22785589328248329</v>
      </c>
      <c r="L10" s="22">
        <f t="shared" si="11"/>
        <v>179063.46184548925</v>
      </c>
      <c r="M10" s="5">
        <f>scrimecost*Meta!O7</f>
        <v>3762.5640000000003</v>
      </c>
      <c r="N10" s="5">
        <f>L10-Grade9!L10</f>
        <v>6018.3217135836603</v>
      </c>
      <c r="O10" s="5">
        <f>Grade9!M10-M10</f>
        <v>77.505999999999858</v>
      </c>
      <c r="P10" s="22">
        <f t="shared" si="12"/>
        <v>426.19198547752075</v>
      </c>
      <c r="Q10" s="22"/>
      <c r="R10" s="22"/>
      <c r="S10" s="22">
        <f t="shared" si="6"/>
        <v>4917.5247948279839</v>
      </c>
      <c r="T10" s="22">
        <f t="shared" si="7"/>
        <v>4188.8941686151738</v>
      </c>
    </row>
    <row r="11" spans="1:20" x14ac:dyDescent="0.2">
      <c r="A11" s="5">
        <v>20</v>
      </c>
      <c r="B11" s="1">
        <f t="shared" si="8"/>
        <v>1.1038128906249998</v>
      </c>
      <c r="C11" s="5">
        <f t="shared" si="9"/>
        <v>84598.478971619319</v>
      </c>
      <c r="D11" s="5">
        <f t="shared" si="0"/>
        <v>81079.556544066741</v>
      </c>
      <c r="E11" s="5">
        <f t="shared" si="1"/>
        <v>71579.556544066741</v>
      </c>
      <c r="F11" s="5">
        <f t="shared" si="2"/>
        <v>27380.430866044466</v>
      </c>
      <c r="G11" s="5">
        <f t="shared" si="3"/>
        <v>53699.125678022276</v>
      </c>
      <c r="H11" s="22">
        <f t="shared" si="10"/>
        <v>37460.365916127732</v>
      </c>
      <c r="I11" s="5">
        <f t="shared" si="4"/>
        <v>89249.012932427489</v>
      </c>
      <c r="J11" s="26">
        <f t="shared" si="5"/>
        <v>0.22950831979897715</v>
      </c>
      <c r="L11" s="22">
        <f t="shared" si="11"/>
        <v>183540.04839162648</v>
      </c>
      <c r="M11" s="5">
        <f>scrimecost*Meta!O8</f>
        <v>3603.4320000000002</v>
      </c>
      <c r="N11" s="5">
        <f>L11-Grade9!L11</f>
        <v>6168.7797564232897</v>
      </c>
      <c r="O11" s="5">
        <f>Grade9!M11-M11</f>
        <v>74.228000000000065</v>
      </c>
      <c r="P11" s="22">
        <f t="shared" si="12"/>
        <v>438.10171309966671</v>
      </c>
      <c r="Q11" s="22"/>
      <c r="R11" s="22"/>
      <c r="S11" s="22">
        <f t="shared" si="6"/>
        <v>5036.5576427921278</v>
      </c>
      <c r="T11" s="22">
        <f t="shared" si="7"/>
        <v>4121.6854580637391</v>
      </c>
    </row>
    <row r="12" spans="1:20" x14ac:dyDescent="0.2">
      <c r="A12" s="5">
        <v>21</v>
      </c>
      <c r="B12" s="1">
        <f t="shared" si="8"/>
        <v>1.1314082128906247</v>
      </c>
      <c r="C12" s="5">
        <f t="shared" si="9"/>
        <v>86713.440945909781</v>
      </c>
      <c r="D12" s="5">
        <f t="shared" si="0"/>
        <v>83086.655457668385</v>
      </c>
      <c r="E12" s="5">
        <f t="shared" si="1"/>
        <v>73586.655457668385</v>
      </c>
      <c r="F12" s="5">
        <f t="shared" si="2"/>
        <v>28236.458552695567</v>
      </c>
      <c r="G12" s="5">
        <f t="shared" si="3"/>
        <v>54850.196904972821</v>
      </c>
      <c r="H12" s="22">
        <f t="shared" si="10"/>
        <v>38396.875064030923</v>
      </c>
      <c r="I12" s="5">
        <f t="shared" si="4"/>
        <v>91288.831340738165</v>
      </c>
      <c r="J12" s="26">
        <f t="shared" si="5"/>
        <v>0.23112044322970285</v>
      </c>
      <c r="L12" s="22">
        <f t="shared" si="11"/>
        <v>188128.54960141715</v>
      </c>
      <c r="M12" s="5">
        <f>scrimecost*Meta!O9</f>
        <v>3272.3519999999999</v>
      </c>
      <c r="N12" s="5">
        <f>L12-Grade9!L12</f>
        <v>6322.9992503339017</v>
      </c>
      <c r="O12" s="5">
        <f>Grade9!M12-M12</f>
        <v>67.408000000000357</v>
      </c>
      <c r="P12" s="22">
        <f t="shared" si="12"/>
        <v>450.30918391236639</v>
      </c>
      <c r="Q12" s="22"/>
      <c r="R12" s="22"/>
      <c r="S12" s="22">
        <f t="shared" si="6"/>
        <v>5155.1547026553681</v>
      </c>
      <c r="T12" s="22">
        <f t="shared" si="7"/>
        <v>4052.947213001923</v>
      </c>
    </row>
    <row r="13" spans="1:20" x14ac:dyDescent="0.2">
      <c r="A13" s="5">
        <v>22</v>
      </c>
      <c r="B13" s="1">
        <f t="shared" si="8"/>
        <v>1.1596934182128902</v>
      </c>
      <c r="C13" s="5">
        <f t="shared" si="9"/>
        <v>88881.276969557526</v>
      </c>
      <c r="D13" s="5">
        <f t="shared" si="0"/>
        <v>85143.931844110091</v>
      </c>
      <c r="E13" s="5">
        <f t="shared" si="1"/>
        <v>75643.931844110091</v>
      </c>
      <c r="F13" s="5">
        <f t="shared" si="2"/>
        <v>29113.886931512952</v>
      </c>
      <c r="G13" s="5">
        <f t="shared" si="3"/>
        <v>56030.044912597135</v>
      </c>
      <c r="H13" s="22">
        <f t="shared" si="10"/>
        <v>39356.796940631699</v>
      </c>
      <c r="I13" s="5">
        <f t="shared" si="4"/>
        <v>93379.645209256618</v>
      </c>
      <c r="J13" s="26">
        <f t="shared" si="5"/>
        <v>0.23269324657675222</v>
      </c>
      <c r="L13" s="22">
        <f t="shared" si="11"/>
        <v>192831.76334145255</v>
      </c>
      <c r="M13" s="5">
        <f>scrimecost*Meta!O10</f>
        <v>2998.944</v>
      </c>
      <c r="N13" s="5">
        <f>L13-Grade9!L13</f>
        <v>6481.0742315921816</v>
      </c>
      <c r="O13" s="5">
        <f>Grade9!M13-M13</f>
        <v>61.77599999999984</v>
      </c>
      <c r="P13" s="22">
        <f t="shared" si="12"/>
        <v>462.8218414953833</v>
      </c>
      <c r="Q13" s="22"/>
      <c r="R13" s="22"/>
      <c r="S13" s="22">
        <f t="shared" si="6"/>
        <v>5278.0561700151165</v>
      </c>
      <c r="T13" s="22">
        <f t="shared" si="7"/>
        <v>3986.4971677112289</v>
      </c>
    </row>
    <row r="14" spans="1:20" x14ac:dyDescent="0.2">
      <c r="A14" s="5">
        <v>23</v>
      </c>
      <c r="B14" s="1">
        <f t="shared" si="8"/>
        <v>1.1886857536682125</v>
      </c>
      <c r="C14" s="5">
        <f t="shared" si="9"/>
        <v>91103.308893796479</v>
      </c>
      <c r="D14" s="5">
        <f t="shared" si="0"/>
        <v>87252.640140212854</v>
      </c>
      <c r="E14" s="5">
        <f t="shared" si="1"/>
        <v>77752.640140212854</v>
      </c>
      <c r="F14" s="5">
        <f t="shared" si="2"/>
        <v>30013.251019800784</v>
      </c>
      <c r="G14" s="5">
        <f t="shared" si="3"/>
        <v>57239.389120412074</v>
      </c>
      <c r="H14" s="22">
        <f t="shared" si="10"/>
        <v>40340.716864147493</v>
      </c>
      <c r="I14" s="5">
        <f t="shared" si="4"/>
        <v>95522.729424488032</v>
      </c>
      <c r="J14" s="26">
        <f t="shared" si="5"/>
        <v>0.23422768886655659</v>
      </c>
      <c r="L14" s="22">
        <f t="shared" si="11"/>
        <v>197652.55742498886</v>
      </c>
      <c r="M14" s="5">
        <f>scrimecost*Meta!O11</f>
        <v>2802.4320000000002</v>
      </c>
      <c r="N14" s="5">
        <f>L14-Grade9!L14</f>
        <v>6643.1010873820051</v>
      </c>
      <c r="O14" s="5">
        <f>Grade9!M14-M14</f>
        <v>57.728000000000065</v>
      </c>
      <c r="P14" s="22">
        <f t="shared" si="12"/>
        <v>475.64731551797593</v>
      </c>
      <c r="Q14" s="22"/>
      <c r="R14" s="22"/>
      <c r="S14" s="22">
        <f t="shared" si="6"/>
        <v>5405.7308268589231</v>
      </c>
      <c r="T14" s="22">
        <f t="shared" si="7"/>
        <v>3922.4740238570021</v>
      </c>
    </row>
    <row r="15" spans="1:20" x14ac:dyDescent="0.2">
      <c r="A15" s="5">
        <v>24</v>
      </c>
      <c r="B15" s="1">
        <f t="shared" si="8"/>
        <v>1.2184028975099177</v>
      </c>
      <c r="C15" s="5">
        <f t="shared" si="9"/>
        <v>93380.891616141365</v>
      </c>
      <c r="D15" s="5">
        <f t="shared" si="0"/>
        <v>89414.066143718155</v>
      </c>
      <c r="E15" s="5">
        <f t="shared" si="1"/>
        <v>79914.066143718155</v>
      </c>
      <c r="F15" s="5">
        <f t="shared" si="2"/>
        <v>30935.099210295793</v>
      </c>
      <c r="G15" s="5">
        <f t="shared" si="3"/>
        <v>58478.966933422358</v>
      </c>
      <c r="H15" s="22">
        <f t="shared" si="10"/>
        <v>41349.23478575117</v>
      </c>
      <c r="I15" s="5">
        <f t="shared" si="4"/>
        <v>97719.390745100216</v>
      </c>
      <c r="J15" s="26">
        <f t="shared" si="5"/>
        <v>0.23572470573465837</v>
      </c>
      <c r="L15" s="22">
        <f t="shared" si="11"/>
        <v>202593.87136061359</v>
      </c>
      <c r="M15" s="5">
        <f>scrimecost*Meta!O12</f>
        <v>2677.4760000000001</v>
      </c>
      <c r="N15" s="5">
        <f>L15-Grade9!L15</f>
        <v>6809.1786145665974</v>
      </c>
      <c r="O15" s="5">
        <f>Grade9!M15-M15</f>
        <v>55.153999999999996</v>
      </c>
      <c r="P15" s="22">
        <f t="shared" si="12"/>
        <v>488.79342639113327</v>
      </c>
      <c r="Q15" s="22"/>
      <c r="R15" s="22"/>
      <c r="S15" s="22">
        <f t="shared" si="6"/>
        <v>5538.1504973238434</v>
      </c>
      <c r="T15" s="22">
        <f t="shared" si="7"/>
        <v>3860.633904649038</v>
      </c>
    </row>
    <row r="16" spans="1:20" x14ac:dyDescent="0.2">
      <c r="A16" s="5">
        <v>25</v>
      </c>
      <c r="B16" s="1">
        <f t="shared" si="8"/>
        <v>1.2488629699476654</v>
      </c>
      <c r="C16" s="5">
        <f t="shared" si="9"/>
        <v>95715.413906544884</v>
      </c>
      <c r="D16" s="5">
        <f t="shared" si="0"/>
        <v>91629.527797311093</v>
      </c>
      <c r="E16" s="5">
        <f t="shared" si="1"/>
        <v>82129.527797311093</v>
      </c>
      <c r="F16" s="5">
        <f t="shared" si="2"/>
        <v>31879.99360555318</v>
      </c>
      <c r="G16" s="5">
        <f t="shared" si="3"/>
        <v>59749.534191757914</v>
      </c>
      <c r="H16" s="22">
        <f t="shared" si="10"/>
        <v>42382.965655394946</v>
      </c>
      <c r="I16" s="5">
        <f t="shared" si="4"/>
        <v>99970.968598727719</v>
      </c>
      <c r="J16" s="26">
        <f t="shared" si="5"/>
        <v>0.23718520999622111</v>
      </c>
      <c r="L16" s="22">
        <f t="shared" si="11"/>
        <v>207658.71814462886</v>
      </c>
      <c r="M16" s="5">
        <f>scrimecost*Meta!O13</f>
        <v>2248.14</v>
      </c>
      <c r="N16" s="5">
        <f>L16-Grade9!L16</f>
        <v>6979.4080799306976</v>
      </c>
      <c r="O16" s="5">
        <f>Grade9!M16-M16</f>
        <v>46.309999999999945</v>
      </c>
      <c r="P16" s="22">
        <f t="shared" si="12"/>
        <v>502.26819003611945</v>
      </c>
      <c r="Q16" s="22"/>
      <c r="R16" s="22"/>
      <c r="S16" s="22">
        <f t="shared" si="6"/>
        <v>5667.761888650306</v>
      </c>
      <c r="T16" s="22">
        <f t="shared" si="7"/>
        <v>3795.7156548776111</v>
      </c>
    </row>
    <row r="17" spans="1:20" x14ac:dyDescent="0.2">
      <c r="A17" s="5">
        <v>26</v>
      </c>
      <c r="B17" s="1">
        <f t="shared" si="8"/>
        <v>1.2800845441963571</v>
      </c>
      <c r="C17" s="5">
        <f t="shared" si="9"/>
        <v>98108.299254208512</v>
      </c>
      <c r="D17" s="5">
        <f t="shared" si="0"/>
        <v>93900.375992243877</v>
      </c>
      <c r="E17" s="5">
        <f t="shared" si="1"/>
        <v>84400.375992243877</v>
      </c>
      <c r="F17" s="5">
        <f t="shared" si="2"/>
        <v>32872.52164045933</v>
      </c>
      <c r="G17" s="5">
        <f t="shared" si="3"/>
        <v>61027.854351784546</v>
      </c>
      <c r="H17" s="22">
        <f t="shared" si="10"/>
        <v>43442.53979677982</v>
      </c>
      <c r="I17" s="5">
        <f t="shared" si="4"/>
        <v>102254.8246189286</v>
      </c>
      <c r="J17" s="26">
        <f t="shared" si="5"/>
        <v>0.23878883833252934</v>
      </c>
      <c r="L17" s="22">
        <f t="shared" si="11"/>
        <v>212850.18609824459</v>
      </c>
      <c r="M17" s="5">
        <f>scrimecost*Meta!O14</f>
        <v>2248.14</v>
      </c>
      <c r="N17" s="5">
        <f>L17-Grade9!L17</f>
        <v>7153.8932819289912</v>
      </c>
      <c r="O17" s="5">
        <f>Grade9!M17-M17</f>
        <v>46.309999999999945</v>
      </c>
      <c r="P17" s="22">
        <f t="shared" si="12"/>
        <v>516.42223809536313</v>
      </c>
      <c r="Q17" s="22"/>
      <c r="R17" s="22"/>
      <c r="S17" s="22">
        <f t="shared" si="6"/>
        <v>5809.8893748686069</v>
      </c>
      <c r="T17" s="22">
        <f t="shared" si="7"/>
        <v>3737.9900847906501</v>
      </c>
    </row>
    <row r="18" spans="1:20" x14ac:dyDescent="0.2">
      <c r="A18" s="5">
        <v>27</v>
      </c>
      <c r="B18" s="1">
        <f t="shared" si="8"/>
        <v>1.312086657801266</v>
      </c>
      <c r="C18" s="5">
        <f t="shared" si="9"/>
        <v>100561.00673556373</v>
      </c>
      <c r="D18" s="5">
        <f t="shared" si="0"/>
        <v>96227.995392049983</v>
      </c>
      <c r="E18" s="5">
        <f t="shared" si="1"/>
        <v>86727.995392049983</v>
      </c>
      <c r="F18" s="5">
        <f t="shared" si="2"/>
        <v>33935.079896470816</v>
      </c>
      <c r="G18" s="5">
        <f t="shared" si="3"/>
        <v>62292.915495579167</v>
      </c>
      <c r="H18" s="22">
        <f t="shared" si="10"/>
        <v>44528.603291699314</v>
      </c>
      <c r="I18" s="5">
        <f t="shared" si="4"/>
        <v>104550.5600194018</v>
      </c>
      <c r="J18" s="26">
        <f t="shared" si="5"/>
        <v>0.24068175095830274</v>
      </c>
      <c r="L18" s="22">
        <f t="shared" si="11"/>
        <v>218171.44075070071</v>
      </c>
      <c r="M18" s="5">
        <f>scrimecost*Meta!O15</f>
        <v>2248.14</v>
      </c>
      <c r="N18" s="5">
        <f>L18-Grade9!L18</f>
        <v>7332.7406139772211</v>
      </c>
      <c r="O18" s="5">
        <f>Grade9!M18-M18</f>
        <v>46.309999999999945</v>
      </c>
      <c r="P18" s="22">
        <f t="shared" si="12"/>
        <v>531.5749593207687</v>
      </c>
      <c r="Q18" s="22"/>
      <c r="R18" s="22"/>
      <c r="S18" s="22">
        <f t="shared" si="6"/>
        <v>5956.2058426995245</v>
      </c>
      <c r="T18" s="22">
        <f t="shared" si="7"/>
        <v>3681.5286762611145</v>
      </c>
    </row>
    <row r="19" spans="1:20" x14ac:dyDescent="0.2">
      <c r="A19" s="5">
        <v>28</v>
      </c>
      <c r="B19" s="1">
        <f t="shared" si="8"/>
        <v>1.3448888242462975</v>
      </c>
      <c r="C19" s="5">
        <f t="shared" si="9"/>
        <v>103075.03190395281</v>
      </c>
      <c r="D19" s="5">
        <f t="shared" si="0"/>
        <v>98613.805276851213</v>
      </c>
      <c r="E19" s="5">
        <f t="shared" si="1"/>
        <v>89113.805276851213</v>
      </c>
      <c r="F19" s="5">
        <f t="shared" si="2"/>
        <v>35024.202108882579</v>
      </c>
      <c r="G19" s="5">
        <f t="shared" si="3"/>
        <v>63589.603167968635</v>
      </c>
      <c r="H19" s="22">
        <f t="shared" si="10"/>
        <v>45641.818373991795</v>
      </c>
      <c r="I19" s="5">
        <f t="shared" si="4"/>
        <v>106903.68880488686</v>
      </c>
      <c r="J19" s="26">
        <f t="shared" si="5"/>
        <v>0.2425284949834475</v>
      </c>
      <c r="L19" s="22">
        <f t="shared" si="11"/>
        <v>223625.72676946822</v>
      </c>
      <c r="M19" s="5">
        <f>scrimecost*Meta!O16</f>
        <v>2248.14</v>
      </c>
      <c r="N19" s="5">
        <f>L19-Grade9!L19</f>
        <v>7516.0591293266334</v>
      </c>
      <c r="O19" s="5">
        <f>Grade9!M19-M19</f>
        <v>46.309999999999945</v>
      </c>
      <c r="P19" s="22">
        <f t="shared" si="12"/>
        <v>547.10649857680949</v>
      </c>
      <c r="Q19" s="22"/>
      <c r="R19" s="22"/>
      <c r="S19" s="22">
        <f t="shared" si="6"/>
        <v>6106.1802222261995</v>
      </c>
      <c r="T19" s="22">
        <f t="shared" si="7"/>
        <v>3625.9041133771875</v>
      </c>
    </row>
    <row r="20" spans="1:20" x14ac:dyDescent="0.2">
      <c r="A20" s="5">
        <v>29</v>
      </c>
      <c r="B20" s="1">
        <f t="shared" si="8"/>
        <v>1.3785110448524549</v>
      </c>
      <c r="C20" s="5">
        <f t="shared" si="9"/>
        <v>105651.90770155162</v>
      </c>
      <c r="D20" s="5">
        <f t="shared" si="0"/>
        <v>101059.26040877249</v>
      </c>
      <c r="E20" s="5">
        <f t="shared" si="1"/>
        <v>91559.26040877249</v>
      </c>
      <c r="F20" s="5">
        <f t="shared" si="2"/>
        <v>36140.552376604639</v>
      </c>
      <c r="G20" s="5">
        <f t="shared" si="3"/>
        <v>64918.708032167851</v>
      </c>
      <c r="H20" s="22">
        <f t="shared" si="10"/>
        <v>46782.863833341587</v>
      </c>
      <c r="I20" s="5">
        <f t="shared" si="4"/>
        <v>109315.64581000901</v>
      </c>
      <c r="J20" s="26">
        <f t="shared" si="5"/>
        <v>0.24433019647139362</v>
      </c>
      <c r="L20" s="22">
        <f t="shared" si="11"/>
        <v>229216.36993870491</v>
      </c>
      <c r="M20" s="5">
        <f>scrimecost*Meta!O17</f>
        <v>2248.14</v>
      </c>
      <c r="N20" s="5">
        <f>L20-Grade9!L20</f>
        <v>7703.9606075598276</v>
      </c>
      <c r="O20" s="5">
        <f>Grade9!M20-M20</f>
        <v>46.309999999999945</v>
      </c>
      <c r="P20" s="22">
        <f t="shared" si="12"/>
        <v>563.02632631425126</v>
      </c>
      <c r="Q20" s="22"/>
      <c r="R20" s="22"/>
      <c r="S20" s="22">
        <f t="shared" si="6"/>
        <v>6259.9039612410752</v>
      </c>
      <c r="T20" s="22">
        <f t="shared" si="7"/>
        <v>3571.104628530532</v>
      </c>
    </row>
    <row r="21" spans="1:20" x14ac:dyDescent="0.2">
      <c r="A21" s="5">
        <v>30</v>
      </c>
      <c r="B21" s="1">
        <f t="shared" si="8"/>
        <v>1.4129738209737661</v>
      </c>
      <c r="C21" s="5">
        <f t="shared" si="9"/>
        <v>108293.20539409042</v>
      </c>
      <c r="D21" s="5">
        <f t="shared" si="0"/>
        <v>103565.8519189918</v>
      </c>
      <c r="E21" s="5">
        <f t="shared" si="1"/>
        <v>94065.851918991801</v>
      </c>
      <c r="F21" s="5">
        <f t="shared" si="2"/>
        <v>37284.811401019753</v>
      </c>
      <c r="G21" s="5">
        <f t="shared" si="3"/>
        <v>66281.040517972055</v>
      </c>
      <c r="H21" s="22">
        <f t="shared" si="10"/>
        <v>47952.435429175122</v>
      </c>
      <c r="I21" s="5">
        <f t="shared" si="4"/>
        <v>111787.90174025924</v>
      </c>
      <c r="J21" s="26">
        <f t="shared" si="5"/>
        <v>0.24608795402060935</v>
      </c>
      <c r="L21" s="22">
        <f t="shared" si="11"/>
        <v>234946.77918717251</v>
      </c>
      <c r="M21" s="5">
        <f>scrimecost*Meta!O18</f>
        <v>1812.396</v>
      </c>
      <c r="N21" s="5">
        <f>L21-Grade9!L21</f>
        <v>7896.5596227487549</v>
      </c>
      <c r="O21" s="5">
        <f>Grade9!M21-M21</f>
        <v>37.33400000000006</v>
      </c>
      <c r="P21" s="22">
        <f t="shared" si="12"/>
        <v>579.34414974512902</v>
      </c>
      <c r="Q21" s="22"/>
      <c r="R21" s="22"/>
      <c r="S21" s="22">
        <f t="shared" si="6"/>
        <v>6408.6204577312492</v>
      </c>
      <c r="T21" s="22">
        <f t="shared" si="7"/>
        <v>3512.2681344633252</v>
      </c>
    </row>
    <row r="22" spans="1:20" x14ac:dyDescent="0.2">
      <c r="A22" s="5">
        <v>31</v>
      </c>
      <c r="B22" s="1">
        <f t="shared" si="8"/>
        <v>1.4482981664981105</v>
      </c>
      <c r="C22" s="5">
        <f t="shared" si="9"/>
        <v>111000.5355289427</v>
      </c>
      <c r="D22" s="5">
        <f t="shared" si="0"/>
        <v>106135.10821696662</v>
      </c>
      <c r="E22" s="5">
        <f t="shared" si="1"/>
        <v>96635.108216966619</v>
      </c>
      <c r="F22" s="5">
        <f t="shared" si="2"/>
        <v>38457.676901045263</v>
      </c>
      <c r="G22" s="5">
        <f t="shared" si="3"/>
        <v>67677.431315921363</v>
      </c>
      <c r="H22" s="22">
        <f t="shared" si="10"/>
        <v>49151.246314904507</v>
      </c>
      <c r="I22" s="5">
        <f t="shared" si="4"/>
        <v>114321.96406876574</v>
      </c>
      <c r="J22" s="26">
        <f t="shared" si="5"/>
        <v>0.24780283943447845</v>
      </c>
      <c r="L22" s="22">
        <f t="shared" si="11"/>
        <v>240820.44866685185</v>
      </c>
      <c r="M22" s="5">
        <f>scrimecost*Meta!O19</f>
        <v>1812.396</v>
      </c>
      <c r="N22" s="5">
        <f>L22-Grade9!L22</f>
        <v>8093.973613317532</v>
      </c>
      <c r="O22" s="5">
        <f>Grade9!M22-M22</f>
        <v>37.33400000000006</v>
      </c>
      <c r="P22" s="22">
        <f t="shared" si="12"/>
        <v>596.06991876177904</v>
      </c>
      <c r="Q22" s="22"/>
      <c r="R22" s="22"/>
      <c r="S22" s="22">
        <f t="shared" si="6"/>
        <v>6570.126461033773</v>
      </c>
      <c r="T22" s="22">
        <f t="shared" si="7"/>
        <v>3459.2746797488985</v>
      </c>
    </row>
    <row r="23" spans="1:20" x14ac:dyDescent="0.2">
      <c r="A23" s="5">
        <v>32</v>
      </c>
      <c r="B23" s="1">
        <f t="shared" si="8"/>
        <v>1.4845056206605631</v>
      </c>
      <c r="C23" s="5">
        <f t="shared" si="9"/>
        <v>113775.54891716623</v>
      </c>
      <c r="D23" s="5">
        <f t="shared" si="0"/>
        <v>108768.59592239076</v>
      </c>
      <c r="E23" s="5">
        <f t="shared" si="1"/>
        <v>99268.595922390756</v>
      </c>
      <c r="F23" s="5">
        <f t="shared" si="2"/>
        <v>39537.811091383148</v>
      </c>
      <c r="G23" s="5">
        <f t="shared" si="3"/>
        <v>69230.784831007608</v>
      </c>
      <c r="H23" s="22">
        <f t="shared" si="10"/>
        <v>50380.027472777118</v>
      </c>
      <c r="I23" s="5">
        <f t="shared" si="4"/>
        <v>117041.43090267309</v>
      </c>
      <c r="J23" s="26">
        <f t="shared" si="5"/>
        <v>0.2486924210750017</v>
      </c>
      <c r="L23" s="22">
        <f t="shared" si="11"/>
        <v>246840.95988352312</v>
      </c>
      <c r="M23" s="5">
        <f>scrimecost*Meta!O20</f>
        <v>1812.396</v>
      </c>
      <c r="N23" s="5">
        <f>L23-Grade9!L23</f>
        <v>8296.322953650495</v>
      </c>
      <c r="O23" s="5">
        <f>Grade9!M23-M23</f>
        <v>37.33400000000006</v>
      </c>
      <c r="P23" s="22">
        <f t="shared" si="12"/>
        <v>611.47328340519709</v>
      </c>
      <c r="Q23" s="22"/>
      <c r="R23" s="22"/>
      <c r="S23" s="22">
        <f t="shared" si="6"/>
        <v>6733.9539335005684</v>
      </c>
      <c r="T23" s="22">
        <f t="shared" si="7"/>
        <v>3406.1962594273032</v>
      </c>
    </row>
    <row r="24" spans="1:20" x14ac:dyDescent="0.2">
      <c r="A24" s="5">
        <v>33</v>
      </c>
      <c r="B24" s="1">
        <f t="shared" si="8"/>
        <v>1.521618261177077</v>
      </c>
      <c r="C24" s="5">
        <f t="shared" si="9"/>
        <v>116619.93764009539</v>
      </c>
      <c r="D24" s="5">
        <f t="shared" si="0"/>
        <v>111467.92082045053</v>
      </c>
      <c r="E24" s="5">
        <f t="shared" si="1"/>
        <v>101967.92082045053</v>
      </c>
      <c r="F24" s="5">
        <f t="shared" si="2"/>
        <v>40602.694763667736</v>
      </c>
      <c r="G24" s="5">
        <f t="shared" si="3"/>
        <v>70865.226056782791</v>
      </c>
      <c r="H24" s="22">
        <f t="shared" si="10"/>
        <v>51639.528159596543</v>
      </c>
      <c r="I24" s="5">
        <f t="shared" si="4"/>
        <v>119871.13828023992</v>
      </c>
      <c r="J24" s="26">
        <f t="shared" si="5"/>
        <v>0.2492956867372258</v>
      </c>
      <c r="L24" s="22">
        <f t="shared" si="11"/>
        <v>253011.98388061117</v>
      </c>
      <c r="M24" s="5">
        <f>scrimecost*Meta!O21</f>
        <v>1812.396</v>
      </c>
      <c r="N24" s="5">
        <f>L24-Grade9!L24</f>
        <v>8503.7310274916817</v>
      </c>
      <c r="O24" s="5">
        <f>Grade9!M24-M24</f>
        <v>37.33400000000006</v>
      </c>
      <c r="P24" s="22">
        <f t="shared" si="12"/>
        <v>626.65916646838434</v>
      </c>
      <c r="Q24" s="22"/>
      <c r="R24" s="22"/>
      <c r="S24" s="22">
        <f t="shared" si="6"/>
        <v>6901.2829630023916</v>
      </c>
      <c r="T24" s="22">
        <f t="shared" si="7"/>
        <v>3353.6487071315851</v>
      </c>
    </row>
    <row r="25" spans="1:20" x14ac:dyDescent="0.2">
      <c r="A25" s="5">
        <v>34</v>
      </c>
      <c r="B25" s="1">
        <f t="shared" si="8"/>
        <v>1.559658717706504</v>
      </c>
      <c r="C25" s="5">
        <f t="shared" si="9"/>
        <v>119535.43608109778</v>
      </c>
      <c r="D25" s="5">
        <f t="shared" si="0"/>
        <v>114234.72884096179</v>
      </c>
      <c r="E25" s="5">
        <f t="shared" si="1"/>
        <v>104734.72884096179</v>
      </c>
      <c r="F25" s="5">
        <f t="shared" si="2"/>
        <v>41694.200527759422</v>
      </c>
      <c r="G25" s="5">
        <f t="shared" si="3"/>
        <v>72540.528313202376</v>
      </c>
      <c r="H25" s="22">
        <f t="shared" si="10"/>
        <v>52930.516363586445</v>
      </c>
      <c r="I25" s="5">
        <f t="shared" si="4"/>
        <v>122771.5883422459</v>
      </c>
      <c r="J25" s="26">
        <f t="shared" si="5"/>
        <v>0.24988423860281023</v>
      </c>
      <c r="L25" s="22">
        <f t="shared" si="11"/>
        <v>259337.28347762645</v>
      </c>
      <c r="M25" s="5">
        <f>scrimecost*Meta!O22</f>
        <v>1812.396</v>
      </c>
      <c r="N25" s="5">
        <f>L25-Grade9!L25</f>
        <v>8716.3243031789898</v>
      </c>
      <c r="O25" s="5">
        <f>Grade9!M25-M25</f>
        <v>37.33400000000006</v>
      </c>
      <c r="P25" s="22">
        <f t="shared" si="12"/>
        <v>642.22469660815125</v>
      </c>
      <c r="Q25" s="22"/>
      <c r="R25" s="22"/>
      <c r="S25" s="22">
        <f t="shared" si="6"/>
        <v>7072.7952182418276</v>
      </c>
      <c r="T25" s="22">
        <f t="shared" si="7"/>
        <v>3301.9236388524951</v>
      </c>
    </row>
    <row r="26" spans="1:20" x14ac:dyDescent="0.2">
      <c r="A26" s="5">
        <v>35</v>
      </c>
      <c r="B26" s="1">
        <f t="shared" si="8"/>
        <v>1.5986501856491666</v>
      </c>
      <c r="C26" s="5">
        <f t="shared" si="9"/>
        <v>122523.82198312522</v>
      </c>
      <c r="D26" s="5">
        <f t="shared" si="0"/>
        <v>117070.70706198583</v>
      </c>
      <c r="E26" s="5">
        <f t="shared" si="1"/>
        <v>107570.70706198583</v>
      </c>
      <c r="F26" s="5">
        <f t="shared" si="2"/>
        <v>42812.993935953411</v>
      </c>
      <c r="G26" s="5">
        <f t="shared" si="3"/>
        <v>74257.713126032409</v>
      </c>
      <c r="H26" s="22">
        <f t="shared" si="10"/>
        <v>54253.779272676111</v>
      </c>
      <c r="I26" s="5">
        <f t="shared" si="4"/>
        <v>125744.54965580204</v>
      </c>
      <c r="J26" s="26">
        <f t="shared" si="5"/>
        <v>0.25045843554484382</v>
      </c>
      <c r="L26" s="22">
        <f t="shared" si="11"/>
        <v>265820.71556456713</v>
      </c>
      <c r="M26" s="5">
        <f>scrimecost*Meta!O23</f>
        <v>1406.556</v>
      </c>
      <c r="N26" s="5">
        <f>L26-Grade9!L26</f>
        <v>8934.2324107585009</v>
      </c>
      <c r="O26" s="5">
        <f>Grade9!M26-M26</f>
        <v>28.973999999999933</v>
      </c>
      <c r="P26" s="22">
        <f t="shared" si="12"/>
        <v>658.17936500141218</v>
      </c>
      <c r="Q26" s="22"/>
      <c r="R26" s="22"/>
      <c r="S26" s="22">
        <f t="shared" si="6"/>
        <v>7240.3523198622643</v>
      </c>
      <c r="T26" s="22">
        <f t="shared" si="7"/>
        <v>3247.3107383333904</v>
      </c>
    </row>
    <row r="27" spans="1:20" x14ac:dyDescent="0.2">
      <c r="A27" s="5">
        <v>36</v>
      </c>
      <c r="B27" s="1">
        <f t="shared" si="8"/>
        <v>1.6386164402903955</v>
      </c>
      <c r="C27" s="5">
        <f t="shared" si="9"/>
        <v>125586.91753270334</v>
      </c>
      <c r="D27" s="5">
        <f t="shared" si="0"/>
        <v>119977.58473853547</v>
      </c>
      <c r="E27" s="5">
        <f t="shared" si="1"/>
        <v>110477.58473853547</v>
      </c>
      <c r="F27" s="5">
        <f t="shared" si="2"/>
        <v>43959.757179352244</v>
      </c>
      <c r="G27" s="5">
        <f t="shared" si="3"/>
        <v>76017.827559183235</v>
      </c>
      <c r="H27" s="22">
        <f t="shared" si="10"/>
        <v>55610.123754493005</v>
      </c>
      <c r="I27" s="5">
        <f t="shared" si="4"/>
        <v>128791.8350021971</v>
      </c>
      <c r="J27" s="26">
        <f t="shared" si="5"/>
        <v>0.25101862768341326</v>
      </c>
      <c r="L27" s="22">
        <f t="shared" si="11"/>
        <v>272466.23345368129</v>
      </c>
      <c r="M27" s="5">
        <f>scrimecost*Meta!O24</f>
        <v>1406.556</v>
      </c>
      <c r="N27" s="5">
        <f>L27-Grade9!L27</f>
        <v>9157.5882210275158</v>
      </c>
      <c r="O27" s="5">
        <f>Grade9!M27-M27</f>
        <v>28.973999999999933</v>
      </c>
      <c r="P27" s="22">
        <f t="shared" si="12"/>
        <v>674.53290010450473</v>
      </c>
      <c r="Q27" s="22"/>
      <c r="R27" s="22"/>
      <c r="S27" s="22">
        <f t="shared" si="6"/>
        <v>7420.547383023224</v>
      </c>
      <c r="T27" s="22">
        <f t="shared" si="7"/>
        <v>3197.3361572839744</v>
      </c>
    </row>
    <row r="28" spans="1:20" x14ac:dyDescent="0.2">
      <c r="A28" s="5">
        <v>37</v>
      </c>
      <c r="B28" s="1">
        <f t="shared" si="8"/>
        <v>1.6795818512976552</v>
      </c>
      <c r="C28" s="5">
        <f t="shared" si="9"/>
        <v>128726.5904710209</v>
      </c>
      <c r="D28" s="5">
        <f t="shared" si="0"/>
        <v>122957.13435699884</v>
      </c>
      <c r="E28" s="5">
        <f t="shared" si="1"/>
        <v>113457.13435699884</v>
      </c>
      <c r="F28" s="5">
        <f t="shared" si="2"/>
        <v>45135.189503836038</v>
      </c>
      <c r="G28" s="5">
        <f t="shared" si="3"/>
        <v>77821.9448531628</v>
      </c>
      <c r="H28" s="22">
        <f t="shared" si="10"/>
        <v>57000.376848355321</v>
      </c>
      <c r="I28" s="5">
        <f t="shared" si="4"/>
        <v>131915.30248225201</v>
      </c>
      <c r="J28" s="26">
        <f t="shared" si="5"/>
        <v>0.25156515659909068</v>
      </c>
      <c r="L28" s="22">
        <f t="shared" si="11"/>
        <v>279277.88929002325</v>
      </c>
      <c r="M28" s="5">
        <f>scrimecost*Meta!O25</f>
        <v>1406.556</v>
      </c>
      <c r="N28" s="5">
        <f>L28-Grade9!L28</f>
        <v>9386.5279265531572</v>
      </c>
      <c r="O28" s="5">
        <f>Grade9!M28-M28</f>
        <v>28.973999999999933</v>
      </c>
      <c r="P28" s="22">
        <f t="shared" si="12"/>
        <v>691.29527358517441</v>
      </c>
      <c r="Q28" s="22"/>
      <c r="R28" s="22"/>
      <c r="S28" s="22">
        <f t="shared" si="6"/>
        <v>7605.2473227631344</v>
      </c>
      <c r="T28" s="22">
        <f t="shared" si="7"/>
        <v>3148.1390447141202</v>
      </c>
    </row>
    <row r="29" spans="1:20" x14ac:dyDescent="0.2">
      <c r="A29" s="5">
        <v>38</v>
      </c>
      <c r="B29" s="1">
        <f t="shared" si="8"/>
        <v>1.7215713975800966</v>
      </c>
      <c r="C29" s="5">
        <f t="shared" si="9"/>
        <v>131944.75523279642</v>
      </c>
      <c r="D29" s="5">
        <f t="shared" si="0"/>
        <v>126011.17271592381</v>
      </c>
      <c r="E29" s="5">
        <f t="shared" si="1"/>
        <v>116511.17271592381</v>
      </c>
      <c r="F29" s="5">
        <f t="shared" si="2"/>
        <v>46340.007636431939</v>
      </c>
      <c r="G29" s="5">
        <f t="shared" si="3"/>
        <v>79671.165079491868</v>
      </c>
      <c r="H29" s="22">
        <f t="shared" si="10"/>
        <v>58425.386269564209</v>
      </c>
      <c r="I29" s="5">
        <f t="shared" si="4"/>
        <v>135116.85664930829</v>
      </c>
      <c r="J29" s="26">
        <f t="shared" si="5"/>
        <v>0.25209835554121496</v>
      </c>
      <c r="L29" s="22">
        <f t="shared" si="11"/>
        <v>286259.83652227384</v>
      </c>
      <c r="M29" s="5">
        <f>scrimecost*Meta!O26</f>
        <v>1406.556</v>
      </c>
      <c r="N29" s="5">
        <f>L29-Grade9!L29</f>
        <v>9621.1911247169483</v>
      </c>
      <c r="O29" s="5">
        <f>Grade9!M29-M29</f>
        <v>28.973999999999933</v>
      </c>
      <c r="P29" s="22">
        <f t="shared" si="12"/>
        <v>708.47670640286105</v>
      </c>
      <c r="Q29" s="22"/>
      <c r="R29" s="22"/>
      <c r="S29" s="22">
        <f t="shared" si="6"/>
        <v>7794.564760996549</v>
      </c>
      <c r="T29" s="22">
        <f t="shared" si="7"/>
        <v>3099.7069781879136</v>
      </c>
    </row>
    <row r="30" spans="1:20" x14ac:dyDescent="0.2">
      <c r="A30" s="5">
        <v>39</v>
      </c>
      <c r="B30" s="1">
        <f t="shared" si="8"/>
        <v>1.7646106825195991</v>
      </c>
      <c r="C30" s="5">
        <f t="shared" si="9"/>
        <v>135243.37411361633</v>
      </c>
      <c r="D30" s="5">
        <f t="shared" si="0"/>
        <v>129141.5620338219</v>
      </c>
      <c r="E30" s="5">
        <f t="shared" si="1"/>
        <v>119641.5620338219</v>
      </c>
      <c r="F30" s="5">
        <f t="shared" si="2"/>
        <v>47574.94622234274</v>
      </c>
      <c r="G30" s="5">
        <f t="shared" si="3"/>
        <v>81566.615811479161</v>
      </c>
      <c r="H30" s="22">
        <f t="shared" si="10"/>
        <v>59886.020926303318</v>
      </c>
      <c r="I30" s="5">
        <f t="shared" si="4"/>
        <v>138398.44967054101</v>
      </c>
      <c r="J30" s="26">
        <f t="shared" si="5"/>
        <v>0.25261854963109237</v>
      </c>
      <c r="L30" s="22">
        <f t="shared" si="11"/>
        <v>293416.33243533073</v>
      </c>
      <c r="M30" s="5">
        <f>scrimecost*Meta!O27</f>
        <v>1406.556</v>
      </c>
      <c r="N30" s="5">
        <f>L30-Grade9!L30</f>
        <v>9861.7209028349025</v>
      </c>
      <c r="O30" s="5">
        <f>Grade9!M30-M30</f>
        <v>28.973999999999933</v>
      </c>
      <c r="P30" s="22">
        <f t="shared" si="12"/>
        <v>726.08767504098989</v>
      </c>
      <c r="Q30" s="22"/>
      <c r="R30" s="22"/>
      <c r="S30" s="22">
        <f t="shared" si="6"/>
        <v>7988.6151351858507</v>
      </c>
      <c r="T30" s="22">
        <f t="shared" si="7"/>
        <v>3052.0277463843468</v>
      </c>
    </row>
    <row r="31" spans="1:20" x14ac:dyDescent="0.2">
      <c r="A31" s="5">
        <v>40</v>
      </c>
      <c r="B31" s="1">
        <f t="shared" si="8"/>
        <v>1.8087259495825889</v>
      </c>
      <c r="C31" s="5">
        <f t="shared" si="9"/>
        <v>138624.45846645674</v>
      </c>
      <c r="D31" s="5">
        <f t="shared" si="0"/>
        <v>132350.21108466745</v>
      </c>
      <c r="E31" s="5">
        <f t="shared" si="1"/>
        <v>122850.21108466745</v>
      </c>
      <c r="F31" s="5">
        <f t="shared" si="2"/>
        <v>48840.758272901308</v>
      </c>
      <c r="G31" s="5">
        <f t="shared" si="3"/>
        <v>83509.452811766139</v>
      </c>
      <c r="H31" s="22">
        <f t="shared" si="10"/>
        <v>61383.17144946089</v>
      </c>
      <c r="I31" s="5">
        <f t="shared" si="4"/>
        <v>141762.08251730452</v>
      </c>
      <c r="J31" s="26">
        <f t="shared" si="5"/>
        <v>0.25312605606024102</v>
      </c>
      <c r="L31" s="22">
        <f t="shared" si="11"/>
        <v>300751.74074621394</v>
      </c>
      <c r="M31" s="5">
        <f>scrimecost*Meta!O28</f>
        <v>1230.336</v>
      </c>
      <c r="N31" s="5">
        <f>L31-Grade9!L31</f>
        <v>10108.263925405801</v>
      </c>
      <c r="O31" s="5">
        <f>Grade9!M31-M31</f>
        <v>25.343999999999824</v>
      </c>
      <c r="P31" s="22">
        <f t="shared" si="12"/>
        <v>744.1389178950717</v>
      </c>
      <c r="Q31" s="22"/>
      <c r="R31" s="22"/>
      <c r="S31" s="22">
        <f t="shared" si="6"/>
        <v>8183.9375887298793</v>
      </c>
      <c r="T31" s="22">
        <f t="shared" si="7"/>
        <v>3003.7756676420554</v>
      </c>
    </row>
    <row r="32" spans="1:20" x14ac:dyDescent="0.2">
      <c r="A32" s="5">
        <v>41</v>
      </c>
      <c r="B32" s="1">
        <f t="shared" si="8"/>
        <v>1.8539440983221533</v>
      </c>
      <c r="C32" s="5">
        <f t="shared" si="9"/>
        <v>142090.06992811814</v>
      </c>
      <c r="D32" s="5">
        <f t="shared" si="0"/>
        <v>135639.07636178413</v>
      </c>
      <c r="E32" s="5">
        <f t="shared" si="1"/>
        <v>126139.07636178413</v>
      </c>
      <c r="F32" s="5">
        <f t="shared" si="2"/>
        <v>50138.215624723838</v>
      </c>
      <c r="G32" s="5">
        <f t="shared" si="3"/>
        <v>85500.860737060284</v>
      </c>
      <c r="H32" s="22">
        <f t="shared" si="10"/>
        <v>62917.750735697409</v>
      </c>
      <c r="I32" s="5">
        <f t="shared" si="4"/>
        <v>145209.80618523713</v>
      </c>
      <c r="J32" s="26">
        <f t="shared" si="5"/>
        <v>0.25362118428380076</v>
      </c>
      <c r="L32" s="22">
        <f t="shared" si="11"/>
        <v>308270.53426486923</v>
      </c>
      <c r="M32" s="5">
        <f>scrimecost*Meta!O29</f>
        <v>1230.336</v>
      </c>
      <c r="N32" s="5">
        <f>L32-Grade9!L32</f>
        <v>10360.970523540862</v>
      </c>
      <c r="O32" s="5">
        <f>Grade9!M32-M32</f>
        <v>25.343999999999824</v>
      </c>
      <c r="P32" s="22">
        <f t="shared" si="12"/>
        <v>762.64144182050575</v>
      </c>
      <c r="Q32" s="22"/>
      <c r="R32" s="22"/>
      <c r="S32" s="22">
        <f t="shared" si="6"/>
        <v>8387.8117631124278</v>
      </c>
      <c r="T32" s="22">
        <f t="shared" si="7"/>
        <v>2957.6179218733632</v>
      </c>
    </row>
    <row r="33" spans="1:20" x14ac:dyDescent="0.2">
      <c r="A33" s="5">
        <v>42</v>
      </c>
      <c r="B33" s="1">
        <f t="shared" si="8"/>
        <v>1.9002927007802071</v>
      </c>
      <c r="C33" s="5">
        <f t="shared" si="9"/>
        <v>145642.32167632107</v>
      </c>
      <c r="D33" s="5">
        <f t="shared" si="0"/>
        <v>139010.16327082869</v>
      </c>
      <c r="E33" s="5">
        <f t="shared" si="1"/>
        <v>129510.16327082869</v>
      </c>
      <c r="F33" s="5">
        <f t="shared" si="2"/>
        <v>51468.109410341916</v>
      </c>
      <c r="G33" s="5">
        <f t="shared" si="3"/>
        <v>87542.053860486776</v>
      </c>
      <c r="H33" s="22">
        <f t="shared" si="10"/>
        <v>64490.694504089835</v>
      </c>
      <c r="I33" s="5">
        <f t="shared" si="4"/>
        <v>148743.72294486803</v>
      </c>
      <c r="J33" s="26">
        <f t="shared" si="5"/>
        <v>0.25410423620922479</v>
      </c>
      <c r="L33" s="22">
        <f t="shared" si="11"/>
        <v>315977.29762149096</v>
      </c>
      <c r="M33" s="5">
        <f>scrimecost*Meta!O30</f>
        <v>1230.336</v>
      </c>
      <c r="N33" s="5">
        <f>L33-Grade9!L33</f>
        <v>10619.994786629453</v>
      </c>
      <c r="O33" s="5">
        <f>Grade9!M33-M33</f>
        <v>25.343999999999824</v>
      </c>
      <c r="P33" s="22">
        <f t="shared" si="12"/>
        <v>781.60652884407546</v>
      </c>
      <c r="Q33" s="22"/>
      <c r="R33" s="22"/>
      <c r="S33" s="22">
        <f t="shared" si="6"/>
        <v>8596.7827918546554</v>
      </c>
      <c r="T33" s="22">
        <f t="shared" si="7"/>
        <v>2912.1755745346081</v>
      </c>
    </row>
    <row r="34" spans="1:20" x14ac:dyDescent="0.2">
      <c r="A34" s="5">
        <v>43</v>
      </c>
      <c r="B34" s="1">
        <f t="shared" si="8"/>
        <v>1.9478000182997122</v>
      </c>
      <c r="C34" s="5">
        <f t="shared" si="9"/>
        <v>149283.37971822912</v>
      </c>
      <c r="D34" s="5">
        <f t="shared" si="0"/>
        <v>142465.52735259943</v>
      </c>
      <c r="E34" s="5">
        <f t="shared" si="1"/>
        <v>132965.52735259943</v>
      </c>
      <c r="F34" s="5">
        <f t="shared" si="2"/>
        <v>52831.250540600478</v>
      </c>
      <c r="G34" s="5">
        <f t="shared" si="3"/>
        <v>89634.276811998949</v>
      </c>
      <c r="H34" s="22">
        <f t="shared" si="10"/>
        <v>66102.961866692087</v>
      </c>
      <c r="I34" s="5">
        <f t="shared" si="4"/>
        <v>152365.98762348975</v>
      </c>
      <c r="J34" s="26">
        <f t="shared" si="5"/>
        <v>0.25457550638037024</v>
      </c>
      <c r="L34" s="22">
        <f t="shared" si="11"/>
        <v>323876.73006202822</v>
      </c>
      <c r="M34" s="5">
        <f>scrimecost*Meta!O31</f>
        <v>1230.336</v>
      </c>
      <c r="N34" s="5">
        <f>L34-Grade9!L34</f>
        <v>10885.494656295166</v>
      </c>
      <c r="O34" s="5">
        <f>Grade9!M34-M34</f>
        <v>25.343999999999824</v>
      </c>
      <c r="P34" s="22">
        <f t="shared" si="12"/>
        <v>801.04574304323455</v>
      </c>
      <c r="Q34" s="22"/>
      <c r="R34" s="22"/>
      <c r="S34" s="22">
        <f t="shared" si="6"/>
        <v>8810.9780963153698</v>
      </c>
      <c r="T34" s="22">
        <f t="shared" si="7"/>
        <v>2867.4372988080436</v>
      </c>
    </row>
    <row r="35" spans="1:20" x14ac:dyDescent="0.2">
      <c r="A35" s="5">
        <v>44</v>
      </c>
      <c r="B35" s="1">
        <f t="shared" si="8"/>
        <v>1.9964950187572048</v>
      </c>
      <c r="C35" s="5">
        <f t="shared" si="9"/>
        <v>153015.46421118482</v>
      </c>
      <c r="D35" s="5">
        <f t="shared" si="0"/>
        <v>146007.27553641438</v>
      </c>
      <c r="E35" s="5">
        <f t="shared" si="1"/>
        <v>136507.27553641438</v>
      </c>
      <c r="F35" s="5">
        <f t="shared" si="2"/>
        <v>54228.47019911548</v>
      </c>
      <c r="G35" s="5">
        <f t="shared" si="3"/>
        <v>91778.805337298894</v>
      </c>
      <c r="H35" s="22">
        <f t="shared" si="10"/>
        <v>67755.535913359374</v>
      </c>
      <c r="I35" s="5">
        <f t="shared" si="4"/>
        <v>156078.80891907692</v>
      </c>
      <c r="J35" s="26">
        <f t="shared" si="5"/>
        <v>0.25503528215709753</v>
      </c>
      <c r="L35" s="22">
        <f t="shared" si="11"/>
        <v>331973.64831357886</v>
      </c>
      <c r="M35" s="5">
        <f>scrimecost*Meta!O32</f>
        <v>1230.336</v>
      </c>
      <c r="N35" s="5">
        <f>L35-Grade9!L35</f>
        <v>11157.632022702426</v>
      </c>
      <c r="O35" s="5">
        <f>Grade9!M35-M35</f>
        <v>25.343999999999824</v>
      </c>
      <c r="P35" s="22">
        <f t="shared" si="12"/>
        <v>820.97093759737254</v>
      </c>
      <c r="Q35" s="22"/>
      <c r="R35" s="22"/>
      <c r="S35" s="22">
        <f t="shared" si="6"/>
        <v>9030.5282833875299</v>
      </c>
      <c r="T35" s="22">
        <f t="shared" si="7"/>
        <v>2823.3919564676103</v>
      </c>
    </row>
    <row r="36" spans="1:20" x14ac:dyDescent="0.2">
      <c r="A36" s="5">
        <v>45</v>
      </c>
      <c r="B36" s="1">
        <f t="shared" si="8"/>
        <v>2.0464073942261352</v>
      </c>
      <c r="C36" s="5">
        <f t="shared" si="9"/>
        <v>156840.85081646446</v>
      </c>
      <c r="D36" s="5">
        <f t="shared" si="0"/>
        <v>149637.56742482478</v>
      </c>
      <c r="E36" s="5">
        <f t="shared" si="1"/>
        <v>140137.56742482478</v>
      </c>
      <c r="F36" s="5">
        <f t="shared" si="2"/>
        <v>55660.620349093377</v>
      </c>
      <c r="G36" s="5">
        <f t="shared" si="3"/>
        <v>93976.947075731412</v>
      </c>
      <c r="H36" s="22">
        <f t="shared" si="10"/>
        <v>69449.424311193376</v>
      </c>
      <c r="I36" s="5">
        <f t="shared" si="4"/>
        <v>159884.45074705392</v>
      </c>
      <c r="J36" s="26">
        <f t="shared" si="5"/>
        <v>0.25548384389048995</v>
      </c>
      <c r="L36" s="22">
        <f t="shared" si="11"/>
        <v>340272.98952141841</v>
      </c>
      <c r="M36" s="5">
        <f>scrimecost*Meta!O33</f>
        <v>994.30800000000011</v>
      </c>
      <c r="N36" s="5">
        <f>L36-Grade9!L36</f>
        <v>11436.572823270166</v>
      </c>
      <c r="O36" s="5">
        <f>Grade9!M36-M36</f>
        <v>20.481999999999971</v>
      </c>
      <c r="P36" s="22">
        <f t="shared" si="12"/>
        <v>841.39426201536412</v>
      </c>
      <c r="Q36" s="22"/>
      <c r="R36" s="22"/>
      <c r="S36" s="22">
        <f t="shared" si="6"/>
        <v>9250.7732931367154</v>
      </c>
      <c r="T36" s="22">
        <f t="shared" si="7"/>
        <v>2778.5886752866754</v>
      </c>
    </row>
    <row r="37" spans="1:20" x14ac:dyDescent="0.2">
      <c r="A37" s="5">
        <v>46</v>
      </c>
      <c r="B37" s="1">
        <f t="shared" ref="B37:B56" si="13">(1+experiencepremium)^(A37-startage)</f>
        <v>2.097567579081788</v>
      </c>
      <c r="C37" s="5">
        <f t="shared" ref="C37:C56" si="14">pretaxincome*B37/expnorm</f>
        <v>160761.87208687601</v>
      </c>
      <c r="D37" s="5">
        <f t="shared" ref="D37:D56" si="15">IF(A37&lt;startage,1,0)*(C37*(1-initialunempprob))+IF(A37=startage,1,0)*(C37*(1-unempprob))+IF(A37&gt;startage,1,0)*(C37*(1-unempprob)+unempprob*300*52)</f>
        <v>153358.61661044534</v>
      </c>
      <c r="E37" s="5">
        <f t="shared" si="1"/>
        <v>143858.61661044534</v>
      </c>
      <c r="F37" s="5">
        <f t="shared" si="2"/>
        <v>57128.574252820683</v>
      </c>
      <c r="G37" s="5">
        <f t="shared" si="3"/>
        <v>96230.042357624654</v>
      </c>
      <c r="H37" s="22">
        <f t="shared" ref="H37:H56" si="16">benefits*B37/expnorm</f>
        <v>71185.659918973193</v>
      </c>
      <c r="I37" s="5">
        <f t="shared" ref="I37:I56" si="17">G37+IF(A37&lt;startage,1,0)*(H37*(1-initialunempprob))+IF(A37&gt;=startage,1,0)*(H37*(1-unempprob))</f>
        <v>163785.23362073023</v>
      </c>
      <c r="J37" s="26">
        <f t="shared" si="5"/>
        <v>0.25592146509379965</v>
      </c>
      <c r="L37" s="22">
        <f t="shared" ref="L37:L56" si="18">(sincome+sbenefits)*(1-sunemp)*B37/expnorm</f>
        <v>348779.81425945379</v>
      </c>
      <c r="M37" s="5">
        <f>scrimecost*Meta!O34</f>
        <v>994.30800000000011</v>
      </c>
      <c r="N37" s="5">
        <f>L37-Grade9!L37</f>
        <v>11722.487143851758</v>
      </c>
      <c r="O37" s="5">
        <f>Grade9!M37-M37</f>
        <v>20.481999999999971</v>
      </c>
      <c r="P37" s="22">
        <f t="shared" si="12"/>
        <v>862.32816954380542</v>
      </c>
      <c r="Q37" s="22"/>
      <c r="R37" s="22"/>
      <c r="S37" s="22">
        <f t="shared" si="6"/>
        <v>9481.4382084293793</v>
      </c>
      <c r="T37" s="22">
        <f t="shared" si="7"/>
        <v>2735.9531095217758</v>
      </c>
    </row>
    <row r="38" spans="1:20" x14ac:dyDescent="0.2">
      <c r="A38" s="5">
        <v>47</v>
      </c>
      <c r="B38" s="1">
        <f t="shared" si="13"/>
        <v>2.1500067685588333</v>
      </c>
      <c r="C38" s="5">
        <f t="shared" si="14"/>
        <v>164780.91888904796</v>
      </c>
      <c r="D38" s="5">
        <f t="shared" si="15"/>
        <v>157172.69202570652</v>
      </c>
      <c r="E38" s="5">
        <f t="shared" si="1"/>
        <v>147672.69202570652</v>
      </c>
      <c r="F38" s="5">
        <f t="shared" si="2"/>
        <v>58633.227004141219</v>
      </c>
      <c r="G38" s="5">
        <f t="shared" si="3"/>
        <v>98539.465021565295</v>
      </c>
      <c r="H38" s="22">
        <f t="shared" si="16"/>
        <v>72965.301416947535</v>
      </c>
      <c r="I38" s="5">
        <f t="shared" si="17"/>
        <v>167783.53606624849</v>
      </c>
      <c r="J38" s="26">
        <f t="shared" ref="J38:J56" si="19">(F38-(IF(A38&gt;startage,1,0)*(unempprob*300*52)))/(IF(A38&lt;startage,1,0)*((C38+H38)*(1-initialunempprob))+IF(A38&gt;=startage,1,0)*((C38+H38)*(1-unempprob)))</f>
        <v>0.25634841260922375</v>
      </c>
      <c r="L38" s="22">
        <f t="shared" si="18"/>
        <v>357499.30961594026</v>
      </c>
      <c r="M38" s="5">
        <f>scrimecost*Meta!O35</f>
        <v>994.30800000000011</v>
      </c>
      <c r="N38" s="5">
        <f>L38-Grade9!L38</f>
        <v>12015.549322448263</v>
      </c>
      <c r="O38" s="5">
        <f>Grade9!M38-M38</f>
        <v>20.481999999999971</v>
      </c>
      <c r="P38" s="22">
        <f t="shared" si="12"/>
        <v>883.78542476045789</v>
      </c>
      <c r="Q38" s="22"/>
      <c r="R38" s="22"/>
      <c r="S38" s="22">
        <f t="shared" ref="S38:S69" si="20">IF(A38&lt;startage,1,0)*(N38-Q38-R38)+IF(A38&gt;=startage,1,0)*completionprob*(N38*spart+O38+P38)</f>
        <v>9717.8697466046306</v>
      </c>
      <c r="T38" s="22">
        <f t="shared" ref="T38:T69" si="21">S38/sreturn^(A38-startage+1)</f>
        <v>2693.9759356514601</v>
      </c>
    </row>
    <row r="39" spans="1:20" x14ac:dyDescent="0.2">
      <c r="A39" s="5">
        <v>48</v>
      </c>
      <c r="B39" s="1">
        <f t="shared" si="13"/>
        <v>2.2037569377728037</v>
      </c>
      <c r="C39" s="5">
        <f t="shared" si="14"/>
        <v>168900.44186127413</v>
      </c>
      <c r="D39" s="5">
        <f t="shared" si="15"/>
        <v>161082.11932634914</v>
      </c>
      <c r="E39" s="5">
        <f t="shared" si="1"/>
        <v>151582.11932634914</v>
      </c>
      <c r="F39" s="5">
        <f t="shared" si="2"/>
        <v>60175.496074244737</v>
      </c>
      <c r="G39" s="5">
        <f t="shared" si="3"/>
        <v>100906.62325210441</v>
      </c>
      <c r="H39" s="22">
        <f t="shared" si="16"/>
        <v>74789.433952371211</v>
      </c>
      <c r="I39" s="5">
        <f t="shared" si="17"/>
        <v>171881.79607290469</v>
      </c>
      <c r="J39" s="26">
        <f t="shared" si="19"/>
        <v>0.25676494677061312</v>
      </c>
      <c r="L39" s="22">
        <f t="shared" si="18"/>
        <v>366436.79235633864</v>
      </c>
      <c r="M39" s="5">
        <f>scrimecost*Meta!O36</f>
        <v>994.30800000000011</v>
      </c>
      <c r="N39" s="5">
        <f>L39-Grade9!L39</f>
        <v>12315.938055509352</v>
      </c>
      <c r="O39" s="5">
        <f>Grade9!M39-M39</f>
        <v>20.481999999999971</v>
      </c>
      <c r="P39" s="22">
        <f t="shared" ref="P39:P56" si="22">(spart-initialspart)*(L39*J39+nptrans)</f>
        <v>905.7791113575264</v>
      </c>
      <c r="Q39" s="22"/>
      <c r="R39" s="22"/>
      <c r="S39" s="22">
        <f t="shared" si="20"/>
        <v>9960.2120732340245</v>
      </c>
      <c r="T39" s="22">
        <f t="shared" si="21"/>
        <v>2652.6468230618852</v>
      </c>
    </row>
    <row r="40" spans="1:20" x14ac:dyDescent="0.2">
      <c r="A40" s="5">
        <v>49</v>
      </c>
      <c r="B40" s="1">
        <f t="shared" si="13"/>
        <v>2.2588508612171236</v>
      </c>
      <c r="C40" s="5">
        <f t="shared" si="14"/>
        <v>173122.95290780597</v>
      </c>
      <c r="D40" s="5">
        <f t="shared" si="15"/>
        <v>165089.28230950786</v>
      </c>
      <c r="E40" s="5">
        <f t="shared" si="1"/>
        <v>155589.28230950786</v>
      </c>
      <c r="F40" s="5">
        <f t="shared" si="2"/>
        <v>61756.321871100852</v>
      </c>
      <c r="G40" s="5">
        <f t="shared" si="3"/>
        <v>103332.96043840701</v>
      </c>
      <c r="H40" s="22">
        <f t="shared" si="16"/>
        <v>76659.169801180484</v>
      </c>
      <c r="I40" s="5">
        <f t="shared" si="17"/>
        <v>176082.51257972728</v>
      </c>
      <c r="J40" s="26">
        <f t="shared" si="19"/>
        <v>0.25717132156221251</v>
      </c>
      <c r="L40" s="22">
        <f t="shared" si="18"/>
        <v>375597.71216524713</v>
      </c>
      <c r="M40" s="5">
        <f>scrimecost*Meta!O37</f>
        <v>994.30800000000011</v>
      </c>
      <c r="N40" s="5">
        <f>L40-Grade9!L40</f>
        <v>12623.836506897118</v>
      </c>
      <c r="O40" s="5">
        <f>Grade9!M40-M40</f>
        <v>20.481999999999971</v>
      </c>
      <c r="P40" s="22">
        <f t="shared" si="22"/>
        <v>928.32264011952168</v>
      </c>
      <c r="Q40" s="22"/>
      <c r="R40" s="22"/>
      <c r="S40" s="22">
        <f t="shared" si="20"/>
        <v>10208.612958029265</v>
      </c>
      <c r="T40" s="22">
        <f t="shared" si="21"/>
        <v>2611.9556095929552</v>
      </c>
    </row>
    <row r="41" spans="1:20" x14ac:dyDescent="0.2">
      <c r="A41" s="5">
        <v>50</v>
      </c>
      <c r="B41" s="1">
        <f t="shared" si="13"/>
        <v>2.3153221327475517</v>
      </c>
      <c r="C41" s="5">
        <f t="shared" si="14"/>
        <v>177451.02673050112</v>
      </c>
      <c r="D41" s="5">
        <f t="shared" si="15"/>
        <v>169196.62436724556</v>
      </c>
      <c r="E41" s="5">
        <f t="shared" si="1"/>
        <v>159696.62436724556</v>
      </c>
      <c r="F41" s="5">
        <f t="shared" si="2"/>
        <v>63376.668312878377</v>
      </c>
      <c r="G41" s="5">
        <f t="shared" si="3"/>
        <v>105819.95605436718</v>
      </c>
      <c r="H41" s="22">
        <f t="shared" si="16"/>
        <v>78575.649046210005</v>
      </c>
      <c r="I41" s="5">
        <f t="shared" si="17"/>
        <v>180388.24699922046</v>
      </c>
      <c r="J41" s="26">
        <f t="shared" si="19"/>
        <v>0.25756778477352898</v>
      </c>
      <c r="L41" s="22">
        <f t="shared" si="18"/>
        <v>384987.65496937826</v>
      </c>
      <c r="M41" s="5">
        <f>scrimecost*Meta!O38</f>
        <v>664.29600000000005</v>
      </c>
      <c r="N41" s="5">
        <f>L41-Grade9!L41</f>
        <v>12939.432419569581</v>
      </c>
      <c r="O41" s="5">
        <f>Grade9!M41-M41</f>
        <v>13.683999999999969</v>
      </c>
      <c r="P41" s="22">
        <f t="shared" si="22"/>
        <v>951.42975710056703</v>
      </c>
      <c r="Q41" s="22"/>
      <c r="R41" s="22"/>
      <c r="S41" s="22">
        <f t="shared" si="20"/>
        <v>10456.521036944385</v>
      </c>
      <c r="T41" s="22">
        <f t="shared" si="21"/>
        <v>2570.2447230075009</v>
      </c>
    </row>
    <row r="42" spans="1:20" x14ac:dyDescent="0.2">
      <c r="A42" s="5">
        <v>51</v>
      </c>
      <c r="B42" s="1">
        <f t="shared" si="13"/>
        <v>2.3732051860662402</v>
      </c>
      <c r="C42" s="5">
        <f t="shared" si="14"/>
        <v>181887.30239876363</v>
      </c>
      <c r="D42" s="5">
        <f t="shared" si="15"/>
        <v>173406.64997642668</v>
      </c>
      <c r="E42" s="5">
        <f t="shared" si="1"/>
        <v>163906.64997642668</v>
      </c>
      <c r="F42" s="5">
        <f t="shared" si="2"/>
        <v>65037.523415700314</v>
      </c>
      <c r="G42" s="5">
        <f t="shared" si="3"/>
        <v>108369.12656072636</v>
      </c>
      <c r="H42" s="22">
        <f t="shared" si="16"/>
        <v>80540.040272365237</v>
      </c>
      <c r="I42" s="5">
        <f t="shared" si="17"/>
        <v>184801.62477920097</v>
      </c>
      <c r="J42" s="26">
        <f t="shared" si="19"/>
        <v>0.25795457815042305</v>
      </c>
      <c r="L42" s="22">
        <f t="shared" si="18"/>
        <v>394612.34634361265</v>
      </c>
      <c r="M42" s="5">
        <f>scrimecost*Meta!O39</f>
        <v>664.29600000000005</v>
      </c>
      <c r="N42" s="5">
        <f>L42-Grade9!L42</f>
        <v>13262.918230058684</v>
      </c>
      <c r="O42" s="5">
        <f>Grade9!M42-M42</f>
        <v>13.683999999999969</v>
      </c>
      <c r="P42" s="22">
        <f t="shared" si="22"/>
        <v>975.11455200613796</v>
      </c>
      <c r="Q42" s="22"/>
      <c r="R42" s="22"/>
      <c r="S42" s="22">
        <f t="shared" si="20"/>
        <v>10717.497216532258</v>
      </c>
      <c r="T42" s="22">
        <f t="shared" si="21"/>
        <v>2530.864228423944</v>
      </c>
    </row>
    <row r="43" spans="1:20" x14ac:dyDescent="0.2">
      <c r="A43" s="5">
        <v>52</v>
      </c>
      <c r="B43" s="1">
        <f t="shared" si="13"/>
        <v>2.4325353157178964</v>
      </c>
      <c r="C43" s="5">
        <f t="shared" si="14"/>
        <v>186434.48495873273</v>
      </c>
      <c r="D43" s="5">
        <f t="shared" si="15"/>
        <v>177721.92622583735</v>
      </c>
      <c r="E43" s="5">
        <f t="shared" si="1"/>
        <v>168221.92622583735</v>
      </c>
      <c r="F43" s="5">
        <f t="shared" si="2"/>
        <v>66739.899896092844</v>
      </c>
      <c r="G43" s="5">
        <f t="shared" si="3"/>
        <v>110982.02632974451</v>
      </c>
      <c r="H43" s="22">
        <f t="shared" si="16"/>
        <v>82553.541279174373</v>
      </c>
      <c r="I43" s="5">
        <f t="shared" si="17"/>
        <v>189325.33700368099</v>
      </c>
      <c r="J43" s="26">
        <f t="shared" si="19"/>
        <v>0.25833193754251493</v>
      </c>
      <c r="L43" s="22">
        <f t="shared" si="18"/>
        <v>404477.65500220301</v>
      </c>
      <c r="M43" s="5">
        <f>scrimecost*Meta!O40</f>
        <v>664.29600000000005</v>
      </c>
      <c r="N43" s="5">
        <f>L43-Grade9!L43</f>
        <v>13594.491185810242</v>
      </c>
      <c r="O43" s="5">
        <f>Grade9!M43-M43</f>
        <v>13.683999999999969</v>
      </c>
      <c r="P43" s="22">
        <f t="shared" si="22"/>
        <v>999.39146678434906</v>
      </c>
      <c r="Q43" s="22"/>
      <c r="R43" s="22"/>
      <c r="S43" s="22">
        <f t="shared" si="20"/>
        <v>10984.997800609997</v>
      </c>
      <c r="T43" s="22">
        <f t="shared" si="21"/>
        <v>2492.0895830631998</v>
      </c>
    </row>
    <row r="44" spans="1:20" x14ac:dyDescent="0.2">
      <c r="A44" s="5">
        <v>53</v>
      </c>
      <c r="B44" s="1">
        <f t="shared" si="13"/>
        <v>2.4933486986108435</v>
      </c>
      <c r="C44" s="5">
        <f t="shared" si="14"/>
        <v>191095.34708270102</v>
      </c>
      <c r="D44" s="5">
        <f t="shared" si="15"/>
        <v>182145.08438148326</v>
      </c>
      <c r="E44" s="5">
        <f t="shared" si="1"/>
        <v>172645.08438148326</v>
      </c>
      <c r="F44" s="5">
        <f t="shared" si="2"/>
        <v>68484.835788495155</v>
      </c>
      <c r="G44" s="5">
        <f t="shared" si="3"/>
        <v>113660.24859298811</v>
      </c>
      <c r="H44" s="22">
        <f t="shared" si="16"/>
        <v>84617.379811153718</v>
      </c>
      <c r="I44" s="5">
        <f t="shared" si="17"/>
        <v>193962.14203377298</v>
      </c>
      <c r="J44" s="26">
        <f t="shared" si="19"/>
        <v>0.25870009304699476</v>
      </c>
      <c r="L44" s="22">
        <f t="shared" si="18"/>
        <v>414589.59637725807</v>
      </c>
      <c r="M44" s="5">
        <f>scrimecost*Meta!O41</f>
        <v>664.29600000000005</v>
      </c>
      <c r="N44" s="5">
        <f>L44-Grade9!L44</f>
        <v>13934.353465455584</v>
      </c>
      <c r="O44" s="5">
        <f>Grade9!M44-M44</f>
        <v>13.683999999999969</v>
      </c>
      <c r="P44" s="22">
        <f t="shared" si="22"/>
        <v>1024.2753044320148</v>
      </c>
      <c r="Q44" s="22"/>
      <c r="R44" s="22"/>
      <c r="S44" s="22">
        <f t="shared" si="20"/>
        <v>11259.185899289674</v>
      </c>
      <c r="T44" s="22">
        <f t="shared" si="21"/>
        <v>2453.9113692874776</v>
      </c>
    </row>
    <row r="45" spans="1:20" x14ac:dyDescent="0.2">
      <c r="A45" s="5">
        <v>54</v>
      </c>
      <c r="B45" s="1">
        <f t="shared" si="13"/>
        <v>2.555682416076114</v>
      </c>
      <c r="C45" s="5">
        <f t="shared" si="14"/>
        <v>195872.73075976851</v>
      </c>
      <c r="D45" s="5">
        <f t="shared" si="15"/>
        <v>186678.82149102032</v>
      </c>
      <c r="E45" s="5">
        <f t="shared" si="1"/>
        <v>177178.82149102032</v>
      </c>
      <c r="F45" s="5">
        <f t="shared" si="2"/>
        <v>70412.336152758522</v>
      </c>
      <c r="G45" s="5">
        <f t="shared" si="3"/>
        <v>116266.4853382618</v>
      </c>
      <c r="H45" s="22">
        <f t="shared" si="16"/>
        <v>86732.814306432541</v>
      </c>
      <c r="I45" s="5">
        <f t="shared" si="17"/>
        <v>198575.92611506628</v>
      </c>
      <c r="J45" s="26">
        <f t="shared" si="19"/>
        <v>0.25957733356342638</v>
      </c>
      <c r="L45" s="22">
        <f t="shared" si="18"/>
        <v>424954.33628668939</v>
      </c>
      <c r="M45" s="5">
        <f>scrimecost*Meta!O42</f>
        <v>664.29600000000005</v>
      </c>
      <c r="N45" s="5">
        <f>L45-Grade9!L45</f>
        <v>14282.712302091764</v>
      </c>
      <c r="O45" s="5">
        <f>Grade9!M45-M45</f>
        <v>13.683999999999969</v>
      </c>
      <c r="P45" s="22">
        <f t="shared" si="22"/>
        <v>1051.7626214956308</v>
      </c>
      <c r="Q45" s="22"/>
      <c r="R45" s="22"/>
      <c r="S45" s="22">
        <f t="shared" si="20"/>
        <v>11542.182344542238</v>
      </c>
      <c r="T45" s="22">
        <f t="shared" si="21"/>
        <v>2416.7293782496808</v>
      </c>
    </row>
    <row r="46" spans="1:20" x14ac:dyDescent="0.2">
      <c r="A46" s="5">
        <v>55</v>
      </c>
      <c r="B46" s="1">
        <f t="shared" si="13"/>
        <v>2.6195744764780171</v>
      </c>
      <c r="C46" s="5">
        <f t="shared" si="14"/>
        <v>200769.54902876273</v>
      </c>
      <c r="D46" s="5">
        <f t="shared" si="15"/>
        <v>191325.90202829582</v>
      </c>
      <c r="E46" s="5">
        <f t="shared" si="1"/>
        <v>181825.90202829582</v>
      </c>
      <c r="F46" s="5">
        <f t="shared" si="2"/>
        <v>72477.963451577496</v>
      </c>
      <c r="G46" s="5">
        <f t="shared" si="3"/>
        <v>118847.93857671833</v>
      </c>
      <c r="H46" s="22">
        <f t="shared" si="16"/>
        <v>88901.134664093377</v>
      </c>
      <c r="I46" s="5">
        <f t="shared" si="17"/>
        <v>203215.11537294294</v>
      </c>
      <c r="J46" s="26">
        <f t="shared" si="19"/>
        <v>0.26076035239790468</v>
      </c>
      <c r="L46" s="22">
        <f t="shared" si="18"/>
        <v>435578.19469385664</v>
      </c>
      <c r="M46" s="5">
        <f>scrimecost*Meta!O43</f>
        <v>368.46</v>
      </c>
      <c r="N46" s="5">
        <f>L46-Grade9!L46</f>
        <v>14639.780109644111</v>
      </c>
      <c r="O46" s="5">
        <f>Grade9!M46-M46</f>
        <v>7.589999999999975</v>
      </c>
      <c r="P46" s="22">
        <f t="shared" si="22"/>
        <v>1081.2197119069197</v>
      </c>
      <c r="Q46" s="22"/>
      <c r="R46" s="22"/>
      <c r="S46" s="22">
        <f t="shared" si="20"/>
        <v>11827.509651081498</v>
      </c>
      <c r="T46" s="22">
        <f t="shared" si="21"/>
        <v>2379.1488210560015</v>
      </c>
    </row>
    <row r="47" spans="1:20" x14ac:dyDescent="0.2">
      <c r="A47" s="5">
        <v>56</v>
      </c>
      <c r="B47" s="1">
        <f t="shared" si="13"/>
        <v>2.6850638383899672</v>
      </c>
      <c r="C47" s="5">
        <f t="shared" si="14"/>
        <v>205788.78775448177</v>
      </c>
      <c r="D47" s="5">
        <f t="shared" si="15"/>
        <v>196089.1595790032</v>
      </c>
      <c r="E47" s="5">
        <f t="shared" si="1"/>
        <v>186589.1595790032</v>
      </c>
      <c r="F47" s="5">
        <f t="shared" si="2"/>
        <v>74595.231432866916</v>
      </c>
      <c r="G47" s="5">
        <f t="shared" si="3"/>
        <v>121493.92814613628</v>
      </c>
      <c r="H47" s="22">
        <f t="shared" si="16"/>
        <v>91123.663030695679</v>
      </c>
      <c r="I47" s="5">
        <f t="shared" si="17"/>
        <v>207970.28436226648</v>
      </c>
      <c r="J47" s="26">
        <f t="shared" si="19"/>
        <v>0.26191451711446884</v>
      </c>
      <c r="L47" s="22">
        <f t="shared" si="18"/>
        <v>446467.64956120303</v>
      </c>
      <c r="M47" s="5">
        <f>scrimecost*Meta!O44</f>
        <v>368.46</v>
      </c>
      <c r="N47" s="5">
        <f>L47-Grade9!L47</f>
        <v>15005.774612385198</v>
      </c>
      <c r="O47" s="5">
        <f>Grade9!M47-M47</f>
        <v>7.589999999999975</v>
      </c>
      <c r="P47" s="22">
        <f t="shared" si="22"/>
        <v>1111.4132295784905</v>
      </c>
      <c r="Q47" s="22"/>
      <c r="R47" s="22"/>
      <c r="S47" s="22">
        <f t="shared" si="20"/>
        <v>12126.129041384185</v>
      </c>
      <c r="T47" s="22">
        <f t="shared" si="21"/>
        <v>2343.3582645839583</v>
      </c>
    </row>
    <row r="48" spans="1:20" x14ac:dyDescent="0.2">
      <c r="A48" s="5">
        <v>57</v>
      </c>
      <c r="B48" s="1">
        <f t="shared" si="13"/>
        <v>2.7521904343497163</v>
      </c>
      <c r="C48" s="5">
        <f t="shared" si="14"/>
        <v>210933.50744834382</v>
      </c>
      <c r="D48" s="5">
        <f t="shared" si="15"/>
        <v>200971.49856847827</v>
      </c>
      <c r="E48" s="5">
        <f t="shared" si="1"/>
        <v>191471.49856847827</v>
      </c>
      <c r="F48" s="5">
        <f t="shared" si="2"/>
        <v>76765.431113688595</v>
      </c>
      <c r="G48" s="5">
        <f t="shared" si="3"/>
        <v>124206.06745478968</v>
      </c>
      <c r="H48" s="22">
        <f t="shared" si="16"/>
        <v>93401.754606463073</v>
      </c>
      <c r="I48" s="5">
        <f t="shared" si="17"/>
        <v>212844.33257632313</v>
      </c>
      <c r="J48" s="26">
        <f t="shared" si="19"/>
        <v>0.26304053147209239</v>
      </c>
      <c r="L48" s="22">
        <f t="shared" si="18"/>
        <v>457629.34080023307</v>
      </c>
      <c r="M48" s="5">
        <f>scrimecost*Meta!O45</f>
        <v>368.46</v>
      </c>
      <c r="N48" s="5">
        <f>L48-Grade9!L48</f>
        <v>15380.918977694877</v>
      </c>
      <c r="O48" s="5">
        <f>Grade9!M48-M48</f>
        <v>7.589999999999975</v>
      </c>
      <c r="P48" s="22">
        <f t="shared" si="22"/>
        <v>1142.3615851918503</v>
      </c>
      <c r="Q48" s="22"/>
      <c r="R48" s="22"/>
      <c r="S48" s="22">
        <f t="shared" si="20"/>
        <v>12432.213916444491</v>
      </c>
      <c r="T48" s="22">
        <f t="shared" si="21"/>
        <v>2308.0923790795468</v>
      </c>
    </row>
    <row r="49" spans="1:20" x14ac:dyDescent="0.2">
      <c r="A49" s="5">
        <v>58</v>
      </c>
      <c r="B49" s="1">
        <f t="shared" si="13"/>
        <v>2.8209951952084591</v>
      </c>
      <c r="C49" s="5">
        <f t="shared" si="14"/>
        <v>216206.84513455242</v>
      </c>
      <c r="D49" s="5">
        <f t="shared" si="15"/>
        <v>205975.89603269025</v>
      </c>
      <c r="E49" s="5">
        <f t="shared" si="1"/>
        <v>196475.89603269025</v>
      </c>
      <c r="F49" s="5">
        <f t="shared" si="2"/>
        <v>78989.885786530809</v>
      </c>
      <c r="G49" s="5">
        <f t="shared" si="3"/>
        <v>126986.01024615944</v>
      </c>
      <c r="H49" s="22">
        <f t="shared" si="16"/>
        <v>95736.798471624657</v>
      </c>
      <c r="I49" s="5">
        <f t="shared" si="17"/>
        <v>217840.23199573124</v>
      </c>
      <c r="J49" s="26">
        <f t="shared" si="19"/>
        <v>0.26413908206489595</v>
      </c>
      <c r="L49" s="22">
        <f t="shared" si="18"/>
        <v>469070.0743202389</v>
      </c>
      <c r="M49" s="5">
        <f>scrimecost*Meta!O46</f>
        <v>368.46</v>
      </c>
      <c r="N49" s="5">
        <f>L49-Grade9!L49</f>
        <v>15765.441952137218</v>
      </c>
      <c r="O49" s="5">
        <f>Grade9!M49-M49</f>
        <v>7.589999999999975</v>
      </c>
      <c r="P49" s="22">
        <f t="shared" si="22"/>
        <v>1174.0836496955449</v>
      </c>
      <c r="Q49" s="22"/>
      <c r="R49" s="22"/>
      <c r="S49" s="22">
        <f t="shared" si="20"/>
        <v>12745.950913381244</v>
      </c>
      <c r="T49" s="22">
        <f t="shared" si="21"/>
        <v>2273.3440217245484</v>
      </c>
    </row>
    <row r="50" spans="1:20" x14ac:dyDescent="0.2">
      <c r="A50" s="5">
        <v>59</v>
      </c>
      <c r="B50" s="1">
        <f t="shared" si="13"/>
        <v>2.8915200750886707</v>
      </c>
      <c r="C50" s="5">
        <f t="shared" si="14"/>
        <v>221612.01626291621</v>
      </c>
      <c r="D50" s="5">
        <f t="shared" si="15"/>
        <v>211105.40343350748</v>
      </c>
      <c r="E50" s="5">
        <f t="shared" si="1"/>
        <v>201605.40343350748</v>
      </c>
      <c r="F50" s="5">
        <f t="shared" si="2"/>
        <v>81269.951826194068</v>
      </c>
      <c r="G50" s="5">
        <f t="shared" si="3"/>
        <v>129835.45160731341</v>
      </c>
      <c r="H50" s="22">
        <f t="shared" si="16"/>
        <v>98130.218433415284</v>
      </c>
      <c r="I50" s="5">
        <f t="shared" si="17"/>
        <v>222961.02890062451</v>
      </c>
      <c r="J50" s="26">
        <f t="shared" si="19"/>
        <v>0.26521083874080176</v>
      </c>
      <c r="L50" s="22">
        <f t="shared" si="18"/>
        <v>480796.8261782449</v>
      </c>
      <c r="M50" s="5">
        <f>scrimecost*Meta!O47</f>
        <v>368.46</v>
      </c>
      <c r="N50" s="5">
        <f>L50-Grade9!L50</f>
        <v>16159.578000940732</v>
      </c>
      <c r="O50" s="5">
        <f>Grade9!M50-M50</f>
        <v>7.589999999999975</v>
      </c>
      <c r="P50" s="22">
        <f t="shared" si="22"/>
        <v>1206.5987658118313</v>
      </c>
      <c r="Q50" s="22"/>
      <c r="R50" s="22"/>
      <c r="S50" s="22">
        <f t="shared" si="20"/>
        <v>13067.5313352415</v>
      </c>
      <c r="T50" s="22">
        <f t="shared" si="21"/>
        <v>2239.1061244686398</v>
      </c>
    </row>
    <row r="51" spans="1:20" x14ac:dyDescent="0.2">
      <c r="A51" s="5">
        <v>60</v>
      </c>
      <c r="B51" s="1">
        <f t="shared" si="13"/>
        <v>2.9638080769658868</v>
      </c>
      <c r="C51" s="5">
        <f t="shared" si="14"/>
        <v>227152.31666948908</v>
      </c>
      <c r="D51" s="5">
        <f t="shared" si="15"/>
        <v>216363.14851934512</v>
      </c>
      <c r="E51" s="5">
        <f t="shared" si="1"/>
        <v>206863.14851934512</v>
      </c>
      <c r="F51" s="5">
        <f t="shared" si="2"/>
        <v>83607.019516848915</v>
      </c>
      <c r="G51" s="5">
        <f t="shared" si="3"/>
        <v>132756.12900249619</v>
      </c>
      <c r="H51" s="22">
        <f t="shared" si="16"/>
        <v>100583.47389425064</v>
      </c>
      <c r="I51" s="5">
        <f t="shared" si="17"/>
        <v>228209.84572814003</v>
      </c>
      <c r="J51" s="26">
        <f t="shared" si="19"/>
        <v>0.26625645500997824</v>
      </c>
      <c r="L51" s="22">
        <f t="shared" si="18"/>
        <v>492816.74683270091</v>
      </c>
      <c r="M51" s="5">
        <f>scrimecost*Meta!O48</f>
        <v>194.376</v>
      </c>
      <c r="N51" s="5">
        <f>L51-Grade9!L51</f>
        <v>16563.567450964125</v>
      </c>
      <c r="O51" s="5">
        <f>Grade9!M51-M51</f>
        <v>4.0039999999999907</v>
      </c>
      <c r="P51" s="22">
        <f t="shared" si="22"/>
        <v>1239.926759831025</v>
      </c>
      <c r="Q51" s="22"/>
      <c r="R51" s="22"/>
      <c r="S51" s="22">
        <f t="shared" si="20"/>
        <v>13393.615471648109</v>
      </c>
      <c r="T51" s="22">
        <f t="shared" si="21"/>
        <v>2204.7896492749551</v>
      </c>
    </row>
    <row r="52" spans="1:20" x14ac:dyDescent="0.2">
      <c r="A52" s="5">
        <v>61</v>
      </c>
      <c r="B52" s="1">
        <f t="shared" si="13"/>
        <v>3.0379032788900342</v>
      </c>
      <c r="C52" s="5">
        <f t="shared" si="14"/>
        <v>232831.1245862263</v>
      </c>
      <c r="D52" s="5">
        <f t="shared" si="15"/>
        <v>221752.33723232875</v>
      </c>
      <c r="E52" s="5">
        <f t="shared" si="1"/>
        <v>212252.33723232875</v>
      </c>
      <c r="F52" s="5">
        <f t="shared" si="2"/>
        <v>86002.513899770129</v>
      </c>
      <c r="G52" s="5">
        <f t="shared" si="3"/>
        <v>135749.82333255862</v>
      </c>
      <c r="H52" s="22">
        <f t="shared" si="16"/>
        <v>103098.06074160691</v>
      </c>
      <c r="I52" s="5">
        <f t="shared" si="17"/>
        <v>233589.88297634356</v>
      </c>
      <c r="J52" s="26">
        <f t="shared" si="19"/>
        <v>0.26727656844332104</v>
      </c>
      <c r="L52" s="22">
        <f t="shared" si="18"/>
        <v>505137.16550351848</v>
      </c>
      <c r="M52" s="5">
        <f>scrimecost*Meta!O49</f>
        <v>194.376</v>
      </c>
      <c r="N52" s="5">
        <f>L52-Grade9!L52</f>
        <v>16977.656637238397</v>
      </c>
      <c r="O52" s="5">
        <f>Grade9!M52-M52</f>
        <v>4.0039999999999907</v>
      </c>
      <c r="P52" s="22">
        <f t="shared" si="22"/>
        <v>1274.0879537006983</v>
      </c>
      <c r="Q52" s="22"/>
      <c r="R52" s="22"/>
      <c r="S52" s="22">
        <f t="shared" si="20"/>
        <v>13731.475902365099</v>
      </c>
      <c r="T52" s="22">
        <f t="shared" si="21"/>
        <v>2171.5746419555053</v>
      </c>
    </row>
    <row r="53" spans="1:20" x14ac:dyDescent="0.2">
      <c r="A53" s="5">
        <v>62</v>
      </c>
      <c r="B53" s="1">
        <f t="shared" si="13"/>
        <v>3.1138508608622844</v>
      </c>
      <c r="C53" s="5">
        <f t="shared" si="14"/>
        <v>238651.90270088191</v>
      </c>
      <c r="D53" s="5">
        <f t="shared" si="15"/>
        <v>227276.25566313692</v>
      </c>
      <c r="E53" s="5">
        <f t="shared" si="1"/>
        <v>217776.25566313692</v>
      </c>
      <c r="F53" s="5">
        <f t="shared" si="2"/>
        <v>88457.895642264353</v>
      </c>
      <c r="G53" s="5">
        <f t="shared" si="3"/>
        <v>138818.36002087255</v>
      </c>
      <c r="H53" s="22">
        <f t="shared" si="16"/>
        <v>105675.51226014706</v>
      </c>
      <c r="I53" s="5">
        <f t="shared" si="17"/>
        <v>239104.42115575212</v>
      </c>
      <c r="J53" s="26">
        <f t="shared" si="19"/>
        <v>0.26827180106121651</v>
      </c>
      <c r="L53" s="22">
        <f t="shared" si="18"/>
        <v>517765.59464110632</v>
      </c>
      <c r="M53" s="5">
        <f>scrimecost*Meta!O50</f>
        <v>194.376</v>
      </c>
      <c r="N53" s="5">
        <f>L53-Grade9!L53</f>
        <v>17402.098053169146</v>
      </c>
      <c r="O53" s="5">
        <f>Grade9!M53-M53</f>
        <v>4.0039999999999907</v>
      </c>
      <c r="P53" s="22">
        <f t="shared" si="22"/>
        <v>1309.1031774171133</v>
      </c>
      <c r="Q53" s="22"/>
      <c r="R53" s="22"/>
      <c r="S53" s="22">
        <f t="shared" si="20"/>
        <v>14077.782843849734</v>
      </c>
      <c r="T53" s="22">
        <f t="shared" si="21"/>
        <v>2138.8484420796804</v>
      </c>
    </row>
    <row r="54" spans="1:20" x14ac:dyDescent="0.2">
      <c r="A54" s="5">
        <v>63</v>
      </c>
      <c r="B54" s="1">
        <f t="shared" si="13"/>
        <v>3.1916971323838421</v>
      </c>
      <c r="C54" s="5">
        <f t="shared" si="14"/>
        <v>244618.20026840403</v>
      </c>
      <c r="D54" s="5">
        <f t="shared" si="15"/>
        <v>232938.27205471543</v>
      </c>
      <c r="E54" s="5">
        <f t="shared" si="1"/>
        <v>223438.27205471543</v>
      </c>
      <c r="F54" s="5">
        <f t="shared" si="2"/>
        <v>90974.661928321002</v>
      </c>
      <c r="G54" s="5">
        <f t="shared" si="3"/>
        <v>141963.61012639443</v>
      </c>
      <c r="H54" s="22">
        <f t="shared" si="16"/>
        <v>108317.40006665076</v>
      </c>
      <c r="I54" s="5">
        <f t="shared" si="17"/>
        <v>244756.82278964599</v>
      </c>
      <c r="J54" s="26">
        <f t="shared" si="19"/>
        <v>0.26924275971282186</v>
      </c>
      <c r="L54" s="22">
        <f t="shared" si="18"/>
        <v>530709.73450713407</v>
      </c>
      <c r="M54" s="5">
        <f>scrimecost*Meta!O51</f>
        <v>194.376</v>
      </c>
      <c r="N54" s="5">
        <f>L54-Grade9!L54</f>
        <v>17837.15050449851</v>
      </c>
      <c r="O54" s="5">
        <f>Grade9!M54-M54</f>
        <v>4.0039999999999907</v>
      </c>
      <c r="P54" s="22">
        <f t="shared" si="22"/>
        <v>1344.9937817264392</v>
      </c>
      <c r="Q54" s="22"/>
      <c r="R54" s="22"/>
      <c r="S54" s="22">
        <f t="shared" si="20"/>
        <v>14432.74745887174</v>
      </c>
      <c r="T54" s="22">
        <f t="shared" si="21"/>
        <v>2106.6043175345208</v>
      </c>
    </row>
    <row r="55" spans="1:20" x14ac:dyDescent="0.2">
      <c r="A55" s="5">
        <v>64</v>
      </c>
      <c r="B55" s="1">
        <f t="shared" si="13"/>
        <v>3.2714895606934378</v>
      </c>
      <c r="C55" s="5">
        <f t="shared" si="14"/>
        <v>250733.65527511408</v>
      </c>
      <c r="D55" s="5">
        <f t="shared" si="15"/>
        <v>238741.83885608325</v>
      </c>
      <c r="E55" s="5">
        <f t="shared" si="1"/>
        <v>229241.83885608325</v>
      </c>
      <c r="F55" s="5">
        <f t="shared" si="2"/>
        <v>93554.347371529002</v>
      </c>
      <c r="G55" s="5">
        <f t="shared" si="3"/>
        <v>145187.49148455425</v>
      </c>
      <c r="H55" s="22">
        <f t="shared" si="16"/>
        <v>111025.33506831701</v>
      </c>
      <c r="I55" s="5">
        <f t="shared" si="17"/>
        <v>250550.53446438711</v>
      </c>
      <c r="J55" s="26">
        <f t="shared" si="19"/>
        <v>0.27019003644609535</v>
      </c>
      <c r="L55" s="22">
        <f t="shared" si="18"/>
        <v>543977.47786981228</v>
      </c>
      <c r="M55" s="5">
        <f>scrimecost*Meta!O52</f>
        <v>194.376</v>
      </c>
      <c r="N55" s="5">
        <f>L55-Grade9!L55</f>
        <v>18283.079267110908</v>
      </c>
      <c r="O55" s="5">
        <f>Grade9!M55-M55</f>
        <v>4.0039999999999907</v>
      </c>
      <c r="P55" s="22">
        <f t="shared" si="22"/>
        <v>1381.7816511434976</v>
      </c>
      <c r="Q55" s="22"/>
      <c r="R55" s="22"/>
      <c r="S55" s="22">
        <f t="shared" si="20"/>
        <v>14796.586189269148</v>
      </c>
      <c r="T55" s="22">
        <f t="shared" si="21"/>
        <v>2074.8356100961073</v>
      </c>
    </row>
    <row r="56" spans="1:20" x14ac:dyDescent="0.2">
      <c r="A56" s="5">
        <v>65</v>
      </c>
      <c r="B56" s="1">
        <f t="shared" si="13"/>
        <v>3.3532767997107733</v>
      </c>
      <c r="C56" s="5">
        <f t="shared" si="14"/>
        <v>257001.99665699192</v>
      </c>
      <c r="D56" s="5">
        <f t="shared" si="15"/>
        <v>244690.49482748532</v>
      </c>
      <c r="E56" s="5">
        <f t="shared" si="1"/>
        <v>235190.49482748532</v>
      </c>
      <c r="F56" s="5">
        <f t="shared" si="2"/>
        <v>96198.524950817227</v>
      </c>
      <c r="G56" s="5">
        <f t="shared" si="3"/>
        <v>148491.9698766681</v>
      </c>
      <c r="H56" s="22">
        <f t="shared" si="16"/>
        <v>113800.96844502492</v>
      </c>
      <c r="I56" s="5">
        <f t="shared" si="17"/>
        <v>256489.08893099672</v>
      </c>
      <c r="J56" s="26">
        <f t="shared" si="19"/>
        <v>0.27111420886880128</v>
      </c>
      <c r="L56" s="22">
        <f t="shared" si="18"/>
        <v>557576.91481655766</v>
      </c>
      <c r="M56" s="5">
        <f>scrimecost*Meta!O53</f>
        <v>58.74</v>
      </c>
      <c r="N56" s="5">
        <f>L56-Grade9!L56</f>
        <v>18740.156248788815</v>
      </c>
      <c r="O56" s="5">
        <f>Grade9!M56-M56</f>
        <v>1.2100000000000009</v>
      </c>
      <c r="P56" s="22">
        <f t="shared" si="22"/>
        <v>1419.4892172959837</v>
      </c>
      <c r="Q56" s="22"/>
      <c r="R56" s="22"/>
      <c r="S56" s="22">
        <f t="shared" si="20"/>
        <v>15166.766003926639</v>
      </c>
      <c r="T56" s="22">
        <f t="shared" si="21"/>
        <v>2043.1646160127818</v>
      </c>
    </row>
    <row r="57" spans="1:20" x14ac:dyDescent="0.2">
      <c r="A57" s="5">
        <v>66</v>
      </c>
      <c r="C57" s="5"/>
      <c r="H57" s="21"/>
      <c r="I57" s="5"/>
      <c r="M57" s="5">
        <f>scrimecost*Meta!O54</f>
        <v>58.74</v>
      </c>
      <c r="N57" s="5">
        <f>L57-Grade9!L57</f>
        <v>0</v>
      </c>
      <c r="O57" s="5">
        <f>Grade9!M57-M57</f>
        <v>1.2100000000000009</v>
      </c>
      <c r="Q57" s="22"/>
      <c r="R57" s="22"/>
      <c r="S57" s="22">
        <f t="shared" si="20"/>
        <v>1.1930600000000009</v>
      </c>
      <c r="T57" s="22">
        <f t="shared" si="21"/>
        <v>0.15440482413173973</v>
      </c>
    </row>
    <row r="58" spans="1:20" x14ac:dyDescent="0.2">
      <c r="A58" s="5">
        <v>67</v>
      </c>
      <c r="C58" s="5"/>
      <c r="H58" s="21"/>
      <c r="I58" s="5"/>
      <c r="M58" s="5">
        <f>scrimecost*Meta!O55</f>
        <v>58.74</v>
      </c>
      <c r="N58" s="5">
        <f>L58-Grade9!L58</f>
        <v>0</v>
      </c>
      <c r="O58" s="5">
        <f>Grade9!M58-M58</f>
        <v>1.2100000000000009</v>
      </c>
      <c r="Q58" s="22"/>
      <c r="R58" s="22"/>
      <c r="S58" s="22">
        <f t="shared" si="20"/>
        <v>1.1930600000000009</v>
      </c>
      <c r="T58" s="22">
        <f t="shared" si="21"/>
        <v>0.14833685688605197</v>
      </c>
    </row>
    <row r="59" spans="1:20" x14ac:dyDescent="0.2">
      <c r="A59" s="5">
        <v>68</v>
      </c>
      <c r="H59" s="21"/>
      <c r="I59" s="5"/>
      <c r="M59" s="5">
        <f>scrimecost*Meta!O56</f>
        <v>58.74</v>
      </c>
      <c r="N59" s="5">
        <f>L59-Grade9!L59</f>
        <v>0</v>
      </c>
      <c r="O59" s="5">
        <f>Grade9!M59-M59</f>
        <v>1.2100000000000009</v>
      </c>
      <c r="Q59" s="22"/>
      <c r="R59" s="22"/>
      <c r="S59" s="22">
        <f t="shared" si="20"/>
        <v>1.1930600000000009</v>
      </c>
      <c r="T59" s="22">
        <f t="shared" si="21"/>
        <v>0.14250735515918328</v>
      </c>
    </row>
    <row r="60" spans="1:20" x14ac:dyDescent="0.2">
      <c r="A60" s="5">
        <v>69</v>
      </c>
      <c r="H60" s="21"/>
      <c r="I60" s="5"/>
      <c r="M60" s="5">
        <f>scrimecost*Meta!O57</f>
        <v>58.74</v>
      </c>
      <c r="N60" s="5">
        <f>L60-Grade9!L60</f>
        <v>0</v>
      </c>
      <c r="O60" s="5">
        <f>Grade9!M60-M60</f>
        <v>1.2100000000000009</v>
      </c>
      <c r="Q60" s="22"/>
      <c r="R60" s="22"/>
      <c r="S60" s="22">
        <f t="shared" si="20"/>
        <v>1.1930600000000009</v>
      </c>
      <c r="T60" s="22">
        <f t="shared" si="21"/>
        <v>0.13690694747608056</v>
      </c>
    </row>
    <row r="61" spans="1:20" x14ac:dyDescent="0.2">
      <c r="A61" s="5">
        <v>70</v>
      </c>
      <c r="H61" s="21"/>
      <c r="I61" s="5"/>
      <c r="M61" s="5">
        <f>scrimecost*Meta!O58</f>
        <v>58.74</v>
      </c>
      <c r="N61" s="5">
        <f>L61-Grade9!L61</f>
        <v>0</v>
      </c>
      <c r="O61" s="5">
        <f>Grade9!M61-M61</f>
        <v>1.2100000000000009</v>
      </c>
      <c r="Q61" s="22"/>
      <c r="R61" s="22"/>
      <c r="S61" s="22">
        <f t="shared" si="20"/>
        <v>1.1930600000000009</v>
      </c>
      <c r="T61" s="22">
        <f t="shared" si="21"/>
        <v>0.13152663065202111</v>
      </c>
    </row>
    <row r="62" spans="1:20" x14ac:dyDescent="0.2">
      <c r="A62" s="5">
        <v>71</v>
      </c>
      <c r="H62" s="21"/>
      <c r="I62" s="5"/>
      <c r="M62" s="5">
        <f>scrimecost*Meta!O59</f>
        <v>58.74</v>
      </c>
      <c r="N62" s="5">
        <f>L62-Grade9!L62</f>
        <v>0</v>
      </c>
      <c r="O62" s="5">
        <f>Grade9!M62-M62</f>
        <v>1.2100000000000009</v>
      </c>
      <c r="Q62" s="22"/>
      <c r="R62" s="22"/>
      <c r="S62" s="22">
        <f t="shared" si="20"/>
        <v>1.1930600000000009</v>
      </c>
      <c r="T62" s="22">
        <f t="shared" si="21"/>
        <v>0.12635775531914167</v>
      </c>
    </row>
    <row r="63" spans="1:20" x14ac:dyDescent="0.2">
      <c r="A63" s="5">
        <v>72</v>
      </c>
      <c r="H63" s="21"/>
      <c r="M63" s="5">
        <f>scrimecost*Meta!O60</f>
        <v>58.74</v>
      </c>
      <c r="N63" s="5">
        <f>L63-Grade9!L63</f>
        <v>0</v>
      </c>
      <c r="O63" s="5">
        <f>Grade9!M63-M63</f>
        <v>1.2100000000000009</v>
      </c>
      <c r="Q63" s="22"/>
      <c r="R63" s="22"/>
      <c r="S63" s="22">
        <f t="shared" si="20"/>
        <v>1.1930600000000009</v>
      </c>
      <c r="T63" s="22">
        <f t="shared" si="21"/>
        <v>0.12139201202176261</v>
      </c>
    </row>
    <row r="64" spans="1:20" x14ac:dyDescent="0.2">
      <c r="A64" s="5">
        <v>73</v>
      </c>
      <c r="H64" s="21"/>
      <c r="M64" s="5">
        <f>scrimecost*Meta!O61</f>
        <v>58.74</v>
      </c>
      <c r="N64" s="5">
        <f>L64-Grade9!L64</f>
        <v>0</v>
      </c>
      <c r="O64" s="5">
        <f>Grade9!M64-M64</f>
        <v>1.2100000000000009</v>
      </c>
      <c r="Q64" s="22"/>
      <c r="R64" s="22"/>
      <c r="S64" s="22">
        <f t="shared" si="20"/>
        <v>1.1930600000000009</v>
      </c>
      <c r="T64" s="22">
        <f t="shared" si="21"/>
        <v>0.11662141785815208</v>
      </c>
    </row>
    <row r="65" spans="1:20" x14ac:dyDescent="0.2">
      <c r="A65" s="5">
        <v>74</v>
      </c>
      <c r="H65" s="21"/>
      <c r="M65" s="5">
        <f>scrimecost*Meta!O62</f>
        <v>58.74</v>
      </c>
      <c r="N65" s="5">
        <f>L65-Grade9!L65</f>
        <v>0</v>
      </c>
      <c r="O65" s="5">
        <f>Grade9!M65-M65</f>
        <v>1.2100000000000009</v>
      </c>
      <c r="Q65" s="22"/>
      <c r="R65" s="22"/>
      <c r="S65" s="22">
        <f t="shared" si="20"/>
        <v>1.1930600000000009</v>
      </c>
      <c r="T65" s="22">
        <f t="shared" si="21"/>
        <v>0.11203830364725702</v>
      </c>
    </row>
    <row r="66" spans="1:20" x14ac:dyDescent="0.2">
      <c r="A66" s="5">
        <v>75</v>
      </c>
      <c r="H66" s="21"/>
      <c r="M66" s="5">
        <f>scrimecost*Meta!O63</f>
        <v>58.74</v>
      </c>
      <c r="N66" s="5">
        <f>L66-Grade9!L66</f>
        <v>0</v>
      </c>
      <c r="O66" s="5">
        <f>Grade9!M66-M66</f>
        <v>1.2100000000000009</v>
      </c>
      <c r="Q66" s="22"/>
      <c r="R66" s="22"/>
      <c r="S66" s="22">
        <f t="shared" si="20"/>
        <v>1.1930600000000009</v>
      </c>
      <c r="T66" s="22">
        <f t="shared" si="21"/>
        <v>0.10763530159976968</v>
      </c>
    </row>
    <row r="67" spans="1:20" x14ac:dyDescent="0.2">
      <c r="A67" s="5">
        <v>76</v>
      </c>
      <c r="H67" s="21"/>
      <c r="M67" s="5">
        <f>scrimecost*Meta!O64</f>
        <v>58.74</v>
      </c>
      <c r="N67" s="5">
        <f>L67-Grade9!L67</f>
        <v>0</v>
      </c>
      <c r="O67" s="5">
        <f>Grade9!M67-M67</f>
        <v>1.2100000000000009</v>
      </c>
      <c r="Q67" s="22"/>
      <c r="R67" s="22"/>
      <c r="S67" s="22">
        <f t="shared" si="20"/>
        <v>1.1930600000000009</v>
      </c>
      <c r="T67" s="22">
        <f t="shared" si="21"/>
        <v>0.10340533347370992</v>
      </c>
    </row>
    <row r="68" spans="1:20" x14ac:dyDescent="0.2">
      <c r="A68" s="5">
        <v>77</v>
      </c>
      <c r="H68" s="21"/>
      <c r="M68" s="5">
        <f>scrimecost*Meta!O65</f>
        <v>58.74</v>
      </c>
      <c r="N68" s="5">
        <f>L68-Grade9!L68</f>
        <v>0</v>
      </c>
      <c r="O68" s="5">
        <f>Grade9!M68-M68</f>
        <v>1.2100000000000009</v>
      </c>
      <c r="Q68" s="22"/>
      <c r="R68" s="22"/>
      <c r="S68" s="22">
        <f t="shared" si="20"/>
        <v>1.1930600000000009</v>
      </c>
      <c r="T68" s="22">
        <f t="shared" si="21"/>
        <v>9.9341599195482078E-2</v>
      </c>
    </row>
    <row r="69" spans="1:20" x14ac:dyDescent="0.2">
      <c r="A69" s="5">
        <v>78</v>
      </c>
      <c r="H69" s="21"/>
      <c r="M69" s="5">
        <f>scrimecost*Meta!O66</f>
        <v>58.74</v>
      </c>
      <c r="N69" s="5">
        <f>L69-Grade9!L69</f>
        <v>0</v>
      </c>
      <c r="O69" s="5">
        <f>Grade9!M69-M69</f>
        <v>1.2100000000000009</v>
      </c>
      <c r="Q69" s="22"/>
      <c r="R69" s="22"/>
      <c r="S69" s="22">
        <f t="shared" si="20"/>
        <v>1.1930600000000009</v>
      </c>
      <c r="T69" s="22">
        <f t="shared" si="21"/>
        <v>9.5437565928114046E-2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-3.3792128678600264E-9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8" sqref="P8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Meta!A5+6</f>
        <v>17</v>
      </c>
      <c r="C2" s="7">
        <f>Meta!B5</f>
        <v>158016</v>
      </c>
      <c r="D2" s="7">
        <f>Meta!C5</f>
        <v>69970</v>
      </c>
      <c r="E2" s="1">
        <f>Meta!D5</f>
        <v>4.9000000000000002E-2</v>
      </c>
      <c r="F2" s="1">
        <f>Meta!F5</f>
        <v>0.65100000000000002</v>
      </c>
      <c r="G2" s="1">
        <f>Meta!I5</f>
        <v>1.9210422854781857</v>
      </c>
      <c r="H2" s="1">
        <f>Meta!E5</f>
        <v>0.98599999999999999</v>
      </c>
      <c r="I2" s="13"/>
      <c r="J2" s="1">
        <f>Meta!X4</f>
        <v>0.745</v>
      </c>
      <c r="K2" s="1">
        <f>Meta!D4</f>
        <v>5.0999999999999997E-2</v>
      </c>
      <c r="L2" s="29"/>
      <c r="N2" s="22">
        <f>Meta!T5</f>
        <v>245424</v>
      </c>
      <c r="O2" s="22">
        <f>Meta!U5</f>
        <v>103477</v>
      </c>
      <c r="P2" s="1">
        <f>Meta!V5</f>
        <v>0.03</v>
      </c>
      <c r="Q2" s="1">
        <f>Meta!X5</f>
        <v>0.754</v>
      </c>
      <c r="R2" s="22">
        <f>Meta!W5</f>
        <v>1046</v>
      </c>
      <c r="T2" s="12">
        <f>IRR(S5:S69)+1</f>
        <v>1.0395895577823469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B7" s="1">
        <v>1</v>
      </c>
      <c r="C7" s="5">
        <f>0.1*Grade10!C7</f>
        <v>7664.2046573417047</v>
      </c>
      <c r="D7" s="5">
        <f t="shared" ref="D7:D36" si="0">IF(A7&lt;startage,1,0)*(C7*(1-initialunempprob))+IF(A7=startage,1,0)*(C7*(1-unempprob))+IF(A7&gt;startage,1,0)*(C7*(1-unempprob)+unempprob*300*52)</f>
        <v>7273.3302198172778</v>
      </c>
      <c r="E7" s="5">
        <f t="shared" ref="E7:E56" si="1">IF(D7-9500&gt;0,1,0)*(D7-9500)</f>
        <v>0</v>
      </c>
      <c r="F7" s="5">
        <f t="shared" ref="F7:F56" si="2">IF(E7&lt;=8500,1,0)*(0.1*E7+0.1*E7+0.0765*D7)+IF(AND(E7&gt;8500,E7&lt;=34500),1,0)*(850+0.15*(E7-8500)+0.1*E7+0.0765*D7)+IF(AND(E7&gt;34500,E7&lt;=83600),1,0)*(4750+0.25*(E7-34500)+0.1*E7+0.0765*D7)+IF(AND(E7&gt;83600,E7&lt;=174400,D7&lt;=106800),1,0)*(17025+0.28*(E7-83600)+0.1*E7+0.0765*D7)+IF(AND(E7&gt;83600,E7&lt;=174400,D7&gt;106800),1,0)*(17025+0.28*(E7-83600)+0.1*E7+8170.2+0.0145*(D7-106800))+IF(AND(E7&gt;174400,E7&lt;=379150),1,0)*(42449+0.33*(E7-174400)+0.1*E7+8170.2+0.0145*(D7-106800))+IF(E7&gt;379150,1,0)*(110016.5+0.35*(E7-379150)+0.1*E7+8170.2+0.0145*(D7-106800))</f>
        <v>556.40976181602173</v>
      </c>
      <c r="G7" s="5">
        <f t="shared" ref="G7:G56" si="3">D7-F7</f>
        <v>6716.9204580012556</v>
      </c>
      <c r="H7" s="22">
        <f>0.1*Grade10!H7</f>
        <v>3393.7242656150688</v>
      </c>
      <c r="I7" s="5">
        <f t="shared" ref="I7:I36" si="4">G7+IF(A7&lt;startage,1,0)*(H7*(1-initialunempprob))+IF(A7&gt;=startage,1,0)*(H7*(1-unempprob))</f>
        <v>9937.5647860699555</v>
      </c>
      <c r="J7" s="26">
        <f t="shared" ref="J7:J38" si="5">(F7-(IF(A7&gt;startage,1,0)*(unempprob*300*52)))/(IF(A7&lt;startage,1,0)*((C7+H7)*(1-initialunempprob))+IF(A7&gt;=startage,1,0)*((C7+H7)*(1-unempprob)))</f>
        <v>5.3021832602796914E-2</v>
      </c>
      <c r="L7" s="22">
        <f>0.1*Grade10!L7</f>
        <v>16627.822518697223</v>
      </c>
      <c r="M7" s="5">
        <f>scrimecost*Meta!O4</f>
        <v>2456.0079999999998</v>
      </c>
      <c r="N7" s="5">
        <f>L7-Grade10!L7</f>
        <v>-149650.40266827503</v>
      </c>
      <c r="O7" s="5"/>
      <c r="P7" s="22"/>
      <c r="Q7" s="22">
        <f>0.05*feel*Grade10!G7</f>
        <v>684.77568334912917</v>
      </c>
      <c r="R7" s="22">
        <f>hstuition</f>
        <v>11298</v>
      </c>
      <c r="S7" s="22">
        <f t="shared" ref="S7:S38" si="6">IF(A7&lt;startage,1,0)*(N7-Q7-R7)+IF(A7&gt;=startage,1,0)*completionprob*(N7*spart+O7+P7)</f>
        <v>-161633.17835162414</v>
      </c>
      <c r="T7" s="22">
        <f t="shared" ref="T7:T38" si="7">S7/sreturn^(A7-startage+1)</f>
        <v>-161633.17835162414</v>
      </c>
    </row>
    <row r="8" spans="1:20" x14ac:dyDescent="0.2">
      <c r="A8" s="5">
        <v>17</v>
      </c>
      <c r="B8" s="1">
        <f t="shared" ref="B8:B36" si="8">(1+experiencepremium)^(A8-startage)</f>
        <v>1</v>
      </c>
      <c r="C8" s="5">
        <f t="shared" ref="C8:C36" si="9">pretaxincome*B8/expnorm</f>
        <v>82255.347107399401</v>
      </c>
      <c r="D8" s="5">
        <f t="shared" si="0"/>
        <v>78224.835099136821</v>
      </c>
      <c r="E8" s="5">
        <f t="shared" si="1"/>
        <v>68724.835099136821</v>
      </c>
      <c r="F8" s="5">
        <f t="shared" si="2"/>
        <v>26162.892169781855</v>
      </c>
      <c r="G8" s="5">
        <f t="shared" si="3"/>
        <v>52061.942929354962</v>
      </c>
      <c r="H8" s="22">
        <f t="shared" ref="H8:H36" si="10">benefits*B8/expnorm</f>
        <v>36422.935886902182</v>
      </c>
      <c r="I8" s="5">
        <f t="shared" si="4"/>
        <v>86700.154957798935</v>
      </c>
      <c r="J8" s="26">
        <f t="shared" si="5"/>
        <v>0.23181096767843976</v>
      </c>
      <c r="L8" s="22">
        <f t="shared" ref="L8:L36" si="11">(sincome+sbenefits)*(1-sunemp)*B8/expnorm</f>
        <v>176172.05647076998</v>
      </c>
      <c r="M8" s="5">
        <f>scrimecost*Meta!O5</f>
        <v>2836.7520000000004</v>
      </c>
      <c r="N8" s="5">
        <f>L8-Grade10!L8</f>
        <v>5736.8756541234325</v>
      </c>
      <c r="O8" s="5">
        <f>Grade10!M8-M8</f>
        <v>59.66399999999976</v>
      </c>
      <c r="P8" s="22">
        <f t="shared" ref="P8:P39" si="12">(spart-initialspart)*(L8*J8+nptrans)</f>
        <v>426.53353399550969</v>
      </c>
      <c r="Q8" s="22"/>
      <c r="R8" s="22"/>
      <c r="S8" s="22">
        <f t="shared" si="6"/>
        <v>4744.4365523237138</v>
      </c>
      <c r="T8" s="22">
        <f t="shared" si="7"/>
        <v>4563.7593382955374</v>
      </c>
    </row>
    <row r="9" spans="1:20" x14ac:dyDescent="0.2">
      <c r="A9" s="5">
        <v>18</v>
      </c>
      <c r="B9" s="1">
        <f t="shared" si="8"/>
        <v>1.0249999999999999</v>
      </c>
      <c r="C9" s="5">
        <f t="shared" si="9"/>
        <v>84311.730785084379</v>
      </c>
      <c r="D9" s="5">
        <f t="shared" si="0"/>
        <v>80944.855976615232</v>
      </c>
      <c r="E9" s="5">
        <f t="shared" si="1"/>
        <v>71444.855976615232</v>
      </c>
      <c r="F9" s="5">
        <f t="shared" si="2"/>
        <v>27322.9810740264</v>
      </c>
      <c r="G9" s="5">
        <f t="shared" si="3"/>
        <v>53621.874902588832</v>
      </c>
      <c r="H9" s="22">
        <f t="shared" si="10"/>
        <v>37333.509284074738</v>
      </c>
      <c r="I9" s="5">
        <f t="shared" si="4"/>
        <v>89126.042231743908</v>
      </c>
      <c r="J9" s="26">
        <f t="shared" si="5"/>
        <v>0.22957745217208711</v>
      </c>
      <c r="L9" s="22">
        <f t="shared" si="11"/>
        <v>180576.35788253922</v>
      </c>
      <c r="M9" s="5">
        <f>scrimecost*Meta!O6</f>
        <v>3447.616</v>
      </c>
      <c r="N9" s="5">
        <f>L9-Grade10!L9</f>
        <v>5880.2975454765256</v>
      </c>
      <c r="O9" s="5">
        <f>Grade10!M9-M9</f>
        <v>72.511999999999716</v>
      </c>
      <c r="P9" s="22">
        <f t="shared" si="12"/>
        <v>432.09234148669537</v>
      </c>
      <c r="Q9" s="22"/>
      <c r="R9" s="22"/>
      <c r="S9" s="22">
        <f t="shared" si="6"/>
        <v>4869.2118091051316</v>
      </c>
      <c r="T9" s="22">
        <f t="shared" si="7"/>
        <v>4505.4155072052399</v>
      </c>
    </row>
    <row r="10" spans="1:20" x14ac:dyDescent="0.2">
      <c r="A10" s="5">
        <v>19</v>
      </c>
      <c r="B10" s="1">
        <f t="shared" si="8"/>
        <v>1.0506249999999999</v>
      </c>
      <c r="C10" s="5">
        <f t="shared" si="9"/>
        <v>86419.524054711481</v>
      </c>
      <c r="D10" s="5">
        <f t="shared" si="0"/>
        <v>82949.367376030612</v>
      </c>
      <c r="E10" s="5">
        <f t="shared" si="1"/>
        <v>73449.367376030612</v>
      </c>
      <c r="F10" s="5">
        <f t="shared" si="2"/>
        <v>28177.905185877054</v>
      </c>
      <c r="G10" s="5">
        <f t="shared" si="3"/>
        <v>54771.462190153557</v>
      </c>
      <c r="H10" s="22">
        <f t="shared" si="10"/>
        <v>38266.847016176609</v>
      </c>
      <c r="I10" s="5">
        <f t="shared" si="4"/>
        <v>91163.233702537516</v>
      </c>
      <c r="J10" s="26">
        <f t="shared" si="5"/>
        <v>0.23118788257176015</v>
      </c>
      <c r="L10" s="22">
        <f t="shared" si="11"/>
        <v>185090.76682960271</v>
      </c>
      <c r="M10" s="5">
        <f>scrimecost*Meta!O7</f>
        <v>3685.058</v>
      </c>
      <c r="N10" s="5">
        <f>L10-Grade10!L10</f>
        <v>6027.3049841134634</v>
      </c>
      <c r="O10" s="5">
        <f>Grade10!M10-M10</f>
        <v>77.506000000000313</v>
      </c>
      <c r="P10" s="22">
        <f t="shared" si="12"/>
        <v>444.10268220227351</v>
      </c>
      <c r="Q10" s="22"/>
      <c r="R10" s="22"/>
      <c r="S10" s="22">
        <f t="shared" si="6"/>
        <v>4995.2698872606916</v>
      </c>
      <c r="T10" s="22">
        <f t="shared" si="7"/>
        <v>4446.0386303488976</v>
      </c>
    </row>
    <row r="11" spans="1:20" x14ac:dyDescent="0.2">
      <c r="A11" s="5">
        <v>20</v>
      </c>
      <c r="B11" s="1">
        <f t="shared" si="8"/>
        <v>1.0768906249999999</v>
      </c>
      <c r="C11" s="5">
        <f t="shared" si="9"/>
        <v>88580.012156079276</v>
      </c>
      <c r="D11" s="5">
        <f t="shared" si="0"/>
        <v>85003.991560431386</v>
      </c>
      <c r="E11" s="5">
        <f t="shared" si="1"/>
        <v>75503.991560431386</v>
      </c>
      <c r="F11" s="5">
        <f t="shared" si="2"/>
        <v>29054.202400523987</v>
      </c>
      <c r="G11" s="5">
        <f t="shared" si="3"/>
        <v>55949.789159907399</v>
      </c>
      <c r="H11" s="22">
        <f t="shared" si="10"/>
        <v>39223.518191581017</v>
      </c>
      <c r="I11" s="5">
        <f t="shared" si="4"/>
        <v>93251.354960100944</v>
      </c>
      <c r="J11" s="26">
        <f t="shared" si="5"/>
        <v>0.23275903418119734</v>
      </c>
      <c r="L11" s="22">
        <f t="shared" si="11"/>
        <v>189718.03600034275</v>
      </c>
      <c r="M11" s="5">
        <f>scrimecost*Meta!O8</f>
        <v>3529.2040000000002</v>
      </c>
      <c r="N11" s="5">
        <f>L11-Grade10!L11</f>
        <v>6177.9876087162702</v>
      </c>
      <c r="O11" s="5">
        <f>Grade10!M11-M11</f>
        <v>74.228000000000065</v>
      </c>
      <c r="P11" s="22">
        <f t="shared" si="12"/>
        <v>456.41328143574106</v>
      </c>
      <c r="Q11" s="22"/>
      <c r="R11" s="22"/>
      <c r="S11" s="22">
        <f t="shared" si="6"/>
        <v>5116.2001232700986</v>
      </c>
      <c r="T11" s="22">
        <f t="shared" si="7"/>
        <v>4380.2599983373239</v>
      </c>
    </row>
    <row r="12" spans="1:20" x14ac:dyDescent="0.2">
      <c r="A12" s="5">
        <v>21</v>
      </c>
      <c r="B12" s="1">
        <f t="shared" si="8"/>
        <v>1.1038128906249998</v>
      </c>
      <c r="C12" s="5">
        <f t="shared" si="9"/>
        <v>90794.512459981241</v>
      </c>
      <c r="D12" s="5">
        <f t="shared" si="0"/>
        <v>87109.981349442154</v>
      </c>
      <c r="E12" s="5">
        <f t="shared" si="1"/>
        <v>77609.981349442154</v>
      </c>
      <c r="F12" s="5">
        <f t="shared" si="2"/>
        <v>29952.407045537082</v>
      </c>
      <c r="G12" s="5">
        <f t="shared" si="3"/>
        <v>57157.574303905072</v>
      </c>
      <c r="H12" s="22">
        <f t="shared" si="10"/>
        <v>40204.106146370541</v>
      </c>
      <c r="I12" s="5">
        <f t="shared" si="4"/>
        <v>95391.679249103458</v>
      </c>
      <c r="J12" s="26">
        <f t="shared" si="5"/>
        <v>0.23429186501967261</v>
      </c>
      <c r="L12" s="22">
        <f t="shared" si="11"/>
        <v>194460.9869003513</v>
      </c>
      <c r="M12" s="5">
        <f>scrimecost*Meta!O9</f>
        <v>3204.944</v>
      </c>
      <c r="N12" s="5">
        <f>L12-Grade10!L12</f>
        <v>6332.43729893415</v>
      </c>
      <c r="O12" s="5">
        <f>Grade10!M12-M12</f>
        <v>67.407999999999902</v>
      </c>
      <c r="P12" s="22">
        <f t="shared" si="12"/>
        <v>469.03164565004533</v>
      </c>
      <c r="Q12" s="22"/>
      <c r="R12" s="22"/>
      <c r="S12" s="22">
        <f t="shared" si="6"/>
        <v>5236.7420058797434</v>
      </c>
      <c r="T12" s="22">
        <f t="shared" si="7"/>
        <v>4312.72370214071</v>
      </c>
    </row>
    <row r="13" spans="1:20" x14ac:dyDescent="0.2">
      <c r="A13" s="5">
        <v>22</v>
      </c>
      <c r="B13" s="1">
        <f t="shared" si="8"/>
        <v>1.1314082128906247</v>
      </c>
      <c r="C13" s="5">
        <f t="shared" si="9"/>
        <v>93064.375271480763</v>
      </c>
      <c r="D13" s="5">
        <f t="shared" si="0"/>
        <v>89268.620883178199</v>
      </c>
      <c r="E13" s="5">
        <f t="shared" si="1"/>
        <v>79768.620883178199</v>
      </c>
      <c r="F13" s="5">
        <f t="shared" si="2"/>
        <v>30873.066806675502</v>
      </c>
      <c r="G13" s="5">
        <f t="shared" si="3"/>
        <v>58395.554076502696</v>
      </c>
      <c r="H13" s="22">
        <f t="shared" si="10"/>
        <v>41209.208800029795</v>
      </c>
      <c r="I13" s="5">
        <f t="shared" si="4"/>
        <v>97585.511645331033</v>
      </c>
      <c r="J13" s="26">
        <f t="shared" si="5"/>
        <v>0.23578730974013626</v>
      </c>
      <c r="L13" s="22">
        <f t="shared" si="11"/>
        <v>199322.51157286009</v>
      </c>
      <c r="M13" s="5">
        <f>scrimecost*Meta!O10</f>
        <v>2937.1679999999997</v>
      </c>
      <c r="N13" s="5">
        <f>L13-Grade10!L13</f>
        <v>6490.748231407546</v>
      </c>
      <c r="O13" s="5">
        <f>Grade10!M13-M13</f>
        <v>61.776000000000295</v>
      </c>
      <c r="P13" s="22">
        <f t="shared" si="12"/>
        <v>481.96546896970716</v>
      </c>
      <c r="Q13" s="22"/>
      <c r="R13" s="22"/>
      <c r="S13" s="22">
        <f t="shared" si="6"/>
        <v>5361.6369165546821</v>
      </c>
      <c r="T13" s="22">
        <f t="shared" si="7"/>
        <v>4247.4272541544024</v>
      </c>
    </row>
    <row r="14" spans="1:20" x14ac:dyDescent="0.2">
      <c r="A14" s="5">
        <v>23</v>
      </c>
      <c r="B14" s="1">
        <f t="shared" si="8"/>
        <v>1.1596934182128902</v>
      </c>
      <c r="C14" s="5">
        <f t="shared" si="9"/>
        <v>95390.984653267762</v>
      </c>
      <c r="D14" s="5">
        <f t="shared" si="0"/>
        <v>91481.226405257636</v>
      </c>
      <c r="E14" s="5">
        <f t="shared" si="1"/>
        <v>81981.226405257636</v>
      </c>
      <c r="F14" s="5">
        <f t="shared" si="2"/>
        <v>31816.743061842382</v>
      </c>
      <c r="G14" s="5">
        <f t="shared" si="3"/>
        <v>59664.483343415253</v>
      </c>
      <c r="H14" s="22">
        <f t="shared" si="10"/>
        <v>42239.439020030542</v>
      </c>
      <c r="I14" s="5">
        <f t="shared" si="4"/>
        <v>99834.189851464296</v>
      </c>
      <c r="J14" s="26">
        <f t="shared" si="5"/>
        <v>0.23724628019912522</v>
      </c>
      <c r="L14" s="22">
        <f t="shared" si="11"/>
        <v>204305.57436218156</v>
      </c>
      <c r="M14" s="5">
        <f>scrimecost*Meta!O11</f>
        <v>2744.7040000000002</v>
      </c>
      <c r="N14" s="5">
        <f>L14-Grade10!L14</f>
        <v>6653.0169371927041</v>
      </c>
      <c r="O14" s="5">
        <f>Grade10!M14-M14</f>
        <v>57.728000000000065</v>
      </c>
      <c r="P14" s="22">
        <f t="shared" si="12"/>
        <v>495.22263787236051</v>
      </c>
      <c r="Q14" s="22"/>
      <c r="R14" s="22"/>
      <c r="S14" s="22">
        <f t="shared" si="6"/>
        <v>5491.3548527964404</v>
      </c>
      <c r="T14" s="22">
        <f t="shared" si="7"/>
        <v>4184.5248276076509</v>
      </c>
    </row>
    <row r="15" spans="1:20" x14ac:dyDescent="0.2">
      <c r="A15" s="5">
        <v>24</v>
      </c>
      <c r="B15" s="1">
        <f t="shared" si="8"/>
        <v>1.1886857536682125</v>
      </c>
      <c r="C15" s="5">
        <f t="shared" si="9"/>
        <v>97775.759269599468</v>
      </c>
      <c r="D15" s="5">
        <f t="shared" si="0"/>
        <v>93749.147065389086</v>
      </c>
      <c r="E15" s="5">
        <f t="shared" si="1"/>
        <v>84249.147065389086</v>
      </c>
      <c r="F15" s="5">
        <f t="shared" si="2"/>
        <v>32803.485635350124</v>
      </c>
      <c r="G15" s="5">
        <f t="shared" si="3"/>
        <v>60945.661430038963</v>
      </c>
      <c r="H15" s="22">
        <f t="shared" si="10"/>
        <v>43295.424995531306</v>
      </c>
      <c r="I15" s="5">
        <f t="shared" si="4"/>
        <v>102119.61060078922</v>
      </c>
      <c r="J15" s="26">
        <f t="shared" si="5"/>
        <v>0.23881482553286401</v>
      </c>
      <c r="L15" s="22">
        <f t="shared" si="11"/>
        <v>209413.21372123613</v>
      </c>
      <c r="M15" s="5">
        <f>scrimecost*Meta!O12</f>
        <v>2622.3220000000001</v>
      </c>
      <c r="N15" s="5">
        <f>L15-Grade10!L15</f>
        <v>6819.3423606225406</v>
      </c>
      <c r="O15" s="5">
        <f>Grade10!M15-M15</f>
        <v>55.153999999999996</v>
      </c>
      <c r="P15" s="22">
        <f t="shared" si="12"/>
        <v>509.08482089202073</v>
      </c>
      <c r="Q15" s="22"/>
      <c r="R15" s="22"/>
      <c r="S15" s="22">
        <f t="shared" si="6"/>
        <v>5626.1386393501971</v>
      </c>
      <c r="T15" s="22">
        <f t="shared" si="7"/>
        <v>4123.9668101947136</v>
      </c>
    </row>
    <row r="16" spans="1:20" x14ac:dyDescent="0.2">
      <c r="A16" s="5">
        <v>25</v>
      </c>
      <c r="B16" s="1">
        <f t="shared" si="8"/>
        <v>1.2184028975099177</v>
      </c>
      <c r="C16" s="5">
        <f t="shared" si="9"/>
        <v>100220.15325133945</v>
      </c>
      <c r="D16" s="5">
        <f t="shared" si="0"/>
        <v>96073.76574202381</v>
      </c>
      <c r="E16" s="5">
        <f t="shared" si="1"/>
        <v>86573.76574202381</v>
      </c>
      <c r="F16" s="5">
        <f t="shared" si="2"/>
        <v>33864.674061233869</v>
      </c>
      <c r="G16" s="5">
        <f t="shared" si="3"/>
        <v>62209.091680789941</v>
      </c>
      <c r="H16" s="22">
        <f t="shared" si="10"/>
        <v>44377.810620419586</v>
      </c>
      <c r="I16" s="5">
        <f t="shared" si="4"/>
        <v>104412.38958080896</v>
      </c>
      <c r="J16" s="26">
        <f t="shared" si="5"/>
        <v>0.24070709696524167</v>
      </c>
      <c r="L16" s="22">
        <f t="shared" si="11"/>
        <v>214648.54406426699</v>
      </c>
      <c r="M16" s="5">
        <f>scrimecost*Meta!O13</f>
        <v>2201.83</v>
      </c>
      <c r="N16" s="5">
        <f>L16-Grade10!L16</f>
        <v>6989.8259196381259</v>
      </c>
      <c r="O16" s="5">
        <f>Grade10!M16-M16</f>
        <v>46.309999999999945</v>
      </c>
      <c r="P16" s="22">
        <f t="shared" si="12"/>
        <v>523.99285118572959</v>
      </c>
      <c r="Q16" s="22"/>
      <c r="R16" s="22"/>
      <c r="S16" s="22">
        <f t="shared" si="6"/>
        <v>5758.8627522685765</v>
      </c>
      <c r="T16" s="22">
        <f t="shared" si="7"/>
        <v>4060.5003416227751</v>
      </c>
    </row>
    <row r="17" spans="1:20" x14ac:dyDescent="0.2">
      <c r="A17" s="5">
        <v>26</v>
      </c>
      <c r="B17" s="1">
        <f t="shared" si="8"/>
        <v>1.2488629699476654</v>
      </c>
      <c r="C17" s="5">
        <f t="shared" si="9"/>
        <v>102725.65708262293</v>
      </c>
      <c r="D17" s="5">
        <f t="shared" si="0"/>
        <v>98456.499885574391</v>
      </c>
      <c r="E17" s="5">
        <f t="shared" si="1"/>
        <v>88956.499885574391</v>
      </c>
      <c r="F17" s="5">
        <f t="shared" si="2"/>
        <v>34952.392197764711</v>
      </c>
      <c r="G17" s="5">
        <f t="shared" si="3"/>
        <v>63504.107687809679</v>
      </c>
      <c r="H17" s="22">
        <f t="shared" si="10"/>
        <v>45487.255885930063</v>
      </c>
      <c r="I17" s="5">
        <f t="shared" si="4"/>
        <v>106762.48803532917</v>
      </c>
      <c r="J17" s="26">
        <f t="shared" si="5"/>
        <v>0.24255321543585404</v>
      </c>
      <c r="L17" s="22">
        <f t="shared" si="11"/>
        <v>220014.75766587365</v>
      </c>
      <c r="M17" s="5">
        <f>scrimecost*Meta!O14</f>
        <v>2201.83</v>
      </c>
      <c r="N17" s="5">
        <f>L17-Grade10!L17</f>
        <v>7164.5715676290565</v>
      </c>
      <c r="O17" s="5">
        <f>Grade10!M17-M17</f>
        <v>46.309999999999945</v>
      </c>
      <c r="P17" s="22">
        <f t="shared" si="12"/>
        <v>539.27358223678129</v>
      </c>
      <c r="Q17" s="22"/>
      <c r="R17" s="22"/>
      <c r="S17" s="22">
        <f t="shared" si="6"/>
        <v>5903.8431566098825</v>
      </c>
      <c r="T17" s="22">
        <f t="shared" si="7"/>
        <v>4004.1996728526979</v>
      </c>
    </row>
    <row r="18" spans="1:20" x14ac:dyDescent="0.2">
      <c r="A18" s="5">
        <v>27</v>
      </c>
      <c r="B18" s="1">
        <f t="shared" si="8"/>
        <v>1.2800845441963571</v>
      </c>
      <c r="C18" s="5">
        <f t="shared" si="9"/>
        <v>105293.79850968848</v>
      </c>
      <c r="D18" s="5">
        <f t="shared" si="0"/>
        <v>100898.80238271374</v>
      </c>
      <c r="E18" s="5">
        <f t="shared" si="1"/>
        <v>91398.802382713737</v>
      </c>
      <c r="F18" s="5">
        <f t="shared" si="2"/>
        <v>36067.303287708819</v>
      </c>
      <c r="G18" s="5">
        <f t="shared" si="3"/>
        <v>64831.499095004918</v>
      </c>
      <c r="H18" s="22">
        <f t="shared" si="10"/>
        <v>46624.437283078318</v>
      </c>
      <c r="I18" s="5">
        <f t="shared" si="4"/>
        <v>109171.3389512124</v>
      </c>
      <c r="J18" s="26">
        <f t="shared" si="5"/>
        <v>0.24435430662669538</v>
      </c>
      <c r="L18" s="22">
        <f t="shared" si="11"/>
        <v>225515.12660752048</v>
      </c>
      <c r="M18" s="5">
        <f>scrimecost*Meta!O15</f>
        <v>2201.83</v>
      </c>
      <c r="N18" s="5">
        <f>L18-Grade10!L18</f>
        <v>7343.685856819764</v>
      </c>
      <c r="O18" s="5">
        <f>Grade10!M18-M18</f>
        <v>46.309999999999945</v>
      </c>
      <c r="P18" s="22">
        <f t="shared" si="12"/>
        <v>554.93633156410931</v>
      </c>
      <c r="Q18" s="22"/>
      <c r="R18" s="22"/>
      <c r="S18" s="22">
        <f t="shared" si="6"/>
        <v>6052.4480710597236</v>
      </c>
      <c r="T18" s="22">
        <f t="shared" si="7"/>
        <v>3948.6630686527933</v>
      </c>
    </row>
    <row r="19" spans="1:20" x14ac:dyDescent="0.2">
      <c r="A19" s="5">
        <v>28</v>
      </c>
      <c r="B19" s="1">
        <f t="shared" si="8"/>
        <v>1.312086657801266</v>
      </c>
      <c r="C19" s="5">
        <f t="shared" si="9"/>
        <v>107926.1434724307</v>
      </c>
      <c r="D19" s="5">
        <f t="shared" si="0"/>
        <v>103402.16244228159</v>
      </c>
      <c r="E19" s="5">
        <f t="shared" si="1"/>
        <v>93902.162442281595</v>
      </c>
      <c r="F19" s="5">
        <f t="shared" si="2"/>
        <v>37210.08715490155</v>
      </c>
      <c r="G19" s="5">
        <f t="shared" si="3"/>
        <v>66192.075287380052</v>
      </c>
      <c r="H19" s="22">
        <f t="shared" si="10"/>
        <v>47790.048215155279</v>
      </c>
      <c r="I19" s="5">
        <f t="shared" si="4"/>
        <v>111640.41113999272</v>
      </c>
      <c r="J19" s="26">
        <f t="shared" si="5"/>
        <v>0.24611146876410159</v>
      </c>
      <c r="L19" s="22">
        <f t="shared" si="11"/>
        <v>231153.00477270849</v>
      </c>
      <c r="M19" s="5">
        <f>scrimecost*Meta!O16</f>
        <v>2201.83</v>
      </c>
      <c r="N19" s="5">
        <f>L19-Grade10!L19</f>
        <v>7527.2780032402661</v>
      </c>
      <c r="O19" s="5">
        <f>Grade10!M19-M19</f>
        <v>46.309999999999945</v>
      </c>
      <c r="P19" s="22">
        <f t="shared" si="12"/>
        <v>570.99064962462057</v>
      </c>
      <c r="Q19" s="22"/>
      <c r="R19" s="22"/>
      <c r="S19" s="22">
        <f t="shared" si="6"/>
        <v>6204.768108370833</v>
      </c>
      <c r="T19" s="22">
        <f t="shared" si="7"/>
        <v>3893.8807984621717</v>
      </c>
    </row>
    <row r="20" spans="1:20" x14ac:dyDescent="0.2">
      <c r="A20" s="5">
        <v>29</v>
      </c>
      <c r="B20" s="1">
        <f t="shared" si="8"/>
        <v>1.3448888242462975</v>
      </c>
      <c r="C20" s="5">
        <f t="shared" si="9"/>
        <v>110624.29705924145</v>
      </c>
      <c r="D20" s="5">
        <f t="shared" si="0"/>
        <v>105968.10650333861</v>
      </c>
      <c r="E20" s="5">
        <f t="shared" si="1"/>
        <v>96468.106503338611</v>
      </c>
      <c r="F20" s="5">
        <f t="shared" si="2"/>
        <v>38381.440618774082</v>
      </c>
      <c r="G20" s="5">
        <f t="shared" si="3"/>
        <v>67586.665884564529</v>
      </c>
      <c r="H20" s="22">
        <f t="shared" si="10"/>
        <v>48984.799420534153</v>
      </c>
      <c r="I20" s="5">
        <f t="shared" si="4"/>
        <v>114171.21013349251</v>
      </c>
      <c r="J20" s="26">
        <f t="shared" si="5"/>
        <v>0.2478257732884003</v>
      </c>
      <c r="L20" s="22">
        <f t="shared" si="11"/>
        <v>236931.82989202617</v>
      </c>
      <c r="M20" s="5">
        <f>scrimecost*Meta!O17</f>
        <v>2201.83</v>
      </c>
      <c r="N20" s="5">
        <f>L20-Grade10!L20</f>
        <v>7715.4599533212604</v>
      </c>
      <c r="O20" s="5">
        <f>Grade10!M20-M20</f>
        <v>46.309999999999945</v>
      </c>
      <c r="P20" s="22">
        <f t="shared" si="12"/>
        <v>587.44632563664447</v>
      </c>
      <c r="Q20" s="22"/>
      <c r="R20" s="22"/>
      <c r="S20" s="22">
        <f t="shared" si="6"/>
        <v>6360.896146614703</v>
      </c>
      <c r="T20" s="22">
        <f t="shared" si="7"/>
        <v>3839.8432304898902</v>
      </c>
    </row>
    <row r="21" spans="1:20" x14ac:dyDescent="0.2">
      <c r="A21" s="5">
        <v>30</v>
      </c>
      <c r="B21" s="1">
        <f t="shared" si="8"/>
        <v>1.3785110448524549</v>
      </c>
      <c r="C21" s="5">
        <f t="shared" si="9"/>
        <v>113389.90448572249</v>
      </c>
      <c r="D21" s="5">
        <f t="shared" si="0"/>
        <v>108598.19916592208</v>
      </c>
      <c r="E21" s="5">
        <f t="shared" si="1"/>
        <v>99098.19916592208</v>
      </c>
      <c r="F21" s="5">
        <f t="shared" si="2"/>
        <v>39470.589570956261</v>
      </c>
      <c r="G21" s="5">
        <f t="shared" si="3"/>
        <v>69127.609594965819</v>
      </c>
      <c r="H21" s="22">
        <f t="shared" si="10"/>
        <v>50209.419406047506</v>
      </c>
      <c r="I21" s="5">
        <f t="shared" si="4"/>
        <v>116876.767450117</v>
      </c>
      <c r="J21" s="26">
        <f t="shared" si="5"/>
        <v>0.24878168092481762</v>
      </c>
      <c r="L21" s="22">
        <f t="shared" si="11"/>
        <v>242855.12563932684</v>
      </c>
      <c r="M21" s="5">
        <f>scrimecost*Meta!O18</f>
        <v>1775.0620000000001</v>
      </c>
      <c r="N21" s="5">
        <f>L21-Grade10!L21</f>
        <v>7908.3464521543356</v>
      </c>
      <c r="O21" s="5">
        <f>Grade10!M21-M21</f>
        <v>37.333999999999833</v>
      </c>
      <c r="P21" s="22">
        <f t="shared" si="12"/>
        <v>602.74715739983606</v>
      </c>
      <c r="Q21" s="22"/>
      <c r="R21" s="22"/>
      <c r="S21" s="22">
        <f t="shared" si="6"/>
        <v>6510.5327409716665</v>
      </c>
      <c r="T21" s="22">
        <f t="shared" si="7"/>
        <v>3780.5049192663901</v>
      </c>
    </row>
    <row r="22" spans="1:20" x14ac:dyDescent="0.2">
      <c r="A22" s="5">
        <v>31</v>
      </c>
      <c r="B22" s="1">
        <f t="shared" si="8"/>
        <v>1.4129738209737661</v>
      </c>
      <c r="C22" s="5">
        <f t="shared" si="9"/>
        <v>116224.65209786555</v>
      </c>
      <c r="D22" s="5">
        <f t="shared" si="0"/>
        <v>111294.04414507012</v>
      </c>
      <c r="E22" s="5">
        <f t="shared" si="1"/>
        <v>101794.04414507012</v>
      </c>
      <c r="F22" s="5">
        <f t="shared" si="2"/>
        <v>40534.100415230161</v>
      </c>
      <c r="G22" s="5">
        <f t="shared" si="3"/>
        <v>70759.943729839957</v>
      </c>
      <c r="H22" s="22">
        <f t="shared" si="10"/>
        <v>51464.65489119869</v>
      </c>
      <c r="I22" s="5">
        <f t="shared" si="4"/>
        <v>119702.83053136991</v>
      </c>
      <c r="J22" s="26">
        <f t="shared" si="5"/>
        <v>0.24938276315779537</v>
      </c>
      <c r="L22" s="22">
        <f t="shared" si="11"/>
        <v>248926.50378030998</v>
      </c>
      <c r="M22" s="5">
        <f>scrimecost*Meta!O19</f>
        <v>1775.0620000000001</v>
      </c>
      <c r="N22" s="5">
        <f>L22-Grade10!L22</f>
        <v>8106.0551134581328</v>
      </c>
      <c r="O22" s="5">
        <f>Grade10!M22-M22</f>
        <v>37.333999999999833</v>
      </c>
      <c r="P22" s="22">
        <f t="shared" si="12"/>
        <v>617.68781402348839</v>
      </c>
      <c r="Q22" s="22"/>
      <c r="R22" s="22"/>
      <c r="S22" s="22">
        <f t="shared" si="6"/>
        <v>6672.2495463969271</v>
      </c>
      <c r="T22" s="22">
        <f t="shared" si="7"/>
        <v>3726.864923794541</v>
      </c>
    </row>
    <row r="23" spans="1:20" x14ac:dyDescent="0.2">
      <c r="A23" s="5">
        <v>32</v>
      </c>
      <c r="B23" s="1">
        <f t="shared" si="8"/>
        <v>1.4482981664981105</v>
      </c>
      <c r="C23" s="5">
        <f t="shared" si="9"/>
        <v>119130.2684003122</v>
      </c>
      <c r="D23" s="5">
        <f t="shared" si="0"/>
        <v>114057.28524869689</v>
      </c>
      <c r="E23" s="5">
        <f t="shared" si="1"/>
        <v>104557.28524869689</v>
      </c>
      <c r="F23" s="5">
        <f t="shared" si="2"/>
        <v>41624.199030610922</v>
      </c>
      <c r="G23" s="5">
        <f t="shared" si="3"/>
        <v>72433.086218085969</v>
      </c>
      <c r="H23" s="22">
        <f t="shared" si="10"/>
        <v>52751.271263478659</v>
      </c>
      <c r="I23" s="5">
        <f t="shared" si="4"/>
        <v>122599.54518965416</v>
      </c>
      <c r="J23" s="26">
        <f t="shared" si="5"/>
        <v>0.24996918484850544</v>
      </c>
      <c r="L23" s="22">
        <f t="shared" si="11"/>
        <v>255149.66637481778</v>
      </c>
      <c r="M23" s="5">
        <f>scrimecost*Meta!O20</f>
        <v>1775.0620000000001</v>
      </c>
      <c r="N23" s="5">
        <f>L23-Grade10!L23</f>
        <v>8308.7064912946662</v>
      </c>
      <c r="O23" s="5">
        <f>Grade10!M23-M23</f>
        <v>37.333999999999833</v>
      </c>
      <c r="P23" s="22">
        <f t="shared" si="12"/>
        <v>633.00198706273238</v>
      </c>
      <c r="Q23" s="22"/>
      <c r="R23" s="22"/>
      <c r="S23" s="22">
        <f t="shared" si="6"/>
        <v>6838.0092719579261</v>
      </c>
      <c r="T23" s="22">
        <f t="shared" si="7"/>
        <v>3673.9999703416347</v>
      </c>
    </row>
    <row r="24" spans="1:20" x14ac:dyDescent="0.2">
      <c r="A24" s="5">
        <v>33</v>
      </c>
      <c r="B24" s="1">
        <f t="shared" si="8"/>
        <v>1.4845056206605631</v>
      </c>
      <c r="C24" s="5">
        <f t="shared" si="9"/>
        <v>122108.52511031998</v>
      </c>
      <c r="D24" s="5">
        <f t="shared" si="0"/>
        <v>116889.60737991429</v>
      </c>
      <c r="E24" s="5">
        <f t="shared" si="1"/>
        <v>107389.60737991429</v>
      </c>
      <c r="F24" s="5">
        <f t="shared" si="2"/>
        <v>42741.550111376186</v>
      </c>
      <c r="G24" s="5">
        <f t="shared" si="3"/>
        <v>74148.057268538105</v>
      </c>
      <c r="H24" s="22">
        <f t="shared" si="10"/>
        <v>54070.053045065622</v>
      </c>
      <c r="I24" s="5">
        <f t="shared" si="4"/>
        <v>125568.67771439551</v>
      </c>
      <c r="J24" s="26">
        <f t="shared" si="5"/>
        <v>0.25054130357114929</v>
      </c>
      <c r="L24" s="22">
        <f t="shared" si="11"/>
        <v>261528.40803418818</v>
      </c>
      <c r="M24" s="5">
        <f>scrimecost*Meta!O21</f>
        <v>1775.0620000000001</v>
      </c>
      <c r="N24" s="5">
        <f>L24-Grade10!L24</f>
        <v>8516.4241535770125</v>
      </c>
      <c r="O24" s="5">
        <f>Grade10!M24-M24</f>
        <v>37.333999999999833</v>
      </c>
      <c r="P24" s="22">
        <f t="shared" si="12"/>
        <v>648.69901442795708</v>
      </c>
      <c r="Q24" s="22"/>
      <c r="R24" s="22"/>
      <c r="S24" s="22">
        <f t="shared" si="6"/>
        <v>7007.9129906578737</v>
      </c>
      <c r="T24" s="22">
        <f t="shared" si="7"/>
        <v>3621.8983342771066</v>
      </c>
    </row>
    <row r="25" spans="1:20" x14ac:dyDescent="0.2">
      <c r="A25" s="5">
        <v>34</v>
      </c>
      <c r="B25" s="1">
        <f t="shared" si="8"/>
        <v>1.521618261177077</v>
      </c>
      <c r="C25" s="5">
        <f t="shared" si="9"/>
        <v>125161.23823807797</v>
      </c>
      <c r="D25" s="5">
        <f t="shared" si="0"/>
        <v>119792.73756441215</v>
      </c>
      <c r="E25" s="5">
        <f t="shared" si="1"/>
        <v>110292.73756441215</v>
      </c>
      <c r="F25" s="5">
        <f t="shared" si="2"/>
        <v>43886.834969160591</v>
      </c>
      <c r="G25" s="5">
        <f t="shared" si="3"/>
        <v>75905.902595251566</v>
      </c>
      <c r="H25" s="22">
        <f t="shared" si="10"/>
        <v>55421.804371192258</v>
      </c>
      <c r="I25" s="5">
        <f t="shared" si="4"/>
        <v>128612.0385522554</v>
      </c>
      <c r="J25" s="26">
        <f t="shared" si="5"/>
        <v>0.25109946817860684</v>
      </c>
      <c r="L25" s="22">
        <f t="shared" si="11"/>
        <v>268066.61823504284</v>
      </c>
      <c r="M25" s="5">
        <f>scrimecost*Meta!O22</f>
        <v>1775.0620000000001</v>
      </c>
      <c r="N25" s="5">
        <f>L25-Grade10!L25</f>
        <v>8729.3347574163927</v>
      </c>
      <c r="O25" s="5">
        <f>Grade10!M25-M25</f>
        <v>37.333999999999833</v>
      </c>
      <c r="P25" s="22">
        <f t="shared" si="12"/>
        <v>664.78846747731268</v>
      </c>
      <c r="Q25" s="22"/>
      <c r="R25" s="22"/>
      <c r="S25" s="22">
        <f t="shared" si="6"/>
        <v>7182.0643023253033</v>
      </c>
      <c r="T25" s="22">
        <f t="shared" si="7"/>
        <v>3570.5484877963936</v>
      </c>
    </row>
    <row r="26" spans="1:20" x14ac:dyDescent="0.2">
      <c r="A26" s="5">
        <v>35</v>
      </c>
      <c r="B26" s="1">
        <f t="shared" si="8"/>
        <v>1.559658717706504</v>
      </c>
      <c r="C26" s="5">
        <f t="shared" si="9"/>
        <v>128290.26919402993</v>
      </c>
      <c r="D26" s="5">
        <f t="shared" si="0"/>
        <v>122768.44600352245</v>
      </c>
      <c r="E26" s="5">
        <f t="shared" si="1"/>
        <v>113268.44600352245</v>
      </c>
      <c r="F26" s="5">
        <f t="shared" si="2"/>
        <v>45060.751948389603</v>
      </c>
      <c r="G26" s="5">
        <f t="shared" si="3"/>
        <v>77707.694055132844</v>
      </c>
      <c r="H26" s="22">
        <f t="shared" si="10"/>
        <v>56807.349480472069</v>
      </c>
      <c r="I26" s="5">
        <f t="shared" si="4"/>
        <v>131731.48341106178</v>
      </c>
      <c r="J26" s="26">
        <f t="shared" si="5"/>
        <v>0.25164401901515071</v>
      </c>
      <c r="L26" s="22">
        <f t="shared" si="11"/>
        <v>274768.28369091894</v>
      </c>
      <c r="M26" s="5">
        <f>scrimecost*Meta!O23</f>
        <v>1377.5819999999999</v>
      </c>
      <c r="N26" s="5">
        <f>L26-Grade10!L26</f>
        <v>8947.5681263518054</v>
      </c>
      <c r="O26" s="5">
        <f>Grade10!M26-M26</f>
        <v>28.97400000000016</v>
      </c>
      <c r="P26" s="22">
        <f t="shared" si="12"/>
        <v>681.280156852902</v>
      </c>
      <c r="Q26" s="22"/>
      <c r="R26" s="22"/>
      <c r="S26" s="22">
        <f t="shared" si="6"/>
        <v>7352.3264367844531</v>
      </c>
      <c r="T26" s="22">
        <f t="shared" si="7"/>
        <v>3515.9971838832116</v>
      </c>
    </row>
    <row r="27" spans="1:20" x14ac:dyDescent="0.2">
      <c r="A27" s="5">
        <v>36</v>
      </c>
      <c r="B27" s="1">
        <f t="shared" si="8"/>
        <v>1.5986501856491666</v>
      </c>
      <c r="C27" s="5">
        <f t="shared" si="9"/>
        <v>131497.52592388069</v>
      </c>
      <c r="D27" s="5">
        <f t="shared" si="0"/>
        <v>125818.54715361052</v>
      </c>
      <c r="E27" s="5">
        <f t="shared" si="1"/>
        <v>116318.54715361052</v>
      </c>
      <c r="F27" s="5">
        <f t="shared" si="2"/>
        <v>46264.016852099354</v>
      </c>
      <c r="G27" s="5">
        <f t="shared" si="3"/>
        <v>79554.530301511171</v>
      </c>
      <c r="H27" s="22">
        <f t="shared" si="10"/>
        <v>58227.53321748387</v>
      </c>
      <c r="I27" s="5">
        <f t="shared" si="4"/>
        <v>134928.91439133833</v>
      </c>
      <c r="J27" s="26">
        <f t="shared" si="5"/>
        <v>0.25217528812397405</v>
      </c>
      <c r="L27" s="22">
        <f t="shared" si="11"/>
        <v>281637.49078319187</v>
      </c>
      <c r="M27" s="5">
        <f>scrimecost*Meta!O24</f>
        <v>1377.5819999999999</v>
      </c>
      <c r="N27" s="5">
        <f>L27-Grade10!L27</f>
        <v>9171.2573295105831</v>
      </c>
      <c r="O27" s="5">
        <f>Grade10!M27-M27</f>
        <v>28.97400000000016</v>
      </c>
      <c r="P27" s="22">
        <f t="shared" si="12"/>
        <v>698.18413846288115</v>
      </c>
      <c r="Q27" s="22"/>
      <c r="R27" s="22"/>
      <c r="S27" s="22">
        <f t="shared" si="6"/>
        <v>7535.2941586050674</v>
      </c>
      <c r="T27" s="22">
        <f t="shared" si="7"/>
        <v>3466.2672161510882</v>
      </c>
    </row>
    <row r="28" spans="1:20" x14ac:dyDescent="0.2">
      <c r="A28" s="5">
        <v>37</v>
      </c>
      <c r="B28" s="1">
        <f t="shared" si="8"/>
        <v>1.6386164402903955</v>
      </c>
      <c r="C28" s="5">
        <f t="shared" si="9"/>
        <v>134784.96407197768</v>
      </c>
      <c r="D28" s="5">
        <f t="shared" si="0"/>
        <v>128944.90083245076</v>
      </c>
      <c r="E28" s="5">
        <f t="shared" si="1"/>
        <v>119444.90083245076</v>
      </c>
      <c r="F28" s="5">
        <f t="shared" si="2"/>
        <v>47497.363378401817</v>
      </c>
      <c r="G28" s="5">
        <f t="shared" si="3"/>
        <v>81447.537454048943</v>
      </c>
      <c r="H28" s="22">
        <f t="shared" si="10"/>
        <v>59683.221547920955</v>
      </c>
      <c r="I28" s="5">
        <f t="shared" si="4"/>
        <v>138206.28114612176</v>
      </c>
      <c r="J28" s="26">
        <f t="shared" si="5"/>
        <v>0.25269359944965525</v>
      </c>
      <c r="L28" s="22">
        <f t="shared" si="11"/>
        <v>288678.42805277166</v>
      </c>
      <c r="M28" s="5">
        <f>scrimecost*Meta!O25</f>
        <v>1377.5819999999999</v>
      </c>
      <c r="N28" s="5">
        <f>L28-Grade10!L28</f>
        <v>9400.538762748416</v>
      </c>
      <c r="O28" s="5">
        <f>Grade10!M28-M28</f>
        <v>28.97400000000016</v>
      </c>
      <c r="P28" s="22">
        <f t="shared" si="12"/>
        <v>715.51071961310936</v>
      </c>
      <c r="Q28" s="22"/>
      <c r="R28" s="22"/>
      <c r="S28" s="22">
        <f t="shared" si="6"/>
        <v>7722.8360734712596</v>
      </c>
      <c r="T28" s="22">
        <f t="shared" si="7"/>
        <v>3417.2498794518006</v>
      </c>
    </row>
    <row r="29" spans="1:20" x14ac:dyDescent="0.2">
      <c r="A29" s="5">
        <v>38</v>
      </c>
      <c r="B29" s="1">
        <f t="shared" si="8"/>
        <v>1.6795818512976552</v>
      </c>
      <c r="C29" s="5">
        <f t="shared" si="9"/>
        <v>138154.58817377713</v>
      </c>
      <c r="D29" s="5">
        <f t="shared" si="0"/>
        <v>132149.41335326203</v>
      </c>
      <c r="E29" s="5">
        <f t="shared" si="1"/>
        <v>122649.41335326203</v>
      </c>
      <c r="F29" s="5">
        <f t="shared" si="2"/>
        <v>48761.543567861867</v>
      </c>
      <c r="G29" s="5">
        <f t="shared" si="3"/>
        <v>83387.869785400166</v>
      </c>
      <c r="H29" s="22">
        <f t="shared" si="10"/>
        <v>61175.302086618969</v>
      </c>
      <c r="I29" s="5">
        <f t="shared" si="4"/>
        <v>141565.5820697748</v>
      </c>
      <c r="J29" s="26">
        <f t="shared" si="5"/>
        <v>0.25319926903568585</v>
      </c>
      <c r="L29" s="22">
        <f t="shared" si="11"/>
        <v>295895.38875409093</v>
      </c>
      <c r="M29" s="5">
        <f>scrimecost*Meta!O26</f>
        <v>1377.5819999999999</v>
      </c>
      <c r="N29" s="5">
        <f>L29-Grade10!L29</f>
        <v>9635.5522318170988</v>
      </c>
      <c r="O29" s="5">
        <f>Grade10!M29-M29</f>
        <v>28.97400000000016</v>
      </c>
      <c r="P29" s="22">
        <f t="shared" si="12"/>
        <v>733.27046529209395</v>
      </c>
      <c r="Q29" s="22"/>
      <c r="R29" s="22"/>
      <c r="S29" s="22">
        <f t="shared" si="6"/>
        <v>7915.0665362090358</v>
      </c>
      <c r="T29" s="22">
        <f t="shared" si="7"/>
        <v>3368.9346120824821</v>
      </c>
    </row>
    <row r="30" spans="1:20" x14ac:dyDescent="0.2">
      <c r="A30" s="5">
        <v>39</v>
      </c>
      <c r="B30" s="1">
        <f t="shared" si="8"/>
        <v>1.7215713975800966</v>
      </c>
      <c r="C30" s="5">
        <f t="shared" si="9"/>
        <v>141608.45287812152</v>
      </c>
      <c r="D30" s="5">
        <f t="shared" si="0"/>
        <v>135434.03868709356</v>
      </c>
      <c r="E30" s="5">
        <f t="shared" si="1"/>
        <v>125934.03868709356</v>
      </c>
      <c r="F30" s="5">
        <f t="shared" si="2"/>
        <v>50057.328262058407</v>
      </c>
      <c r="G30" s="5">
        <f t="shared" si="3"/>
        <v>85376.710425035155</v>
      </c>
      <c r="H30" s="22">
        <f t="shared" si="10"/>
        <v>62704.684638784449</v>
      </c>
      <c r="I30" s="5">
        <f t="shared" si="4"/>
        <v>145008.86551651917</v>
      </c>
      <c r="J30" s="26">
        <f t="shared" si="5"/>
        <v>0.25369260521717901</v>
      </c>
      <c r="L30" s="22">
        <f t="shared" si="11"/>
        <v>303292.77347294317</v>
      </c>
      <c r="M30" s="5">
        <f>scrimecost*Meta!O27</f>
        <v>1377.5819999999999</v>
      </c>
      <c r="N30" s="5">
        <f>L30-Grade10!L30</f>
        <v>9876.4410376124433</v>
      </c>
      <c r="O30" s="5">
        <f>Grade10!M30-M30</f>
        <v>28.97400000000016</v>
      </c>
      <c r="P30" s="22">
        <f t="shared" si="12"/>
        <v>751.47420461305273</v>
      </c>
      <c r="Q30" s="22"/>
      <c r="R30" s="22"/>
      <c r="S30" s="22">
        <f t="shared" si="6"/>
        <v>8112.1027605152149</v>
      </c>
      <c r="T30" s="22">
        <f t="shared" si="7"/>
        <v>3321.3110219141499</v>
      </c>
    </row>
    <row r="31" spans="1:20" x14ac:dyDescent="0.2">
      <c r="A31" s="5">
        <v>40</v>
      </c>
      <c r="B31" s="1">
        <f t="shared" si="8"/>
        <v>1.7646106825195991</v>
      </c>
      <c r="C31" s="5">
        <f t="shared" si="9"/>
        <v>145148.66420007456</v>
      </c>
      <c r="D31" s="5">
        <f t="shared" si="0"/>
        <v>138800.77965427091</v>
      </c>
      <c r="E31" s="5">
        <f t="shared" si="1"/>
        <v>129300.77965427091</v>
      </c>
      <c r="F31" s="5">
        <f t="shared" si="2"/>
        <v>51385.507573609866</v>
      </c>
      <c r="G31" s="5">
        <f t="shared" si="3"/>
        <v>87415.272080661045</v>
      </c>
      <c r="H31" s="22">
        <f t="shared" si="10"/>
        <v>64272.301754754066</v>
      </c>
      <c r="I31" s="5">
        <f t="shared" si="4"/>
        <v>148538.23104943216</v>
      </c>
      <c r="J31" s="26">
        <f t="shared" si="5"/>
        <v>0.25417390880887963</v>
      </c>
      <c r="L31" s="22">
        <f t="shared" si="11"/>
        <v>310875.09280976682</v>
      </c>
      <c r="M31" s="5">
        <f>scrimecost*Meta!O28</f>
        <v>1204.992</v>
      </c>
      <c r="N31" s="5">
        <f>L31-Grade10!L31</f>
        <v>10123.352063552884</v>
      </c>
      <c r="O31" s="5">
        <f>Grade10!M31-M31</f>
        <v>25.344000000000051</v>
      </c>
      <c r="P31" s="22">
        <f t="shared" si="12"/>
        <v>770.13303741703567</v>
      </c>
      <c r="Q31" s="22"/>
      <c r="R31" s="22"/>
      <c r="S31" s="22">
        <f t="shared" si="6"/>
        <v>8310.4857104292059</v>
      </c>
      <c r="T31" s="22">
        <f t="shared" si="7"/>
        <v>3272.9592772149908</v>
      </c>
    </row>
    <row r="32" spans="1:20" x14ac:dyDescent="0.2">
      <c r="A32" s="5">
        <v>41</v>
      </c>
      <c r="B32" s="1">
        <f t="shared" si="8"/>
        <v>1.8087259495825889</v>
      </c>
      <c r="C32" s="5">
        <f t="shared" si="9"/>
        <v>148777.38080507645</v>
      </c>
      <c r="D32" s="5">
        <f t="shared" si="0"/>
        <v>142251.68914562769</v>
      </c>
      <c r="E32" s="5">
        <f t="shared" si="1"/>
        <v>132751.68914562769</v>
      </c>
      <c r="F32" s="5">
        <f t="shared" si="2"/>
        <v>52746.89136795012</v>
      </c>
      <c r="G32" s="5">
        <f t="shared" si="3"/>
        <v>89504.797777677566</v>
      </c>
      <c r="H32" s="22">
        <f t="shared" si="10"/>
        <v>65879.109298622905</v>
      </c>
      <c r="I32" s="5">
        <f t="shared" si="4"/>
        <v>152155.83072066796</v>
      </c>
      <c r="J32" s="26">
        <f t="shared" si="5"/>
        <v>0.25464347328858766</v>
      </c>
      <c r="L32" s="22">
        <f t="shared" si="11"/>
        <v>318646.97013001092</v>
      </c>
      <c r="M32" s="5">
        <f>scrimecost*Meta!O29</f>
        <v>1204.992</v>
      </c>
      <c r="N32" s="5">
        <f>L32-Grade10!L32</f>
        <v>10376.435865141684</v>
      </c>
      <c r="O32" s="5">
        <f>Grade10!M32-M32</f>
        <v>25.344000000000051</v>
      </c>
      <c r="P32" s="22">
        <f t="shared" si="12"/>
        <v>789.25834104111811</v>
      </c>
      <c r="Q32" s="22"/>
      <c r="R32" s="22"/>
      <c r="S32" s="22">
        <f t="shared" si="6"/>
        <v>8517.4968935909383</v>
      </c>
      <c r="T32" s="22">
        <f t="shared" si="7"/>
        <v>3226.7422079589105</v>
      </c>
    </row>
    <row r="33" spans="1:20" x14ac:dyDescent="0.2">
      <c r="A33" s="5">
        <v>42</v>
      </c>
      <c r="B33" s="1">
        <f t="shared" si="8"/>
        <v>1.8539440983221533</v>
      </c>
      <c r="C33" s="5">
        <f t="shared" si="9"/>
        <v>152496.81532520332</v>
      </c>
      <c r="D33" s="5">
        <f t="shared" si="0"/>
        <v>145788.87137426835</v>
      </c>
      <c r="E33" s="5">
        <f t="shared" si="1"/>
        <v>136288.87137426835</v>
      </c>
      <c r="F33" s="5">
        <f t="shared" si="2"/>
        <v>54142.309757148862</v>
      </c>
      <c r="G33" s="5">
        <f t="shared" si="3"/>
        <v>91646.561617119485</v>
      </c>
      <c r="H33" s="22">
        <f t="shared" si="10"/>
        <v>67526.087031088464</v>
      </c>
      <c r="I33" s="5">
        <f t="shared" si="4"/>
        <v>155863.87038368461</v>
      </c>
      <c r="J33" s="26">
        <f t="shared" si="5"/>
        <v>0.25510158497610763</v>
      </c>
      <c r="L33" s="22">
        <f t="shared" si="11"/>
        <v>326613.14438326115</v>
      </c>
      <c r="M33" s="5">
        <f>scrimecost*Meta!O30</f>
        <v>1204.992</v>
      </c>
      <c r="N33" s="5">
        <f>L33-Grade10!L33</f>
        <v>10635.846761770197</v>
      </c>
      <c r="O33" s="5">
        <f>Grade10!M33-M33</f>
        <v>25.344000000000051</v>
      </c>
      <c r="P33" s="22">
        <f t="shared" si="12"/>
        <v>808.86177725580251</v>
      </c>
      <c r="Q33" s="22"/>
      <c r="R33" s="22"/>
      <c r="S33" s="22">
        <f t="shared" si="6"/>
        <v>8729.6833563317032</v>
      </c>
      <c r="T33" s="22">
        <f t="shared" si="7"/>
        <v>3181.1845811517037</v>
      </c>
    </row>
    <row r="34" spans="1:20" x14ac:dyDescent="0.2">
      <c r="A34" s="5">
        <v>43</v>
      </c>
      <c r="B34" s="1">
        <f t="shared" si="8"/>
        <v>1.9002927007802071</v>
      </c>
      <c r="C34" s="5">
        <f t="shared" si="9"/>
        <v>156309.23570833338</v>
      </c>
      <c r="D34" s="5">
        <f t="shared" si="0"/>
        <v>149414.48315862502</v>
      </c>
      <c r="E34" s="5">
        <f t="shared" si="1"/>
        <v>139914.48315862502</v>
      </c>
      <c r="F34" s="5">
        <f t="shared" si="2"/>
        <v>55572.613606077568</v>
      </c>
      <c r="G34" s="5">
        <f t="shared" si="3"/>
        <v>93841.869552547461</v>
      </c>
      <c r="H34" s="22">
        <f t="shared" si="10"/>
        <v>69214.239206865677</v>
      </c>
      <c r="I34" s="5">
        <f t="shared" si="4"/>
        <v>159664.61103827672</v>
      </c>
      <c r="J34" s="26">
        <f t="shared" si="5"/>
        <v>0.25554852320783439</v>
      </c>
      <c r="L34" s="22">
        <f t="shared" si="11"/>
        <v>334778.47299284261</v>
      </c>
      <c r="M34" s="5">
        <f>scrimecost*Meta!O31</f>
        <v>1204.992</v>
      </c>
      <c r="N34" s="5">
        <f>L34-Grade10!L34</f>
        <v>10901.742930814391</v>
      </c>
      <c r="O34" s="5">
        <f>Grade10!M34-M34</f>
        <v>25.344000000000051</v>
      </c>
      <c r="P34" s="22">
        <f t="shared" si="12"/>
        <v>828.95529937585388</v>
      </c>
      <c r="Q34" s="22"/>
      <c r="R34" s="22"/>
      <c r="S34" s="22">
        <f t="shared" si="6"/>
        <v>8947.1744806409661</v>
      </c>
      <c r="T34" s="22">
        <f t="shared" si="7"/>
        <v>3136.2767296264633</v>
      </c>
    </row>
    <row r="35" spans="1:20" x14ac:dyDescent="0.2">
      <c r="A35" s="5">
        <v>44</v>
      </c>
      <c r="B35" s="1">
        <f t="shared" si="8"/>
        <v>1.9478000182997122</v>
      </c>
      <c r="C35" s="5">
        <f t="shared" si="9"/>
        <v>160216.96660104173</v>
      </c>
      <c r="D35" s="5">
        <f t="shared" si="0"/>
        <v>153130.73523759068</v>
      </c>
      <c r="E35" s="5">
        <f t="shared" si="1"/>
        <v>143630.73523759068</v>
      </c>
      <c r="F35" s="5">
        <f t="shared" si="2"/>
        <v>57038.675051229526</v>
      </c>
      <c r="G35" s="5">
        <f t="shared" si="3"/>
        <v>96092.060186361152</v>
      </c>
      <c r="H35" s="22">
        <f t="shared" si="10"/>
        <v>70944.595187037325</v>
      </c>
      <c r="I35" s="5">
        <f t="shared" si="4"/>
        <v>163560.37020923366</v>
      </c>
      <c r="J35" s="26">
        <f t="shared" si="5"/>
        <v>0.25598456050708013</v>
      </c>
      <c r="L35" s="22">
        <f t="shared" si="11"/>
        <v>343147.93481766368</v>
      </c>
      <c r="M35" s="5">
        <f>scrimecost*Meta!O32</f>
        <v>1204.992</v>
      </c>
      <c r="N35" s="5">
        <f>L35-Grade10!L35</f>
        <v>11174.286504084826</v>
      </c>
      <c r="O35" s="5">
        <f>Grade10!M35-M35</f>
        <v>25.344000000000051</v>
      </c>
      <c r="P35" s="22">
        <f t="shared" si="12"/>
        <v>849.55115954890721</v>
      </c>
      <c r="Q35" s="22"/>
      <c r="R35" s="22"/>
      <c r="S35" s="22">
        <f t="shared" si="6"/>
        <v>9170.1028830580617</v>
      </c>
      <c r="T35" s="22">
        <f t="shared" si="7"/>
        <v>3092.0091375967277</v>
      </c>
    </row>
    <row r="36" spans="1:20" x14ac:dyDescent="0.2">
      <c r="A36" s="5">
        <v>45</v>
      </c>
      <c r="B36" s="1">
        <f t="shared" si="8"/>
        <v>1.9964950187572048</v>
      </c>
      <c r="C36" s="5">
        <f t="shared" si="9"/>
        <v>164222.39076606775</v>
      </c>
      <c r="D36" s="5">
        <f t="shared" si="0"/>
        <v>156939.89361853042</v>
      </c>
      <c r="E36" s="5">
        <f t="shared" si="1"/>
        <v>147439.89361853042</v>
      </c>
      <c r="F36" s="5">
        <f t="shared" si="2"/>
        <v>58541.388032510244</v>
      </c>
      <c r="G36" s="5">
        <f t="shared" si="3"/>
        <v>98398.505586020183</v>
      </c>
      <c r="H36" s="22">
        <f t="shared" si="10"/>
        <v>72718.210066713247</v>
      </c>
      <c r="I36" s="5">
        <f t="shared" si="4"/>
        <v>167553.52335946448</v>
      </c>
      <c r="J36" s="26">
        <f t="shared" si="5"/>
        <v>0.25640996275024652</v>
      </c>
      <c r="L36" s="22">
        <f t="shared" si="11"/>
        <v>351726.63318810525</v>
      </c>
      <c r="M36" s="5">
        <f>scrimecost*Meta!O33</f>
        <v>973.82600000000002</v>
      </c>
      <c r="N36" s="5">
        <f>L36-Grade10!L36</f>
        <v>11453.643666686839</v>
      </c>
      <c r="O36" s="5">
        <f>Grade10!M36-M36</f>
        <v>20.482000000000085</v>
      </c>
      <c r="P36" s="22">
        <f t="shared" si="12"/>
        <v>870.66191622628594</v>
      </c>
      <c r="Q36" s="22"/>
      <c r="R36" s="22"/>
      <c r="S36" s="22">
        <f t="shared" si="6"/>
        <v>9393.8105635354495</v>
      </c>
      <c r="T36" s="22">
        <f t="shared" si="7"/>
        <v>3046.8175592081529</v>
      </c>
    </row>
    <row r="37" spans="1:20" x14ac:dyDescent="0.2">
      <c r="A37" s="5">
        <v>46</v>
      </c>
      <c r="B37" s="1">
        <f t="shared" ref="B37:B56" si="13">(1+experiencepremium)^(A37-startage)</f>
        <v>2.0464073942261352</v>
      </c>
      <c r="C37" s="5">
        <f t="shared" ref="C37:C56" si="14">pretaxincome*B37/expnorm</f>
        <v>168327.95053521945</v>
      </c>
      <c r="D37" s="5">
        <f t="shared" ref="D37:D56" si="15">IF(A37&lt;startage,1,0)*(C37*(1-initialunempprob))+IF(A37=startage,1,0)*(C37*(1-unempprob))+IF(A37&gt;startage,1,0)*(C37*(1-unempprob)+unempprob*300*52)</f>
        <v>160844.28095899368</v>
      </c>
      <c r="E37" s="5">
        <f t="shared" si="1"/>
        <v>151344.28095899368</v>
      </c>
      <c r="F37" s="5">
        <f t="shared" si="2"/>
        <v>60081.668838323007</v>
      </c>
      <c r="G37" s="5">
        <f t="shared" si="3"/>
        <v>100762.61212067067</v>
      </c>
      <c r="H37" s="22">
        <f t="shared" ref="H37:H56" si="16">benefits*B37/expnorm</f>
        <v>74536.165318381085</v>
      </c>
      <c r="I37" s="5">
        <f t="shared" ref="I37:I56" si="17">G37+IF(A37&lt;startage,1,0)*(H37*(1-initialunempprob))+IF(A37&gt;=startage,1,0)*(H37*(1-unempprob))</f>
        <v>171646.50533845107</v>
      </c>
      <c r="J37" s="26">
        <f t="shared" si="5"/>
        <v>0.2568249893289456</v>
      </c>
      <c r="L37" s="22">
        <f t="shared" ref="L37:L56" si="18">(sincome+sbenefits)*(1-sunemp)*B37/expnorm</f>
        <v>360519.79901780793</v>
      </c>
      <c r="M37" s="5">
        <f>scrimecost*Meta!O34</f>
        <v>973.82600000000002</v>
      </c>
      <c r="N37" s="5">
        <f>L37-Grade10!L37</f>
        <v>11739.984758354141</v>
      </c>
      <c r="O37" s="5">
        <f>Grade10!M37-M37</f>
        <v>20.482000000000085</v>
      </c>
      <c r="P37" s="22">
        <f t="shared" si="12"/>
        <v>892.3004418206001</v>
      </c>
      <c r="Q37" s="22"/>
      <c r="R37" s="22"/>
      <c r="S37" s="22">
        <f t="shared" si="6"/>
        <v>9628.0247163249478</v>
      </c>
      <c r="T37" s="22">
        <f t="shared" si="7"/>
        <v>3003.8617435328169</v>
      </c>
    </row>
    <row r="38" spans="1:20" x14ac:dyDescent="0.2">
      <c r="A38" s="5">
        <v>47</v>
      </c>
      <c r="B38" s="1">
        <f t="shared" si="13"/>
        <v>2.097567579081788</v>
      </c>
      <c r="C38" s="5">
        <f t="shared" si="14"/>
        <v>172536.14929859989</v>
      </c>
      <c r="D38" s="5">
        <f t="shared" si="15"/>
        <v>164846.27798296849</v>
      </c>
      <c r="E38" s="5">
        <f t="shared" si="1"/>
        <v>155346.27798296849</v>
      </c>
      <c r="F38" s="5">
        <f t="shared" si="2"/>
        <v>61660.456664281068</v>
      </c>
      <c r="G38" s="5">
        <f t="shared" si="3"/>
        <v>103185.82131868742</v>
      </c>
      <c r="H38" s="22">
        <f t="shared" si="16"/>
        <v>76399.569451340605</v>
      </c>
      <c r="I38" s="5">
        <f t="shared" si="17"/>
        <v>175841.81186691235</v>
      </c>
      <c r="J38" s="26">
        <f t="shared" si="5"/>
        <v>0.25722989330816415</v>
      </c>
      <c r="L38" s="22">
        <f t="shared" si="18"/>
        <v>369532.79399325303</v>
      </c>
      <c r="M38" s="5">
        <f>scrimecost*Meta!O35</f>
        <v>973.82600000000002</v>
      </c>
      <c r="N38" s="5">
        <f>L38-Grade10!L38</f>
        <v>12033.484377312765</v>
      </c>
      <c r="O38" s="5">
        <f>Grade10!M38-M38</f>
        <v>20.482000000000085</v>
      </c>
      <c r="P38" s="22">
        <f t="shared" si="12"/>
        <v>914.47993055477139</v>
      </c>
      <c r="Q38" s="22"/>
      <c r="R38" s="22"/>
      <c r="S38" s="22">
        <f t="shared" si="6"/>
        <v>9868.0942229339144</v>
      </c>
      <c r="T38" s="22">
        <f t="shared" si="7"/>
        <v>2961.5162664161107</v>
      </c>
    </row>
    <row r="39" spans="1:20" x14ac:dyDescent="0.2">
      <c r="A39" s="5">
        <v>48</v>
      </c>
      <c r="B39" s="1">
        <f t="shared" si="13"/>
        <v>2.1500067685588333</v>
      </c>
      <c r="C39" s="5">
        <f t="shared" si="14"/>
        <v>176849.55303106495</v>
      </c>
      <c r="D39" s="5">
        <f t="shared" si="15"/>
        <v>168948.32493254275</v>
      </c>
      <c r="E39" s="5">
        <f t="shared" si="1"/>
        <v>159448.32493254275</v>
      </c>
      <c r="F39" s="5">
        <f t="shared" si="2"/>
        <v>63278.714185888108</v>
      </c>
      <c r="G39" s="5">
        <f t="shared" si="3"/>
        <v>105669.61074665464</v>
      </c>
      <c r="H39" s="22">
        <f t="shared" si="16"/>
        <v>78309.558687624129</v>
      </c>
      <c r="I39" s="5">
        <f t="shared" si="17"/>
        <v>180142.00105858519</v>
      </c>
      <c r="J39" s="26">
        <f t="shared" ref="J39:J56" si="19">(F39-(IF(A39&gt;startage,1,0)*(unempprob*300*52)))/(IF(A39&lt;startage,1,0)*((C39+H39)*(1-initialunempprob))+IF(A39&gt;=startage,1,0)*((C39+H39)*(1-unempprob)))</f>
        <v>0.25762492158057243</v>
      </c>
      <c r="L39" s="22">
        <f t="shared" si="18"/>
        <v>378771.11384308449</v>
      </c>
      <c r="M39" s="5">
        <f>scrimecost*Meta!O36</f>
        <v>973.82600000000002</v>
      </c>
      <c r="N39" s="5">
        <f>L39-Grade10!L39</f>
        <v>12334.321486745845</v>
      </c>
      <c r="O39" s="5">
        <f>Grade10!M39-M39</f>
        <v>20.482000000000085</v>
      </c>
      <c r="P39" s="22">
        <f t="shared" si="12"/>
        <v>937.21390650729722</v>
      </c>
      <c r="Q39" s="22"/>
      <c r="R39" s="22"/>
      <c r="S39" s="22">
        <f t="shared" ref="S39:S69" si="20">IF(A39&lt;startage,1,0)*(N39-Q39-R39)+IF(A39&gt;=startage,1,0)*completionprob*(N39*spart+O39+P39)</f>
        <v>10114.165467208473</v>
      </c>
      <c r="T39" s="22">
        <f t="shared" ref="T39:T69" si="21">S39/sreturn^(A39-startage+1)</f>
        <v>2919.7722768389499</v>
      </c>
    </row>
    <row r="40" spans="1:20" x14ac:dyDescent="0.2">
      <c r="A40" s="5">
        <v>49</v>
      </c>
      <c r="B40" s="1">
        <f t="shared" si="13"/>
        <v>2.2037569377728037</v>
      </c>
      <c r="C40" s="5">
        <f t="shared" si="14"/>
        <v>181270.79185684153</v>
      </c>
      <c r="D40" s="5">
        <f t="shared" si="15"/>
        <v>173152.92305585628</v>
      </c>
      <c r="E40" s="5">
        <f t="shared" si="1"/>
        <v>163652.92305585628</v>
      </c>
      <c r="F40" s="5">
        <f t="shared" si="2"/>
        <v>64937.428145535305</v>
      </c>
      <c r="G40" s="5">
        <f t="shared" si="3"/>
        <v>108215.49491032098</v>
      </c>
      <c r="H40" s="22">
        <f t="shared" si="16"/>
        <v>80267.297654814713</v>
      </c>
      <c r="I40" s="5">
        <f t="shared" si="17"/>
        <v>184549.69498004977</v>
      </c>
      <c r="J40" s="26">
        <f t="shared" si="19"/>
        <v>0.25801031501706845</v>
      </c>
      <c r="L40" s="22">
        <f t="shared" si="18"/>
        <v>388240.39168916148</v>
      </c>
      <c r="M40" s="5">
        <f>scrimecost*Meta!O37</f>
        <v>973.82600000000002</v>
      </c>
      <c r="N40" s="5">
        <f>L40-Grade10!L40</f>
        <v>12642.679523914354</v>
      </c>
      <c r="O40" s="5">
        <f>Grade10!M40-M40</f>
        <v>20.482000000000085</v>
      </c>
      <c r="P40" s="22">
        <f t="shared" ref="P40:P56" si="22">(spart-initialspart)*(L40*J40+nptrans)</f>
        <v>960.51623185863627</v>
      </c>
      <c r="Q40" s="22"/>
      <c r="R40" s="22"/>
      <c r="S40" s="22">
        <f t="shared" si="20"/>
        <v>10366.388492589598</v>
      </c>
      <c r="T40" s="22">
        <f t="shared" si="21"/>
        <v>2878.6210588711028</v>
      </c>
    </row>
    <row r="41" spans="1:20" x14ac:dyDescent="0.2">
      <c r="A41" s="5">
        <v>50</v>
      </c>
      <c r="B41" s="1">
        <f t="shared" si="13"/>
        <v>2.2588508612171236</v>
      </c>
      <c r="C41" s="5">
        <f t="shared" si="14"/>
        <v>185802.56165326256</v>
      </c>
      <c r="D41" s="5">
        <f t="shared" si="15"/>
        <v>177462.63613225266</v>
      </c>
      <c r="E41" s="5">
        <f t="shared" si="1"/>
        <v>167962.63613225266</v>
      </c>
      <c r="F41" s="5">
        <f t="shared" si="2"/>
        <v>66637.609954173677</v>
      </c>
      <c r="G41" s="5">
        <f t="shared" si="3"/>
        <v>110825.02617807899</v>
      </c>
      <c r="H41" s="22">
        <f t="shared" si="16"/>
        <v>82273.980096185085</v>
      </c>
      <c r="I41" s="5">
        <f t="shared" si="17"/>
        <v>189067.581249551</v>
      </c>
      <c r="J41" s="26">
        <f t="shared" si="19"/>
        <v>0.25838630861364986</v>
      </c>
      <c r="L41" s="22">
        <f t="shared" si="18"/>
        <v>397946.40148139052</v>
      </c>
      <c r="M41" s="5">
        <f>scrimecost*Meta!O38</f>
        <v>650.61199999999997</v>
      </c>
      <c r="N41" s="5">
        <f>L41-Grade10!L41</f>
        <v>12958.746512012265</v>
      </c>
      <c r="O41" s="5">
        <f>Grade10!M41-M41</f>
        <v>13.684000000000083</v>
      </c>
      <c r="P41" s="22">
        <f t="shared" si="22"/>
        <v>984.40111534375876</v>
      </c>
      <c r="Q41" s="22"/>
      <c r="R41" s="22"/>
      <c r="S41" s="22">
        <f t="shared" si="20"/>
        <v>10618.214265605391</v>
      </c>
      <c r="T41" s="22">
        <f t="shared" si="21"/>
        <v>2836.2636165195654</v>
      </c>
    </row>
    <row r="42" spans="1:20" x14ac:dyDescent="0.2">
      <c r="A42" s="5">
        <v>51</v>
      </c>
      <c r="B42" s="1">
        <f t="shared" si="13"/>
        <v>2.3153221327475517</v>
      </c>
      <c r="C42" s="5">
        <f t="shared" si="14"/>
        <v>190447.62569459411</v>
      </c>
      <c r="D42" s="5">
        <f t="shared" si="15"/>
        <v>181880.09203555898</v>
      </c>
      <c r="E42" s="5">
        <f t="shared" si="1"/>
        <v>172380.09203555898</v>
      </c>
      <c r="F42" s="5">
        <f t="shared" si="2"/>
        <v>68380.296308028031</v>
      </c>
      <c r="G42" s="5">
        <f t="shared" si="3"/>
        <v>113499.79572753095</v>
      </c>
      <c r="H42" s="22">
        <f t="shared" si="16"/>
        <v>84330.829598589713</v>
      </c>
      <c r="I42" s="5">
        <f t="shared" si="17"/>
        <v>193698.41467578977</v>
      </c>
      <c r="J42" s="26">
        <f t="shared" si="19"/>
        <v>0.25875313163470498</v>
      </c>
      <c r="L42" s="22">
        <f t="shared" si="18"/>
        <v>407895.0615184253</v>
      </c>
      <c r="M42" s="5">
        <f>scrimecost*Meta!O39</f>
        <v>650.61199999999997</v>
      </c>
      <c r="N42" s="5">
        <f>L42-Grade10!L42</f>
        <v>13282.715174812649</v>
      </c>
      <c r="O42" s="5">
        <f>Grade10!M42-M42</f>
        <v>13.684000000000083</v>
      </c>
      <c r="P42" s="22">
        <f t="shared" si="22"/>
        <v>1008.8831209160096</v>
      </c>
      <c r="Q42" s="22"/>
      <c r="R42" s="22"/>
      <c r="S42" s="22">
        <f t="shared" si="20"/>
        <v>10883.206081646598</v>
      </c>
      <c r="T42" s="22">
        <f t="shared" si="21"/>
        <v>2796.3405051796431</v>
      </c>
    </row>
    <row r="43" spans="1:20" x14ac:dyDescent="0.2">
      <c r="A43" s="5">
        <v>52</v>
      </c>
      <c r="B43" s="1">
        <f t="shared" si="13"/>
        <v>2.3732051860662402</v>
      </c>
      <c r="C43" s="5">
        <f t="shared" si="14"/>
        <v>195208.81633695896</v>
      </c>
      <c r="D43" s="5">
        <f t="shared" si="15"/>
        <v>186407.98433644796</v>
      </c>
      <c r="E43" s="5">
        <f t="shared" si="1"/>
        <v>176907.98433644796</v>
      </c>
      <c r="F43" s="5">
        <f t="shared" si="2"/>
        <v>70291.949037551123</v>
      </c>
      <c r="G43" s="5">
        <f t="shared" si="3"/>
        <v>116116.03529889684</v>
      </c>
      <c r="H43" s="22">
        <f t="shared" si="16"/>
        <v>86439.100338554446</v>
      </c>
      <c r="I43" s="5">
        <f t="shared" si="17"/>
        <v>198319.61972086213</v>
      </c>
      <c r="J43" s="26">
        <f t="shared" si="19"/>
        <v>0.25957918226218785</v>
      </c>
      <c r="L43" s="22">
        <f t="shared" si="18"/>
        <v>418092.4380563859</v>
      </c>
      <c r="M43" s="5">
        <f>scrimecost*Meta!O40</f>
        <v>650.61199999999997</v>
      </c>
      <c r="N43" s="5">
        <f>L43-Grade10!L43</f>
        <v>13614.783054182888</v>
      </c>
      <c r="O43" s="5">
        <f>Grade10!M43-M43</f>
        <v>13.684000000000083</v>
      </c>
      <c r="P43" s="22">
        <f t="shared" si="22"/>
        <v>1035.7388386261307</v>
      </c>
      <c r="Q43" s="22"/>
      <c r="R43" s="22"/>
      <c r="S43" s="22">
        <f t="shared" si="20"/>
        <v>11156.559691819306</v>
      </c>
      <c r="T43" s="22">
        <f t="shared" si="21"/>
        <v>2757.4115186113318</v>
      </c>
    </row>
    <row r="44" spans="1:20" x14ac:dyDescent="0.2">
      <c r="A44" s="5">
        <v>53</v>
      </c>
      <c r="B44" s="1">
        <f t="shared" si="13"/>
        <v>2.4325353157178964</v>
      </c>
      <c r="C44" s="5">
        <f t="shared" si="14"/>
        <v>200089.03674538297</v>
      </c>
      <c r="D44" s="5">
        <f t="shared" si="15"/>
        <v>191049.07394485918</v>
      </c>
      <c r="E44" s="5">
        <f t="shared" si="1"/>
        <v>181549.07394485918</v>
      </c>
      <c r="F44" s="5">
        <f t="shared" si="2"/>
        <v>72354.913368489913</v>
      </c>
      <c r="G44" s="5">
        <f t="shared" si="3"/>
        <v>118694.16057636926</v>
      </c>
      <c r="H44" s="22">
        <f t="shared" si="16"/>
        <v>88600.0778470183</v>
      </c>
      <c r="I44" s="5">
        <f t="shared" si="17"/>
        <v>202952.83460888366</v>
      </c>
      <c r="J44" s="26">
        <f t="shared" si="19"/>
        <v>0.26076214884066334</v>
      </c>
      <c r="L44" s="22">
        <f t="shared" si="18"/>
        <v>428544.74900779553</v>
      </c>
      <c r="M44" s="5">
        <f>scrimecost*Meta!O41</f>
        <v>650.61199999999997</v>
      </c>
      <c r="N44" s="5">
        <f>L44-Grade10!L44</f>
        <v>13955.152630537457</v>
      </c>
      <c r="O44" s="5">
        <f>Grade10!M44-M44</f>
        <v>13.684000000000083</v>
      </c>
      <c r="P44" s="22">
        <f t="shared" si="22"/>
        <v>1064.7202466309004</v>
      </c>
      <c r="Q44" s="22"/>
      <c r="R44" s="22"/>
      <c r="S44" s="22">
        <f t="shared" si="20"/>
        <v>11438.181079435357</v>
      </c>
      <c r="T44" s="22">
        <f t="shared" si="21"/>
        <v>2719.3577836734667</v>
      </c>
    </row>
    <row r="45" spans="1:20" x14ac:dyDescent="0.2">
      <c r="A45" s="5">
        <v>54</v>
      </c>
      <c r="B45" s="1">
        <f t="shared" si="13"/>
        <v>2.4933486986108435</v>
      </c>
      <c r="C45" s="5">
        <f t="shared" si="14"/>
        <v>205091.26266401747</v>
      </c>
      <c r="D45" s="5">
        <f t="shared" si="15"/>
        <v>195806.19079348061</v>
      </c>
      <c r="E45" s="5">
        <f t="shared" si="1"/>
        <v>186306.19079348061</v>
      </c>
      <c r="F45" s="5">
        <f t="shared" si="2"/>
        <v>74469.45180770212</v>
      </c>
      <c r="G45" s="5">
        <f t="shared" si="3"/>
        <v>121336.73898577849</v>
      </c>
      <c r="H45" s="22">
        <f t="shared" si="16"/>
        <v>90815.079793193756</v>
      </c>
      <c r="I45" s="5">
        <f t="shared" si="17"/>
        <v>207701.87986910576</v>
      </c>
      <c r="J45" s="26">
        <f t="shared" si="19"/>
        <v>0.26191626257576128</v>
      </c>
      <c r="L45" s="22">
        <f t="shared" si="18"/>
        <v>439258.36773299036</v>
      </c>
      <c r="M45" s="5">
        <f>scrimecost*Meta!O42</f>
        <v>650.61199999999997</v>
      </c>
      <c r="N45" s="5">
        <f>L45-Grade10!L45</f>
        <v>14304.031446300971</v>
      </c>
      <c r="O45" s="5">
        <f>Grade10!M45-M45</f>
        <v>13.684000000000083</v>
      </c>
      <c r="P45" s="22">
        <f t="shared" si="22"/>
        <v>1094.4261898357888</v>
      </c>
      <c r="Q45" s="22"/>
      <c r="R45" s="22"/>
      <c r="S45" s="22">
        <f t="shared" si="20"/>
        <v>11726.843001741867</v>
      </c>
      <c r="T45" s="22">
        <f t="shared" si="21"/>
        <v>2681.8135812523674</v>
      </c>
    </row>
    <row r="46" spans="1:20" x14ac:dyDescent="0.2">
      <c r="A46" s="5">
        <v>55</v>
      </c>
      <c r="B46" s="1">
        <f t="shared" si="13"/>
        <v>2.555682416076114</v>
      </c>
      <c r="C46" s="5">
        <f t="shared" si="14"/>
        <v>210218.54423061787</v>
      </c>
      <c r="D46" s="5">
        <f t="shared" si="15"/>
        <v>200682.23556331758</v>
      </c>
      <c r="E46" s="5">
        <f t="shared" si="1"/>
        <v>191182.23556331758</v>
      </c>
      <c r="F46" s="5">
        <f t="shared" si="2"/>
        <v>76636.853707894668</v>
      </c>
      <c r="G46" s="5">
        <f t="shared" si="3"/>
        <v>124045.38185542291</v>
      </c>
      <c r="H46" s="22">
        <f t="shared" si="16"/>
        <v>93085.45678802357</v>
      </c>
      <c r="I46" s="5">
        <f t="shared" si="17"/>
        <v>212569.65126083331</v>
      </c>
      <c r="J46" s="26">
        <f t="shared" si="19"/>
        <v>0.26304222719536913</v>
      </c>
      <c r="L46" s="22">
        <f t="shared" si="18"/>
        <v>450239.82692631503</v>
      </c>
      <c r="M46" s="5">
        <f>scrimecost*Meta!O43</f>
        <v>360.86999999999995</v>
      </c>
      <c r="N46" s="5">
        <f>L46-Grade10!L46</f>
        <v>14661.632232458389</v>
      </c>
      <c r="O46" s="5">
        <f>Grade10!M46-M46</f>
        <v>7.5900000000000318</v>
      </c>
      <c r="P46" s="22">
        <f t="shared" si="22"/>
        <v>1124.8747816207999</v>
      </c>
      <c r="Q46" s="22"/>
      <c r="R46" s="22"/>
      <c r="S46" s="22">
        <f t="shared" si="20"/>
        <v>12016.712788105904</v>
      </c>
      <c r="T46" s="22">
        <f t="shared" si="21"/>
        <v>2643.4508965399323</v>
      </c>
    </row>
    <row r="47" spans="1:20" x14ac:dyDescent="0.2">
      <c r="A47" s="5">
        <v>56</v>
      </c>
      <c r="B47" s="1">
        <f t="shared" si="13"/>
        <v>2.6195744764780171</v>
      </c>
      <c r="C47" s="5">
        <f t="shared" si="14"/>
        <v>215474.00783638333</v>
      </c>
      <c r="D47" s="5">
        <f t="shared" si="15"/>
        <v>205680.18145240055</v>
      </c>
      <c r="E47" s="5">
        <f t="shared" si="1"/>
        <v>196180.18145240055</v>
      </c>
      <c r="F47" s="5">
        <f t="shared" si="2"/>
        <v>78858.440655592043</v>
      </c>
      <c r="G47" s="5">
        <f t="shared" si="3"/>
        <v>126821.7407968085</v>
      </c>
      <c r="H47" s="22">
        <f t="shared" si="16"/>
        <v>95412.59320772416</v>
      </c>
      <c r="I47" s="5">
        <f t="shared" si="17"/>
        <v>217559.11693735418</v>
      </c>
      <c r="J47" s="26">
        <f t="shared" si="19"/>
        <v>0.26414072926327931</v>
      </c>
      <c r="L47" s="22">
        <f t="shared" si="18"/>
        <v>461495.82259947294</v>
      </c>
      <c r="M47" s="5">
        <f>scrimecost*Meta!O44</f>
        <v>360.86999999999995</v>
      </c>
      <c r="N47" s="5">
        <f>L47-Grade10!L47</f>
        <v>15028.173038269917</v>
      </c>
      <c r="O47" s="5">
        <f>Grade10!M47-M47</f>
        <v>7.5900000000000318</v>
      </c>
      <c r="P47" s="22">
        <f t="shared" si="22"/>
        <v>1156.0845882004369</v>
      </c>
      <c r="Q47" s="22"/>
      <c r="R47" s="22"/>
      <c r="S47" s="22">
        <f t="shared" si="20"/>
        <v>12319.988220229172</v>
      </c>
      <c r="T47" s="22">
        <f t="shared" si="21"/>
        <v>2606.9574955557964</v>
      </c>
    </row>
    <row r="48" spans="1:20" x14ac:dyDescent="0.2">
      <c r="A48" s="5">
        <v>57</v>
      </c>
      <c r="B48" s="1">
        <f t="shared" si="13"/>
        <v>2.6850638383899672</v>
      </c>
      <c r="C48" s="5">
        <f t="shared" si="14"/>
        <v>220860.85803229289</v>
      </c>
      <c r="D48" s="5">
        <f t="shared" si="15"/>
        <v>210803.07598871051</v>
      </c>
      <c r="E48" s="5">
        <f t="shared" si="1"/>
        <v>201303.07598871051</v>
      </c>
      <c r="F48" s="5">
        <f t="shared" si="2"/>
        <v>81135.567276981819</v>
      </c>
      <c r="G48" s="5">
        <f t="shared" si="3"/>
        <v>129667.50871172869</v>
      </c>
      <c r="H48" s="22">
        <f t="shared" si="16"/>
        <v>97797.908037917266</v>
      </c>
      <c r="I48" s="5">
        <f t="shared" si="17"/>
        <v>222673.319255788</v>
      </c>
      <c r="J48" s="26">
        <f t="shared" si="19"/>
        <v>0.26521243859782567</v>
      </c>
      <c r="L48" s="22">
        <f t="shared" si="18"/>
        <v>473033.21816445974</v>
      </c>
      <c r="M48" s="5">
        <f>scrimecost*Meta!O45</f>
        <v>360.86999999999995</v>
      </c>
      <c r="N48" s="5">
        <f>L48-Grade10!L48</f>
        <v>15403.877364226675</v>
      </c>
      <c r="O48" s="5">
        <f>Grade10!M48-M48</f>
        <v>7.5900000000000318</v>
      </c>
      <c r="P48" s="22">
        <f t="shared" si="22"/>
        <v>1188.0746399445638</v>
      </c>
      <c r="Q48" s="22"/>
      <c r="R48" s="22"/>
      <c r="S48" s="22">
        <f t="shared" si="20"/>
        <v>12630.845538155476</v>
      </c>
      <c r="T48" s="22">
        <f t="shared" si="21"/>
        <v>2570.9532140407273</v>
      </c>
    </row>
    <row r="49" spans="1:20" x14ac:dyDescent="0.2">
      <c r="A49" s="5">
        <v>58</v>
      </c>
      <c r="B49" s="1">
        <f t="shared" si="13"/>
        <v>2.7521904343497163</v>
      </c>
      <c r="C49" s="5">
        <f t="shared" si="14"/>
        <v>226382.3794831002</v>
      </c>
      <c r="D49" s="5">
        <f t="shared" si="15"/>
        <v>216054.04288842829</v>
      </c>
      <c r="E49" s="5">
        <f t="shared" si="1"/>
        <v>206554.04288842829</v>
      </c>
      <c r="F49" s="5">
        <f t="shared" si="2"/>
        <v>83469.622063906369</v>
      </c>
      <c r="G49" s="5">
        <f t="shared" si="3"/>
        <v>132584.42082452192</v>
      </c>
      <c r="H49" s="22">
        <f t="shared" si="16"/>
        <v>100242.85573886518</v>
      </c>
      <c r="I49" s="5">
        <f t="shared" si="17"/>
        <v>227915.37663218268</v>
      </c>
      <c r="J49" s="26">
        <f t="shared" si="19"/>
        <v>0.26625800868031002</v>
      </c>
      <c r="L49" s="22">
        <f t="shared" si="18"/>
        <v>484859.04861857125</v>
      </c>
      <c r="M49" s="5">
        <f>scrimecost*Meta!O46</f>
        <v>360.86999999999995</v>
      </c>
      <c r="N49" s="5">
        <f>L49-Grade10!L49</f>
        <v>15788.974298332352</v>
      </c>
      <c r="O49" s="5">
        <f>Grade10!M49-M49</f>
        <v>7.5900000000000318</v>
      </c>
      <c r="P49" s="22">
        <f t="shared" si="22"/>
        <v>1220.8644429822946</v>
      </c>
      <c r="Q49" s="22"/>
      <c r="R49" s="22"/>
      <c r="S49" s="22">
        <f t="shared" si="20"/>
        <v>12949.47428902994</v>
      </c>
      <c r="T49" s="22">
        <f t="shared" si="21"/>
        <v>2535.4320646409701</v>
      </c>
    </row>
    <row r="50" spans="1:20" x14ac:dyDescent="0.2">
      <c r="A50" s="5">
        <v>59</v>
      </c>
      <c r="B50" s="1">
        <f t="shared" si="13"/>
        <v>2.8209951952084591</v>
      </c>
      <c r="C50" s="5">
        <f t="shared" si="14"/>
        <v>232041.93897017773</v>
      </c>
      <c r="D50" s="5">
        <f t="shared" si="15"/>
        <v>221436.283960639</v>
      </c>
      <c r="E50" s="5">
        <f t="shared" si="1"/>
        <v>211936.283960639</v>
      </c>
      <c r="F50" s="5">
        <f t="shared" si="2"/>
        <v>85862.028220504028</v>
      </c>
      <c r="G50" s="5">
        <f t="shared" si="3"/>
        <v>135574.25574013498</v>
      </c>
      <c r="H50" s="22">
        <f t="shared" si="16"/>
        <v>102748.92713233682</v>
      </c>
      <c r="I50" s="5">
        <f t="shared" si="17"/>
        <v>233288.48544298729</v>
      </c>
      <c r="J50" s="26">
        <f t="shared" si="19"/>
        <v>0.2672780770534654</v>
      </c>
      <c r="L50" s="22">
        <f t="shared" si="18"/>
        <v>496980.52483403543</v>
      </c>
      <c r="M50" s="5">
        <f>scrimecost*Meta!O47</f>
        <v>360.86999999999995</v>
      </c>
      <c r="N50" s="5">
        <f>L50-Grade10!L50</f>
        <v>16183.698655790533</v>
      </c>
      <c r="O50" s="5">
        <f>Grade10!M50-M50</f>
        <v>7.5900000000000318</v>
      </c>
      <c r="P50" s="22">
        <f t="shared" si="22"/>
        <v>1254.4739910959679</v>
      </c>
      <c r="Q50" s="22"/>
      <c r="R50" s="22"/>
      <c r="S50" s="22">
        <f t="shared" si="20"/>
        <v>13276.06875867616</v>
      </c>
      <c r="T50" s="22">
        <f t="shared" si="21"/>
        <v>2500.388110633884</v>
      </c>
    </row>
    <row r="51" spans="1:20" x14ac:dyDescent="0.2">
      <c r="A51" s="5">
        <v>60</v>
      </c>
      <c r="B51" s="1">
        <f t="shared" si="13"/>
        <v>2.8915200750886707</v>
      </c>
      <c r="C51" s="5">
        <f t="shared" si="14"/>
        <v>237842.98744443219</v>
      </c>
      <c r="D51" s="5">
        <f t="shared" si="15"/>
        <v>226953.081059655</v>
      </c>
      <c r="E51" s="5">
        <f t="shared" si="1"/>
        <v>217453.081059655</v>
      </c>
      <c r="F51" s="5">
        <f t="shared" si="2"/>
        <v>88314.244531016637</v>
      </c>
      <c r="G51" s="5">
        <f t="shared" si="3"/>
        <v>138638.83652863838</v>
      </c>
      <c r="H51" s="22">
        <f t="shared" si="16"/>
        <v>105317.65031064524</v>
      </c>
      <c r="I51" s="5">
        <f t="shared" si="17"/>
        <v>238795.92197406199</v>
      </c>
      <c r="J51" s="26">
        <f t="shared" si="19"/>
        <v>0.26827326571020244</v>
      </c>
      <c r="L51" s="22">
        <f t="shared" si="18"/>
        <v>509405.03795488633</v>
      </c>
      <c r="M51" s="5">
        <f>scrimecost*Meta!O48</f>
        <v>190.37199999999999</v>
      </c>
      <c r="N51" s="5">
        <f>L51-Grade10!L51</f>
        <v>16588.291122185416</v>
      </c>
      <c r="O51" s="5">
        <f>Grade10!M51-M51</f>
        <v>4.0040000000000191</v>
      </c>
      <c r="P51" s="22">
        <f t="shared" si="22"/>
        <v>1288.923777912484</v>
      </c>
      <c r="Q51" s="22"/>
      <c r="R51" s="22"/>
      <c r="S51" s="22">
        <f t="shared" si="20"/>
        <v>13607.292294063724</v>
      </c>
      <c r="T51" s="22">
        <f t="shared" si="21"/>
        <v>2465.1749014622351</v>
      </c>
    </row>
    <row r="52" spans="1:20" x14ac:dyDescent="0.2">
      <c r="A52" s="5">
        <v>61</v>
      </c>
      <c r="B52" s="1">
        <f t="shared" si="13"/>
        <v>2.9638080769658868</v>
      </c>
      <c r="C52" s="5">
        <f t="shared" si="14"/>
        <v>243789.06213054291</v>
      </c>
      <c r="D52" s="5">
        <f t="shared" si="15"/>
        <v>232607.7980861463</v>
      </c>
      <c r="E52" s="5">
        <f t="shared" si="1"/>
        <v>223107.7980861463</v>
      </c>
      <c r="F52" s="5">
        <f t="shared" si="2"/>
        <v>90827.766249292035</v>
      </c>
      <c r="G52" s="5">
        <f t="shared" si="3"/>
        <v>141780.03183685426</v>
      </c>
      <c r="H52" s="22">
        <f t="shared" si="16"/>
        <v>107950.59156841134</v>
      </c>
      <c r="I52" s="5">
        <f t="shared" si="17"/>
        <v>244441.04441841345</v>
      </c>
      <c r="J52" s="26">
        <f t="shared" si="19"/>
        <v>0.26924418147287277</v>
      </c>
      <c r="L52" s="22">
        <f t="shared" si="18"/>
        <v>522140.16390375845</v>
      </c>
      <c r="M52" s="5">
        <f>scrimecost*Meta!O49</f>
        <v>190.37199999999999</v>
      </c>
      <c r="N52" s="5">
        <f>L52-Grade10!L52</f>
        <v>17002.998400239972</v>
      </c>
      <c r="O52" s="5">
        <f>Grade10!M52-M52</f>
        <v>4.0040000000000191</v>
      </c>
      <c r="P52" s="22">
        <f t="shared" si="22"/>
        <v>1324.2348093994128</v>
      </c>
      <c r="Q52" s="22"/>
      <c r="R52" s="22"/>
      <c r="S52" s="22">
        <f t="shared" si="20"/>
        <v>13950.420608735827</v>
      </c>
      <c r="T52" s="22">
        <f t="shared" si="21"/>
        <v>2431.0921272877513</v>
      </c>
    </row>
    <row r="53" spans="1:20" x14ac:dyDescent="0.2">
      <c r="A53" s="5">
        <v>62</v>
      </c>
      <c r="B53" s="1">
        <f t="shared" si="13"/>
        <v>3.0379032788900342</v>
      </c>
      <c r="C53" s="5">
        <f t="shared" si="14"/>
        <v>249883.78868380652</v>
      </c>
      <c r="D53" s="5">
        <f t="shared" si="15"/>
        <v>238403.88303829997</v>
      </c>
      <c r="E53" s="5">
        <f t="shared" si="1"/>
        <v>228903.88303829997</v>
      </c>
      <c r="F53" s="5">
        <f t="shared" si="2"/>
        <v>93404.126010524342</v>
      </c>
      <c r="G53" s="5">
        <f t="shared" si="3"/>
        <v>144999.75702777563</v>
      </c>
      <c r="H53" s="22">
        <f t="shared" si="16"/>
        <v>110649.35635762164</v>
      </c>
      <c r="I53" s="5">
        <f t="shared" si="17"/>
        <v>250227.29492387379</v>
      </c>
      <c r="J53" s="26">
        <f t="shared" si="19"/>
        <v>0.2701914163632827</v>
      </c>
      <c r="L53" s="22">
        <f t="shared" si="18"/>
        <v>535193.66800135246</v>
      </c>
      <c r="M53" s="5">
        <f>scrimecost*Meta!O50</f>
        <v>190.37199999999999</v>
      </c>
      <c r="N53" s="5">
        <f>L53-Grade10!L53</f>
        <v>17428.073360246141</v>
      </c>
      <c r="O53" s="5">
        <f>Grade10!M53-M53</f>
        <v>4.0040000000000191</v>
      </c>
      <c r="P53" s="22">
        <f t="shared" si="22"/>
        <v>1360.4286166735144</v>
      </c>
      <c r="Q53" s="22"/>
      <c r="R53" s="22"/>
      <c r="S53" s="22">
        <f t="shared" si="20"/>
        <v>14302.127131274918</v>
      </c>
      <c r="T53" s="22">
        <f t="shared" si="21"/>
        <v>2397.4681184901524</v>
      </c>
    </row>
    <row r="54" spans="1:20" x14ac:dyDescent="0.2">
      <c r="A54" s="5">
        <v>63</v>
      </c>
      <c r="B54" s="1">
        <f t="shared" si="13"/>
        <v>3.1138508608622844</v>
      </c>
      <c r="C54" s="5">
        <f t="shared" si="14"/>
        <v>256130.88340090163</v>
      </c>
      <c r="D54" s="5">
        <f t="shared" si="15"/>
        <v>244344.87011425744</v>
      </c>
      <c r="E54" s="5">
        <f t="shared" si="1"/>
        <v>234844.87011425744</v>
      </c>
      <c r="F54" s="5">
        <f t="shared" si="2"/>
        <v>96044.894765787423</v>
      </c>
      <c r="G54" s="5">
        <f t="shared" si="3"/>
        <v>148299.97534847003</v>
      </c>
      <c r="H54" s="22">
        <f t="shared" si="16"/>
        <v>113415.59026656215</v>
      </c>
      <c r="I54" s="5">
        <f t="shared" si="17"/>
        <v>256158.20169197064</v>
      </c>
      <c r="J54" s="26">
        <f t="shared" si="19"/>
        <v>0.2711155479636827</v>
      </c>
      <c r="L54" s="22">
        <f t="shared" si="18"/>
        <v>548573.50970138609</v>
      </c>
      <c r="M54" s="5">
        <f>scrimecost*Meta!O51</f>
        <v>190.37199999999999</v>
      </c>
      <c r="N54" s="5">
        <f>L54-Grade10!L54</f>
        <v>17863.775194252026</v>
      </c>
      <c r="O54" s="5">
        <f>Grade10!M54-M54</f>
        <v>4.0040000000000191</v>
      </c>
      <c r="P54" s="22">
        <f t="shared" si="22"/>
        <v>1397.5272691294683</v>
      </c>
      <c r="Q54" s="22"/>
      <c r="R54" s="22"/>
      <c r="S54" s="22">
        <f t="shared" si="20"/>
        <v>14662.62631687716</v>
      </c>
      <c r="T54" s="22">
        <f t="shared" si="21"/>
        <v>2364.2971813101412</v>
      </c>
    </row>
    <row r="55" spans="1:20" x14ac:dyDescent="0.2">
      <c r="A55" s="5">
        <v>64</v>
      </c>
      <c r="B55" s="1">
        <f t="shared" si="13"/>
        <v>3.1916971323838421</v>
      </c>
      <c r="C55" s="5">
        <f t="shared" si="14"/>
        <v>262534.15548592422</v>
      </c>
      <c r="D55" s="5">
        <f t="shared" si="15"/>
        <v>250434.3818671139</v>
      </c>
      <c r="E55" s="5">
        <f t="shared" si="1"/>
        <v>240934.3818671139</v>
      </c>
      <c r="F55" s="5">
        <f t="shared" si="2"/>
        <v>98751.682739932134</v>
      </c>
      <c r="G55" s="5">
        <f t="shared" si="3"/>
        <v>151682.69912718178</v>
      </c>
      <c r="H55" s="22">
        <f t="shared" si="16"/>
        <v>116250.98002322624</v>
      </c>
      <c r="I55" s="5">
        <f t="shared" si="17"/>
        <v>262237.38112926995</v>
      </c>
      <c r="J55" s="26">
        <f t="shared" si="19"/>
        <v>0.27201713976895103</v>
      </c>
      <c r="L55" s="22">
        <f t="shared" si="18"/>
        <v>562287.84744392079</v>
      </c>
      <c r="M55" s="5">
        <f>scrimecost*Meta!O52</f>
        <v>190.37199999999999</v>
      </c>
      <c r="N55" s="5">
        <f>L55-Grade10!L55</f>
        <v>18310.36957410851</v>
      </c>
      <c r="O55" s="5">
        <f>Grade10!M55-M55</f>
        <v>4.0040000000000191</v>
      </c>
      <c r="P55" s="22">
        <f t="shared" si="22"/>
        <v>1435.553387896822</v>
      </c>
      <c r="Q55" s="22"/>
      <c r="R55" s="22"/>
      <c r="S55" s="22">
        <f t="shared" si="20"/>
        <v>15032.137982119793</v>
      </c>
      <c r="T55" s="22">
        <f t="shared" si="21"/>
        <v>2331.5736735412593</v>
      </c>
    </row>
    <row r="56" spans="1:20" x14ac:dyDescent="0.2">
      <c r="A56" s="5">
        <v>65</v>
      </c>
      <c r="B56" s="1">
        <f t="shared" si="13"/>
        <v>3.2714895606934378</v>
      </c>
      <c r="C56" s="5">
        <f t="shared" si="14"/>
        <v>269097.5093730723</v>
      </c>
      <c r="D56" s="5">
        <f t="shared" si="15"/>
        <v>256676.13141379174</v>
      </c>
      <c r="E56" s="5">
        <f t="shared" si="1"/>
        <v>247176.13141379174</v>
      </c>
      <c r="F56" s="5">
        <f t="shared" si="2"/>
        <v>101526.14041343042</v>
      </c>
      <c r="G56" s="5">
        <f t="shared" si="3"/>
        <v>155149.99100036133</v>
      </c>
      <c r="H56" s="22">
        <f t="shared" si="16"/>
        <v>119157.25452380687</v>
      </c>
      <c r="I56" s="5">
        <f t="shared" si="17"/>
        <v>268468.54005250166</v>
      </c>
      <c r="J56" s="26">
        <f t="shared" si="19"/>
        <v>0.27289674153018839</v>
      </c>
      <c r="L56" s="22">
        <f t="shared" si="18"/>
        <v>576345.04363001883</v>
      </c>
      <c r="M56" s="5">
        <f>scrimecost*Meta!O53</f>
        <v>57.53</v>
      </c>
      <c r="N56" s="5">
        <f>L56-Grade10!L56</f>
        <v>18768.128813461168</v>
      </c>
      <c r="O56" s="5">
        <f>Grade10!M56-M56</f>
        <v>1.2100000000000009</v>
      </c>
      <c r="P56" s="22">
        <f t="shared" si="22"/>
        <v>1474.5301596333588</v>
      </c>
      <c r="Q56" s="22"/>
      <c r="R56" s="22"/>
      <c r="S56" s="22">
        <f t="shared" si="20"/>
        <v>15408.132554993315</v>
      </c>
      <c r="T56" s="22">
        <f t="shared" si="21"/>
        <v>2298.8809784098075</v>
      </c>
    </row>
    <row r="57" spans="1:20" x14ac:dyDescent="0.2">
      <c r="A57" s="5">
        <v>66</v>
      </c>
      <c r="C57" s="5"/>
      <c r="H57" s="21"/>
      <c r="I57" s="5"/>
      <c r="M57" s="5">
        <f>scrimecost*Meta!O54</f>
        <v>57.53</v>
      </c>
      <c r="N57" s="5">
        <f>L57-Grade10!L57</f>
        <v>0</v>
      </c>
      <c r="O57" s="5">
        <f>Grade10!M57-M57</f>
        <v>1.2100000000000009</v>
      </c>
      <c r="Q57" s="22"/>
      <c r="R57" s="22"/>
      <c r="S57" s="22">
        <f t="shared" si="20"/>
        <v>1.1930600000000009</v>
      </c>
      <c r="T57" s="22">
        <f t="shared" si="21"/>
        <v>0.17122487487689816</v>
      </c>
    </row>
    <row r="58" spans="1:20" x14ac:dyDescent="0.2">
      <c r="A58" s="5">
        <v>67</v>
      </c>
      <c r="C58" s="5"/>
      <c r="H58" s="21"/>
      <c r="I58" s="5"/>
      <c r="M58" s="5">
        <f>scrimecost*Meta!O55</f>
        <v>57.53</v>
      </c>
      <c r="N58" s="5">
        <f>L58-Grade10!L58</f>
        <v>0</v>
      </c>
      <c r="O58" s="5">
        <f>Grade10!M58-M58</f>
        <v>1.2100000000000009</v>
      </c>
      <c r="Q58" s="22"/>
      <c r="R58" s="22"/>
      <c r="S58" s="22">
        <f t="shared" si="20"/>
        <v>1.1930600000000009</v>
      </c>
      <c r="T58" s="22">
        <f t="shared" si="21"/>
        <v>0.16470430430462879</v>
      </c>
    </row>
    <row r="59" spans="1:20" x14ac:dyDescent="0.2">
      <c r="A59" s="5">
        <v>68</v>
      </c>
      <c r="H59" s="21"/>
      <c r="I59" s="5"/>
      <c r="M59" s="5">
        <f>scrimecost*Meta!O56</f>
        <v>57.53</v>
      </c>
      <c r="N59" s="5">
        <f>L59-Grade10!L59</f>
        <v>0</v>
      </c>
      <c r="O59" s="5">
        <f>Grade10!M59-M59</f>
        <v>1.2100000000000009</v>
      </c>
      <c r="Q59" s="22"/>
      <c r="R59" s="22"/>
      <c r="S59" s="22">
        <f t="shared" si="20"/>
        <v>1.1930600000000009</v>
      </c>
      <c r="T59" s="22">
        <f t="shared" si="21"/>
        <v>0.15843204952536857</v>
      </c>
    </row>
    <row r="60" spans="1:20" x14ac:dyDescent="0.2">
      <c r="A60" s="5">
        <v>69</v>
      </c>
      <c r="H60" s="21"/>
      <c r="I60" s="5"/>
      <c r="M60" s="5">
        <f>scrimecost*Meta!O57</f>
        <v>57.53</v>
      </c>
      <c r="N60" s="5">
        <f>L60-Grade10!L60</f>
        <v>0</v>
      </c>
      <c r="O60" s="5">
        <f>Grade10!M60-M60</f>
        <v>1.2100000000000009</v>
      </c>
      <c r="Q60" s="22"/>
      <c r="R60" s="22"/>
      <c r="S60" s="22">
        <f t="shared" si="20"/>
        <v>1.1930600000000009</v>
      </c>
      <c r="T60" s="22">
        <f t="shared" si="21"/>
        <v>0.15239865419900517</v>
      </c>
    </row>
    <row r="61" spans="1:20" x14ac:dyDescent="0.2">
      <c r="A61" s="5">
        <v>70</v>
      </c>
      <c r="H61" s="21"/>
      <c r="I61" s="5"/>
      <c r="M61" s="5">
        <f>scrimecost*Meta!O58</f>
        <v>57.53</v>
      </c>
      <c r="N61" s="5">
        <f>L61-Grade10!L61</f>
        <v>0</v>
      </c>
      <c r="O61" s="5">
        <f>Grade10!M61-M61</f>
        <v>1.2100000000000009</v>
      </c>
      <c r="Q61" s="22"/>
      <c r="R61" s="22"/>
      <c r="S61" s="22">
        <f t="shared" si="20"/>
        <v>1.1930600000000009</v>
      </c>
      <c r="T61" s="22">
        <f t="shared" si="21"/>
        <v>0.14659502210093578</v>
      </c>
    </row>
    <row r="62" spans="1:20" x14ac:dyDescent="0.2">
      <c r="A62" s="5">
        <v>71</v>
      </c>
      <c r="H62" s="21"/>
      <c r="I62" s="5"/>
      <c r="M62" s="5">
        <f>scrimecost*Meta!O59</f>
        <v>57.53</v>
      </c>
      <c r="N62" s="5">
        <f>L62-Grade10!L62</f>
        <v>0</v>
      </c>
      <c r="O62" s="5">
        <f>Grade10!M62-M62</f>
        <v>1.2100000000000009</v>
      </c>
      <c r="Q62" s="22"/>
      <c r="R62" s="22"/>
      <c r="S62" s="22">
        <f t="shared" si="20"/>
        <v>1.1930600000000009</v>
      </c>
      <c r="T62" s="22">
        <f t="shared" si="21"/>
        <v>0.14101240340818</v>
      </c>
    </row>
    <row r="63" spans="1:20" x14ac:dyDescent="0.2">
      <c r="A63" s="5">
        <v>72</v>
      </c>
      <c r="H63" s="21"/>
      <c r="M63" s="5">
        <f>scrimecost*Meta!O60</f>
        <v>57.53</v>
      </c>
      <c r="N63" s="5">
        <f>L63-Grade10!L63</f>
        <v>0</v>
      </c>
      <c r="O63" s="5">
        <f>Grade10!M63-M63</f>
        <v>1.2100000000000009</v>
      </c>
      <c r="Q63" s="22"/>
      <c r="R63" s="22"/>
      <c r="S63" s="22">
        <f t="shared" si="20"/>
        <v>1.1930600000000009</v>
      </c>
      <c r="T63" s="22">
        <f t="shared" si="21"/>
        <v>0.13564238150774402</v>
      </c>
    </row>
    <row r="64" spans="1:20" x14ac:dyDescent="0.2">
      <c r="A64" s="5">
        <v>73</v>
      </c>
      <c r="H64" s="21"/>
      <c r="M64" s="5">
        <f>scrimecost*Meta!O61</f>
        <v>57.53</v>
      </c>
      <c r="N64" s="5">
        <f>L64-Grade10!L64</f>
        <v>0</v>
      </c>
      <c r="O64" s="5">
        <f>Grade10!M64-M64</f>
        <v>1.2100000000000009</v>
      </c>
      <c r="Q64" s="22"/>
      <c r="R64" s="22"/>
      <c r="S64" s="22">
        <f t="shared" si="20"/>
        <v>1.1930600000000009</v>
      </c>
      <c r="T64" s="22">
        <f t="shared" si="21"/>
        <v>0.13047686030734712</v>
      </c>
    </row>
    <row r="65" spans="1:20" x14ac:dyDescent="0.2">
      <c r="A65" s="5">
        <v>74</v>
      </c>
      <c r="H65" s="21"/>
      <c r="M65" s="5">
        <f>scrimecost*Meta!O62</f>
        <v>57.53</v>
      </c>
      <c r="N65" s="5">
        <f>L65-Grade10!L65</f>
        <v>0</v>
      </c>
      <c r="O65" s="5">
        <f>Grade10!M65-M65</f>
        <v>1.2100000000000009</v>
      </c>
      <c r="Q65" s="22"/>
      <c r="R65" s="22"/>
      <c r="S65" s="22">
        <f t="shared" si="20"/>
        <v>1.1930600000000009</v>
      </c>
      <c r="T65" s="22">
        <f t="shared" si="21"/>
        <v>0.12550805202938017</v>
      </c>
    </row>
    <row r="66" spans="1:20" x14ac:dyDescent="0.2">
      <c r="A66" s="5">
        <v>75</v>
      </c>
      <c r="H66" s="21"/>
      <c r="M66" s="5">
        <f>scrimecost*Meta!O63</f>
        <v>57.53</v>
      </c>
      <c r="N66" s="5">
        <f>L66-Grade10!L66</f>
        <v>0</v>
      </c>
      <c r="O66" s="5">
        <f>Grade10!M66-M66</f>
        <v>1.2100000000000009</v>
      </c>
      <c r="Q66" s="22"/>
      <c r="R66" s="22"/>
      <c r="S66" s="22">
        <f t="shared" si="20"/>
        <v>1.1930600000000009</v>
      </c>
      <c r="T66" s="22">
        <f t="shared" si="21"/>
        <v>0.12072846546969365</v>
      </c>
    </row>
    <row r="67" spans="1:20" x14ac:dyDescent="0.2">
      <c r="A67" s="5">
        <v>76</v>
      </c>
      <c r="H67" s="21"/>
      <c r="M67" s="5">
        <f>scrimecost*Meta!O64</f>
        <v>57.53</v>
      </c>
      <c r="N67" s="5">
        <f>L67-Grade10!L67</f>
        <v>0</v>
      </c>
      <c r="O67" s="5">
        <f>Grade10!M67-M67</f>
        <v>1.2100000000000009</v>
      </c>
      <c r="Q67" s="22"/>
      <c r="R67" s="22"/>
      <c r="S67" s="22">
        <f t="shared" si="20"/>
        <v>1.1930600000000009</v>
      </c>
      <c r="T67" s="22">
        <f t="shared" si="21"/>
        <v>0.11613089470351326</v>
      </c>
    </row>
    <row r="68" spans="1:20" x14ac:dyDescent="0.2">
      <c r="A68" s="5">
        <v>77</v>
      </c>
      <c r="H68" s="21"/>
      <c r="M68" s="5">
        <f>scrimecost*Meta!O65</f>
        <v>57.53</v>
      </c>
      <c r="N68" s="5">
        <f>L68-Grade10!L68</f>
        <v>0</v>
      </c>
      <c r="O68" s="5">
        <f>Grade10!M68-M68</f>
        <v>1.2100000000000009</v>
      </c>
      <c r="Q68" s="22"/>
      <c r="R68" s="22"/>
      <c r="S68" s="22">
        <f t="shared" si="20"/>
        <v>1.1930600000000009</v>
      </c>
      <c r="T68" s="22">
        <f t="shared" si="21"/>
        <v>0.11170840822145596</v>
      </c>
    </row>
    <row r="69" spans="1:20" x14ac:dyDescent="0.2">
      <c r="A69" s="5">
        <v>78</v>
      </c>
      <c r="H69" s="21"/>
      <c r="M69" s="5">
        <f>scrimecost*Meta!O66</f>
        <v>57.53</v>
      </c>
      <c r="N69" s="5">
        <f>L69-Grade10!L69</f>
        <v>0</v>
      </c>
      <c r="O69" s="5">
        <f>Grade10!M69-M69</f>
        <v>1.2100000000000009</v>
      </c>
      <c r="Q69" s="22"/>
      <c r="R69" s="22"/>
      <c r="S69" s="22">
        <f t="shared" si="20"/>
        <v>1.1930600000000009</v>
      </c>
      <c r="T69" s="22">
        <f t="shared" si="21"/>
        <v>0.10745433847926715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-2.6460552388085645E-8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9" sqref="P9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Meta!A6+6</f>
        <v>18</v>
      </c>
      <c r="C2" s="7">
        <f>Meta!B6</f>
        <v>188893</v>
      </c>
      <c r="D2" s="7">
        <f>Meta!C6</f>
        <v>83642</v>
      </c>
      <c r="E2" s="1">
        <f>Meta!D6</f>
        <v>4.1000000000000002E-2</v>
      </c>
      <c r="F2" s="1">
        <f>Meta!F6</f>
        <v>0.70899999999999996</v>
      </c>
      <c r="G2" s="1">
        <f>Meta!I6</f>
        <v>1.8929079672445346</v>
      </c>
      <c r="H2" s="1">
        <f>Meta!E6</f>
        <v>0.98599999999999999</v>
      </c>
      <c r="I2" s="13"/>
      <c r="J2" s="1">
        <f>Meta!X5</f>
        <v>0.754</v>
      </c>
      <c r="K2" s="1">
        <f>Meta!D5</f>
        <v>4.9000000000000002E-2</v>
      </c>
      <c r="L2" s="29"/>
      <c r="N2" s="22">
        <f>Meta!T6</f>
        <v>256206</v>
      </c>
      <c r="O2" s="22">
        <f>Meta!U6</f>
        <v>108023</v>
      </c>
      <c r="P2" s="1">
        <f>Meta!V6</f>
        <v>2.9000000000000001E-2</v>
      </c>
      <c r="Q2" s="1">
        <f>Meta!X6</f>
        <v>0.76200000000000001</v>
      </c>
      <c r="R2" s="22">
        <f>Meta!W6</f>
        <v>1025</v>
      </c>
      <c r="T2" s="12">
        <f>IRR(S5:S69)+1</f>
        <v>1.0404274201591248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B8" s="1">
        <v>1</v>
      </c>
      <c r="C8" s="5">
        <f>0.1*Grade11!C8</f>
        <v>8225.5347107399411</v>
      </c>
      <c r="D8" s="5">
        <f t="shared" ref="D8:D36" si="0">IF(A8&lt;startage,1,0)*(C8*(1-initialunempprob))+IF(A8=startage,1,0)*(C8*(1-unempprob))+IF(A8&gt;startage,1,0)*(C8*(1-unempprob)+unempprob*300*52)</f>
        <v>7822.4835099136835</v>
      </c>
      <c r="E8" s="5">
        <f t="shared" ref="E8:E56" si="1">IF(D8-9500&gt;0,1,0)*(D8-9500)</f>
        <v>0</v>
      </c>
      <c r="F8" s="5">
        <f t="shared" ref="F8:F56" si="2">IF(E8&lt;=8500,1,0)*(0.1*E8+0.1*E8+0.0765*D8)+IF(AND(E8&gt;8500,E8&lt;=34500),1,0)*(850+0.15*(E8-8500)+0.1*E8+0.0765*D8)+IF(AND(E8&gt;34500,E8&lt;=83600),1,0)*(4750+0.25*(E8-34500)+0.1*E8+0.0765*D8)+IF(AND(E8&gt;83600,E8&lt;=174400,D8&lt;=106800),1,0)*(17025+0.28*(E8-83600)+0.1*E8+0.0765*D8)+IF(AND(E8&gt;83600,E8&lt;=174400,D8&gt;106800),1,0)*(17025+0.28*(E8-83600)+0.1*E8+8170.2+0.0145*(D8-106800))+IF(AND(E8&gt;174400,E8&lt;=379150),1,0)*(42449+0.33*(E8-174400)+0.1*E8+8170.2+0.0145*(D8-106800))+IF(E8&gt;379150,1,0)*(110016.5+0.35*(E8-379150)+0.1*E8+8170.2+0.0145*(D8-106800))</f>
        <v>598.41998850839673</v>
      </c>
      <c r="G8" s="5">
        <f t="shared" ref="G8:G56" si="3">D8-F8</f>
        <v>7224.0635214052872</v>
      </c>
      <c r="H8" s="22">
        <f>0.1*Grade11!H8</f>
        <v>3642.2935886902183</v>
      </c>
      <c r="I8" s="5">
        <f t="shared" ref="I8:I36" si="4">G8+IF(A8&lt;startage,1,0)*(H8*(1-initialunempprob))+IF(A8&gt;=startage,1,0)*(H8*(1-unempprob))</f>
        <v>10687.884724249685</v>
      </c>
      <c r="J8" s="26">
        <f t="shared" ref="J8:J39" si="5">(F8-(IF(A8&gt;startage,1,0)*(unempprob*300*52)))/(IF(A8&lt;startage,1,0)*((C8+H8)*(1-initialunempprob))+IF(A8&gt;=startage,1,0)*((C8+H8)*(1-unempprob)))</f>
        <v>5.3021782039248018E-2</v>
      </c>
      <c r="L8" s="22">
        <f>0.1*Grade11!L8</f>
        <v>17617.205647077</v>
      </c>
      <c r="M8" s="5">
        <f>scrimecost*Meta!O5</f>
        <v>2779.8</v>
      </c>
      <c r="N8" s="5">
        <f>L8-Grade11!L8</f>
        <v>-158554.85082369298</v>
      </c>
      <c r="O8" s="5"/>
      <c r="P8" s="22"/>
      <c r="Q8" s="22">
        <f>0.05*feel*Grade11!G8</f>
        <v>728.86720101096955</v>
      </c>
      <c r="R8" s="22">
        <f>hstuition</f>
        <v>11298</v>
      </c>
      <c r="S8" s="22">
        <f t="shared" ref="S8:S39" si="6">IF(A8&lt;startage,1,0)*(N8-Q8-R8)+IF(A8&gt;=startage,1,0)*completionprob*(N8*spart+O8+P8)</f>
        <v>-170581.71802470394</v>
      </c>
      <c r="T8" s="22">
        <f t="shared" ref="T8:T39" si="7">S8/sreturn^(A8-startage+1)</f>
        <v>-170581.71802470394</v>
      </c>
    </row>
    <row r="9" spans="1:20" x14ac:dyDescent="0.2">
      <c r="A9" s="5">
        <v>18</v>
      </c>
      <c r="B9" s="1">
        <f t="shared" ref="B9:B36" si="8">(1+experiencepremium)^(A9-startage)</f>
        <v>1</v>
      </c>
      <c r="C9" s="5">
        <f t="shared" ref="C9:C36" si="9">pretaxincome*B9/expnorm</f>
        <v>99789.848882599123</v>
      </c>
      <c r="D9" s="5">
        <f t="shared" si="0"/>
        <v>95698.465078412555</v>
      </c>
      <c r="E9" s="5">
        <f t="shared" si="1"/>
        <v>86198.465078412555</v>
      </c>
      <c r="F9" s="5">
        <f t="shared" si="2"/>
        <v>33693.349308295336</v>
      </c>
      <c r="G9" s="5">
        <f t="shared" si="3"/>
        <v>62005.11577011722</v>
      </c>
      <c r="H9" s="22">
        <f t="shared" ref="H9:H36" si="10">benefits*B9/expnorm</f>
        <v>44187.039965686163</v>
      </c>
      <c r="I9" s="5">
        <f t="shared" si="4"/>
        <v>104380.48709721025</v>
      </c>
      <c r="J9" s="26">
        <f t="shared" si="5"/>
        <v>0.24402414089040148</v>
      </c>
      <c r="L9" s="22">
        <f t="shared" ref="L9:L36" si="11">(sincome+sbenefits)*(1-sunemp)*B9/expnorm</f>
        <v>186837.58804968448</v>
      </c>
      <c r="M9" s="5">
        <f>scrimecost*Meta!O6</f>
        <v>3378.3999999999996</v>
      </c>
      <c r="N9" s="5">
        <f>L9-Grade11!L9</f>
        <v>6261.2301671452587</v>
      </c>
      <c r="O9" s="5">
        <f>Grade11!M9-M9</f>
        <v>69.216000000000349</v>
      </c>
      <c r="P9" s="22">
        <f t="shared" ref="P9:P56" si="12">(spart-initialspart)*(L9*J9+nptrans)</f>
        <v>417.17505527887232</v>
      </c>
      <c r="Q9" s="22"/>
      <c r="R9" s="22"/>
      <c r="S9" s="22">
        <f t="shared" si="6"/>
        <v>5183.8441644465502</v>
      </c>
      <c r="T9" s="22">
        <f t="shared" si="7"/>
        <v>4982.4178640483387</v>
      </c>
    </row>
    <row r="10" spans="1:20" x14ac:dyDescent="0.2">
      <c r="A10" s="5">
        <v>19</v>
      </c>
      <c r="B10" s="1">
        <f t="shared" si="8"/>
        <v>1.0249999999999999</v>
      </c>
      <c r="C10" s="5">
        <f t="shared" si="9"/>
        <v>102284.5951046641</v>
      </c>
      <c r="D10" s="5">
        <f t="shared" si="0"/>
        <v>98730.526705372875</v>
      </c>
      <c r="E10" s="5">
        <f t="shared" si="1"/>
        <v>89230.526705372875</v>
      </c>
      <c r="F10" s="5">
        <f t="shared" si="2"/>
        <v>35077.485441002718</v>
      </c>
      <c r="G10" s="5">
        <f t="shared" si="3"/>
        <v>63653.041264370157</v>
      </c>
      <c r="H10" s="22">
        <f t="shared" si="10"/>
        <v>45291.715964828312</v>
      </c>
      <c r="I10" s="5">
        <f t="shared" si="4"/>
        <v>107087.79687464051</v>
      </c>
      <c r="J10" s="26">
        <f t="shared" si="5"/>
        <v>0.24333311719491496</v>
      </c>
      <c r="L10" s="22">
        <f t="shared" si="11"/>
        <v>191508.52775092659</v>
      </c>
      <c r="M10" s="5">
        <f>scrimecost*Meta!O7</f>
        <v>3611.0750000000003</v>
      </c>
      <c r="N10" s="5">
        <f>L10-Grade11!L10</f>
        <v>6417.7609213238757</v>
      </c>
      <c r="O10" s="5">
        <f>Grade11!M10-M10</f>
        <v>73.98299999999972</v>
      </c>
      <c r="P10" s="22">
        <f t="shared" si="12"/>
        <v>425.23493621633514</v>
      </c>
      <c r="Q10" s="22"/>
      <c r="R10" s="22"/>
      <c r="S10" s="22">
        <f t="shared" si="6"/>
        <v>5314.0980336494167</v>
      </c>
      <c r="T10" s="22">
        <f t="shared" si="7"/>
        <v>4909.1463933907607</v>
      </c>
    </row>
    <row r="11" spans="1:20" x14ac:dyDescent="0.2">
      <c r="A11" s="5">
        <v>20</v>
      </c>
      <c r="B11" s="1">
        <f t="shared" si="8"/>
        <v>1.0506249999999999</v>
      </c>
      <c r="C11" s="5">
        <f t="shared" si="9"/>
        <v>104841.70998228069</v>
      </c>
      <c r="D11" s="5">
        <f t="shared" si="0"/>
        <v>101182.79987300718</v>
      </c>
      <c r="E11" s="5">
        <f t="shared" si="1"/>
        <v>91682.799873007185</v>
      </c>
      <c r="F11" s="5">
        <f t="shared" si="2"/>
        <v>36196.948142027773</v>
      </c>
      <c r="G11" s="5">
        <f t="shared" si="3"/>
        <v>64985.851730979412</v>
      </c>
      <c r="H11" s="22">
        <f t="shared" si="10"/>
        <v>46424.008863949013</v>
      </c>
      <c r="I11" s="5">
        <f t="shared" si="4"/>
        <v>109506.47623150652</v>
      </c>
      <c r="J11" s="26">
        <f t="shared" si="5"/>
        <v>0.24511519874499407</v>
      </c>
      <c r="L11" s="22">
        <f t="shared" si="11"/>
        <v>196296.24094469976</v>
      </c>
      <c r="M11" s="5">
        <f>scrimecost*Meta!O8</f>
        <v>3458.35</v>
      </c>
      <c r="N11" s="5">
        <f>L11-Grade11!L11</f>
        <v>6578.204944357014</v>
      </c>
      <c r="O11" s="5">
        <f>Grade11!M11-M11</f>
        <v>70.854000000000269</v>
      </c>
      <c r="P11" s="22">
        <f t="shared" si="12"/>
        <v>437.35353689644296</v>
      </c>
      <c r="Q11" s="22"/>
      <c r="R11" s="22"/>
      <c r="S11" s="22">
        <f t="shared" si="6"/>
        <v>5443.5085086335366</v>
      </c>
      <c r="T11" s="22">
        <f t="shared" si="7"/>
        <v>4833.2976137925625</v>
      </c>
    </row>
    <row r="12" spans="1:20" x14ac:dyDescent="0.2">
      <c r="A12" s="5">
        <v>21</v>
      </c>
      <c r="B12" s="1">
        <f t="shared" si="8"/>
        <v>1.0768906249999999</v>
      </c>
      <c r="C12" s="5">
        <f t="shared" si="9"/>
        <v>107462.75273183771</v>
      </c>
      <c r="D12" s="5">
        <f t="shared" si="0"/>
        <v>103696.37986983237</v>
      </c>
      <c r="E12" s="5">
        <f t="shared" si="1"/>
        <v>94196.379869832366</v>
      </c>
      <c r="F12" s="5">
        <f t="shared" si="2"/>
        <v>37344.39741057848</v>
      </c>
      <c r="G12" s="5">
        <f t="shared" si="3"/>
        <v>66351.982459253893</v>
      </c>
      <c r="H12" s="22">
        <f t="shared" si="10"/>
        <v>47584.609085547745</v>
      </c>
      <c r="I12" s="5">
        <f t="shared" si="4"/>
        <v>111985.62257229417</v>
      </c>
      <c r="J12" s="26">
        <f t="shared" si="5"/>
        <v>0.24685381489141286</v>
      </c>
      <c r="L12" s="22">
        <f t="shared" si="11"/>
        <v>201203.64696831725</v>
      </c>
      <c r="M12" s="5">
        <f>scrimecost*Meta!O9</f>
        <v>3140.6</v>
      </c>
      <c r="N12" s="5">
        <f>L12-Grade11!L12</f>
        <v>6742.6600679659459</v>
      </c>
      <c r="O12" s="5">
        <f>Grade11!M12-M12</f>
        <v>64.344000000000051</v>
      </c>
      <c r="P12" s="22">
        <f t="shared" si="12"/>
        <v>449.77510259355375</v>
      </c>
      <c r="Q12" s="22"/>
      <c r="R12" s="22"/>
      <c r="S12" s="22">
        <f t="shared" si="6"/>
        <v>5572.8977093422345</v>
      </c>
      <c r="T12" s="22">
        <f t="shared" si="7"/>
        <v>4755.913138739541</v>
      </c>
    </row>
    <row r="13" spans="1:20" x14ac:dyDescent="0.2">
      <c r="A13" s="5">
        <v>22</v>
      </c>
      <c r="B13" s="1">
        <f t="shared" si="8"/>
        <v>1.1038128906249998</v>
      </c>
      <c r="C13" s="5">
        <f t="shared" si="9"/>
        <v>110149.32155013364</v>
      </c>
      <c r="D13" s="5">
        <f t="shared" si="0"/>
        <v>106272.79936657815</v>
      </c>
      <c r="E13" s="5">
        <f t="shared" si="1"/>
        <v>96772.799366578154</v>
      </c>
      <c r="F13" s="5">
        <f t="shared" si="2"/>
        <v>38520.532910842929</v>
      </c>
      <c r="G13" s="5">
        <f t="shared" si="3"/>
        <v>67752.266455735225</v>
      </c>
      <c r="H13" s="22">
        <f t="shared" si="10"/>
        <v>48774.224312686434</v>
      </c>
      <c r="I13" s="5">
        <f t="shared" si="4"/>
        <v>114526.7475716015</v>
      </c>
      <c r="J13" s="26">
        <f t="shared" si="5"/>
        <v>0.24855002576596766</v>
      </c>
      <c r="L13" s="22">
        <f t="shared" si="11"/>
        <v>206233.73814252514</v>
      </c>
      <c r="M13" s="5">
        <f>scrimecost*Meta!O10</f>
        <v>2878.2</v>
      </c>
      <c r="N13" s="5">
        <f>L13-Grade11!L13</f>
        <v>6911.2265696650429</v>
      </c>
      <c r="O13" s="5">
        <f>Grade11!M13-M13</f>
        <v>58.967999999999847</v>
      </c>
      <c r="P13" s="22">
        <f t="shared" si="12"/>
        <v>462.50720743309199</v>
      </c>
      <c r="Q13" s="22"/>
      <c r="R13" s="22"/>
      <c r="S13" s="22">
        <f t="shared" si="6"/>
        <v>5706.8002355686049</v>
      </c>
      <c r="T13" s="22">
        <f t="shared" si="7"/>
        <v>4680.9469972866245</v>
      </c>
    </row>
    <row r="14" spans="1:20" x14ac:dyDescent="0.2">
      <c r="A14" s="5">
        <v>23</v>
      </c>
      <c r="B14" s="1">
        <f t="shared" si="8"/>
        <v>1.1314082128906247</v>
      </c>
      <c r="C14" s="5">
        <f t="shared" si="9"/>
        <v>112903.05458888697</v>
      </c>
      <c r="D14" s="5">
        <f t="shared" si="0"/>
        <v>108913.6293507426</v>
      </c>
      <c r="E14" s="5">
        <f t="shared" si="1"/>
        <v>99413.629350742602</v>
      </c>
      <c r="F14" s="5">
        <f t="shared" si="2"/>
        <v>39595.026778867956</v>
      </c>
      <c r="G14" s="5">
        <f t="shared" si="3"/>
        <v>69318.602571874653</v>
      </c>
      <c r="H14" s="22">
        <f t="shared" si="10"/>
        <v>49993.579920503587</v>
      </c>
      <c r="I14" s="5">
        <f t="shared" si="4"/>
        <v>117262.44571563759</v>
      </c>
      <c r="J14" s="26">
        <f t="shared" si="5"/>
        <v>0.24936600503401485</v>
      </c>
      <c r="L14" s="22">
        <f t="shared" si="11"/>
        <v>211389.58159608825</v>
      </c>
      <c r="M14" s="5">
        <f>scrimecost*Meta!O11</f>
        <v>2689.6</v>
      </c>
      <c r="N14" s="5">
        <f>L14-Grade11!L14</f>
        <v>7084.0072339066828</v>
      </c>
      <c r="O14" s="5">
        <f>Grade11!M14-M14</f>
        <v>55.104000000000269</v>
      </c>
      <c r="P14" s="22">
        <f t="shared" si="12"/>
        <v>474.13900374742792</v>
      </c>
      <c r="Q14" s="22"/>
      <c r="R14" s="22"/>
      <c r="S14" s="22">
        <f t="shared" si="6"/>
        <v>5844.2749247605389</v>
      </c>
      <c r="T14" s="22">
        <f t="shared" si="7"/>
        <v>4607.4422604614156</v>
      </c>
    </row>
    <row r="15" spans="1:20" x14ac:dyDescent="0.2">
      <c r="A15" s="5">
        <v>24</v>
      </c>
      <c r="B15" s="1">
        <f t="shared" si="8"/>
        <v>1.1596934182128902</v>
      </c>
      <c r="C15" s="5">
        <f t="shared" si="9"/>
        <v>115725.63095360914</v>
      </c>
      <c r="D15" s="5">
        <f t="shared" si="0"/>
        <v>111620.48008451117</v>
      </c>
      <c r="E15" s="5">
        <f t="shared" si="1"/>
        <v>102120.48008451117</v>
      </c>
      <c r="F15" s="5">
        <f t="shared" si="2"/>
        <v>40662.879393339659</v>
      </c>
      <c r="G15" s="5">
        <f t="shared" si="3"/>
        <v>70957.600691171509</v>
      </c>
      <c r="H15" s="22">
        <f t="shared" si="10"/>
        <v>51243.419418516169</v>
      </c>
      <c r="I15" s="5">
        <f t="shared" si="4"/>
        <v>120100.03991352851</v>
      </c>
      <c r="J15" s="26">
        <f t="shared" si="5"/>
        <v>0.24995284613502849</v>
      </c>
      <c r="L15" s="22">
        <f t="shared" si="11"/>
        <v>216674.32113599044</v>
      </c>
      <c r="M15" s="5">
        <f>scrimecost*Meta!O12</f>
        <v>2569.6750000000002</v>
      </c>
      <c r="N15" s="5">
        <f>L15-Grade11!L15</f>
        <v>7261.1074147543113</v>
      </c>
      <c r="O15" s="5">
        <f>Grade11!M15-M15</f>
        <v>52.646999999999935</v>
      </c>
      <c r="P15" s="22">
        <f t="shared" si="12"/>
        <v>485.69890601852819</v>
      </c>
      <c r="Q15" s="22"/>
      <c r="R15" s="22"/>
      <c r="S15" s="22">
        <f t="shared" si="6"/>
        <v>5986.3114194764548</v>
      </c>
      <c r="T15" s="22">
        <f t="shared" si="7"/>
        <v>4536.039004173861</v>
      </c>
    </row>
    <row r="16" spans="1:20" x14ac:dyDescent="0.2">
      <c r="A16" s="5">
        <v>25</v>
      </c>
      <c r="B16" s="1">
        <f t="shared" si="8"/>
        <v>1.1886857536682125</v>
      </c>
      <c r="C16" s="5">
        <f t="shared" si="9"/>
        <v>118618.77172744938</v>
      </c>
      <c r="D16" s="5">
        <f t="shared" si="0"/>
        <v>114395.00208662395</v>
      </c>
      <c r="E16" s="5">
        <f t="shared" si="1"/>
        <v>104895.00208662395</v>
      </c>
      <c r="F16" s="5">
        <f t="shared" si="2"/>
        <v>41757.428323173146</v>
      </c>
      <c r="G16" s="5">
        <f t="shared" si="3"/>
        <v>72637.573763450811</v>
      </c>
      <c r="H16" s="22">
        <f t="shared" si="10"/>
        <v>52524.504903979083</v>
      </c>
      <c r="I16" s="5">
        <f t="shared" si="4"/>
        <v>123008.57396636675</v>
      </c>
      <c r="J16" s="26">
        <f t="shared" si="5"/>
        <v>0.25052537403845643</v>
      </c>
      <c r="L16" s="22">
        <f t="shared" si="11"/>
        <v>222091.17916439023</v>
      </c>
      <c r="M16" s="5">
        <f>scrimecost*Meta!O13</f>
        <v>2157.625</v>
      </c>
      <c r="N16" s="5">
        <f>L16-Grade11!L16</f>
        <v>7442.6351001232397</v>
      </c>
      <c r="O16" s="5">
        <f>Grade11!M16-M16</f>
        <v>44.204999999999927</v>
      </c>
      <c r="P16" s="22">
        <f t="shared" si="12"/>
        <v>497.54780584640605</v>
      </c>
      <c r="Q16" s="22"/>
      <c r="R16" s="22"/>
      <c r="S16" s="22">
        <f t="shared" si="6"/>
        <v>6126.0581816103504</v>
      </c>
      <c r="T16" s="22">
        <f t="shared" si="7"/>
        <v>4461.5606604266868</v>
      </c>
    </row>
    <row r="17" spans="1:20" x14ac:dyDescent="0.2">
      <c r="A17" s="5">
        <v>26</v>
      </c>
      <c r="B17" s="1">
        <f t="shared" si="8"/>
        <v>1.2184028975099177</v>
      </c>
      <c r="C17" s="5">
        <f t="shared" si="9"/>
        <v>121584.2410206356</v>
      </c>
      <c r="D17" s="5">
        <f t="shared" si="0"/>
        <v>117238.88713878955</v>
      </c>
      <c r="E17" s="5">
        <f t="shared" si="1"/>
        <v>107738.88713878955</v>
      </c>
      <c r="F17" s="5">
        <f t="shared" si="2"/>
        <v>42879.340976252483</v>
      </c>
      <c r="G17" s="5">
        <f t="shared" si="3"/>
        <v>74359.546162537066</v>
      </c>
      <c r="H17" s="22">
        <f t="shared" si="10"/>
        <v>53837.617526578557</v>
      </c>
      <c r="I17" s="5">
        <f t="shared" si="4"/>
        <v>125989.8213705259</v>
      </c>
      <c r="J17" s="26">
        <f t="shared" si="5"/>
        <v>0.25108393784667882</v>
      </c>
      <c r="L17" s="22">
        <f t="shared" si="11"/>
        <v>227643.45864349994</v>
      </c>
      <c r="M17" s="5">
        <f>scrimecost*Meta!O14</f>
        <v>2157.625</v>
      </c>
      <c r="N17" s="5">
        <f>L17-Grade11!L17</f>
        <v>7628.7009776262857</v>
      </c>
      <c r="O17" s="5">
        <f>Grade11!M17-M17</f>
        <v>44.204999999999927</v>
      </c>
      <c r="P17" s="22">
        <f t="shared" si="12"/>
        <v>509.69292816998075</v>
      </c>
      <c r="Q17" s="22"/>
      <c r="R17" s="22"/>
      <c r="S17" s="22">
        <f t="shared" si="6"/>
        <v>6277.8305200975128</v>
      </c>
      <c r="T17" s="22">
        <f t="shared" si="7"/>
        <v>4394.4394282812527</v>
      </c>
    </row>
    <row r="18" spans="1:20" x14ac:dyDescent="0.2">
      <c r="A18" s="5">
        <v>27</v>
      </c>
      <c r="B18" s="1">
        <f t="shared" si="8"/>
        <v>1.2488629699476654</v>
      </c>
      <c r="C18" s="5">
        <f t="shared" si="9"/>
        <v>124623.84704615147</v>
      </c>
      <c r="D18" s="5">
        <f t="shared" si="0"/>
        <v>120153.86931725926</v>
      </c>
      <c r="E18" s="5">
        <f t="shared" si="1"/>
        <v>110653.86931725926</v>
      </c>
      <c r="F18" s="5">
        <f t="shared" si="2"/>
        <v>44029.30144565877</v>
      </c>
      <c r="G18" s="5">
        <f t="shared" si="3"/>
        <v>76124.567871600491</v>
      </c>
      <c r="H18" s="22">
        <f t="shared" si="10"/>
        <v>55183.557964743006</v>
      </c>
      <c r="I18" s="5">
        <f t="shared" si="4"/>
        <v>129045.59995978903</v>
      </c>
      <c r="J18" s="26">
        <f t="shared" si="5"/>
        <v>0.25162887814738349</v>
      </c>
      <c r="L18" s="22">
        <f t="shared" si="11"/>
        <v>233334.5451095874</v>
      </c>
      <c r="M18" s="5">
        <f>scrimecost*Meta!O15</f>
        <v>2157.625</v>
      </c>
      <c r="N18" s="5">
        <f>L18-Grade11!L18</f>
        <v>7819.4185020669247</v>
      </c>
      <c r="O18" s="5">
        <f>Grade11!M18-M18</f>
        <v>44.204999999999927</v>
      </c>
      <c r="P18" s="22">
        <f t="shared" si="12"/>
        <v>522.14167855164465</v>
      </c>
      <c r="Q18" s="22"/>
      <c r="R18" s="22"/>
      <c r="S18" s="22">
        <f t="shared" si="6"/>
        <v>6433.3971670468691</v>
      </c>
      <c r="T18" s="22">
        <f t="shared" si="7"/>
        <v>4328.3509783650716</v>
      </c>
    </row>
    <row r="19" spans="1:20" x14ac:dyDescent="0.2">
      <c r="A19" s="5">
        <v>28</v>
      </c>
      <c r="B19" s="1">
        <f t="shared" si="8"/>
        <v>1.2800845441963571</v>
      </c>
      <c r="C19" s="5">
        <f t="shared" si="9"/>
        <v>127739.44322230526</v>
      </c>
      <c r="D19" s="5">
        <f t="shared" si="0"/>
        <v>123141.72605019074</v>
      </c>
      <c r="E19" s="5">
        <f t="shared" si="1"/>
        <v>113641.72605019074</v>
      </c>
      <c r="F19" s="5">
        <f t="shared" si="2"/>
        <v>45208.010926800249</v>
      </c>
      <c r="G19" s="5">
        <f t="shared" si="3"/>
        <v>77933.715123390488</v>
      </c>
      <c r="H19" s="22">
        <f t="shared" si="10"/>
        <v>56563.146913861587</v>
      </c>
      <c r="I19" s="5">
        <f t="shared" si="4"/>
        <v>132177.77301378374</v>
      </c>
      <c r="J19" s="26">
        <f t="shared" si="5"/>
        <v>0.25216052722124188</v>
      </c>
      <c r="L19" s="22">
        <f t="shared" si="11"/>
        <v>239167.90873732709</v>
      </c>
      <c r="M19" s="5">
        <f>scrimecost*Meta!O16</f>
        <v>2157.625</v>
      </c>
      <c r="N19" s="5">
        <f>L19-Grade11!L19</f>
        <v>8014.9039646185993</v>
      </c>
      <c r="O19" s="5">
        <f>Grade11!M19-M19</f>
        <v>44.204999999999927</v>
      </c>
      <c r="P19" s="22">
        <f t="shared" si="12"/>
        <v>534.90164769285059</v>
      </c>
      <c r="Q19" s="22"/>
      <c r="R19" s="22"/>
      <c r="S19" s="22">
        <f t="shared" si="6"/>
        <v>6592.8529801699724</v>
      </c>
      <c r="T19" s="22">
        <f t="shared" si="7"/>
        <v>4263.2785390715208</v>
      </c>
    </row>
    <row r="20" spans="1:20" x14ac:dyDescent="0.2">
      <c r="A20" s="5">
        <v>29</v>
      </c>
      <c r="B20" s="1">
        <f t="shared" si="8"/>
        <v>1.312086657801266</v>
      </c>
      <c r="C20" s="5">
        <f t="shared" si="9"/>
        <v>130932.92930286289</v>
      </c>
      <c r="D20" s="5">
        <f t="shared" si="0"/>
        <v>126204.2792014455</v>
      </c>
      <c r="E20" s="5">
        <f t="shared" si="1"/>
        <v>116704.2792014455</v>
      </c>
      <c r="F20" s="5">
        <f t="shared" si="2"/>
        <v>46416.188144970249</v>
      </c>
      <c r="G20" s="5">
        <f t="shared" si="3"/>
        <v>79788.091056475256</v>
      </c>
      <c r="H20" s="22">
        <f t="shared" si="10"/>
        <v>57977.225586708118</v>
      </c>
      <c r="I20" s="5">
        <f t="shared" si="4"/>
        <v>135388.25039412832</v>
      </c>
      <c r="J20" s="26">
        <f t="shared" si="5"/>
        <v>0.2526792092445182</v>
      </c>
      <c r="L20" s="22">
        <f t="shared" si="11"/>
        <v>245147.10645576025</v>
      </c>
      <c r="M20" s="5">
        <f>scrimecost*Meta!O17</f>
        <v>2157.625</v>
      </c>
      <c r="N20" s="5">
        <f>L20-Grade11!L20</f>
        <v>8215.2765637340781</v>
      </c>
      <c r="O20" s="5">
        <f>Grade11!M20-M20</f>
        <v>44.204999999999927</v>
      </c>
      <c r="P20" s="22">
        <f t="shared" si="12"/>
        <v>547.98061606258625</v>
      </c>
      <c r="Q20" s="22"/>
      <c r="R20" s="22"/>
      <c r="S20" s="22">
        <f t="shared" si="6"/>
        <v>6756.2951886211613</v>
      </c>
      <c r="T20" s="22">
        <f t="shared" si="7"/>
        <v>4199.2056441180785</v>
      </c>
    </row>
    <row r="21" spans="1:20" x14ac:dyDescent="0.2">
      <c r="A21" s="5">
        <v>30</v>
      </c>
      <c r="B21" s="1">
        <f t="shared" si="8"/>
        <v>1.3448888242462975</v>
      </c>
      <c r="C21" s="5">
        <f t="shared" si="9"/>
        <v>134206.25253543444</v>
      </c>
      <c r="D21" s="5">
        <f t="shared" si="0"/>
        <v>129343.39618148163</v>
      </c>
      <c r="E21" s="5">
        <f t="shared" si="1"/>
        <v>119843.39618148163</v>
      </c>
      <c r="F21" s="5">
        <f t="shared" si="2"/>
        <v>47654.569793594499</v>
      </c>
      <c r="G21" s="5">
        <f t="shared" si="3"/>
        <v>81688.826387887122</v>
      </c>
      <c r="H21" s="22">
        <f t="shared" si="10"/>
        <v>59426.656226375824</v>
      </c>
      <c r="I21" s="5">
        <f t="shared" si="4"/>
        <v>138678.98970898153</v>
      </c>
      <c r="J21" s="26">
        <f t="shared" si="5"/>
        <v>0.25318524048673902</v>
      </c>
      <c r="L21" s="22">
        <f t="shared" si="11"/>
        <v>251275.78411715425</v>
      </c>
      <c r="M21" s="5">
        <f>scrimecost*Meta!O18</f>
        <v>1739.425</v>
      </c>
      <c r="N21" s="5">
        <f>L21-Grade11!L21</f>
        <v>8420.6584778274118</v>
      </c>
      <c r="O21" s="5">
        <f>Grade11!M21-M21</f>
        <v>35.637000000000171</v>
      </c>
      <c r="P21" s="22">
        <f t="shared" si="12"/>
        <v>561.38655864156544</v>
      </c>
      <c r="Q21" s="22"/>
      <c r="R21" s="22"/>
      <c r="S21" s="22">
        <f t="shared" si="6"/>
        <v>6915.375404283609</v>
      </c>
      <c r="T21" s="22">
        <f t="shared" si="7"/>
        <v>4131.0694766937104</v>
      </c>
    </row>
    <row r="22" spans="1:20" x14ac:dyDescent="0.2">
      <c r="A22" s="5">
        <v>31</v>
      </c>
      <c r="B22" s="1">
        <f t="shared" si="8"/>
        <v>1.3785110448524549</v>
      </c>
      <c r="C22" s="5">
        <f t="shared" si="9"/>
        <v>137561.40884882031</v>
      </c>
      <c r="D22" s="5">
        <f t="shared" si="0"/>
        <v>132560.99108601868</v>
      </c>
      <c r="E22" s="5">
        <f t="shared" si="1"/>
        <v>123060.99108601868</v>
      </c>
      <c r="F22" s="5">
        <f t="shared" si="2"/>
        <v>48923.910983434369</v>
      </c>
      <c r="G22" s="5">
        <f t="shared" si="3"/>
        <v>83637.08010258431</v>
      </c>
      <c r="H22" s="22">
        <f t="shared" si="10"/>
        <v>60912.322632035211</v>
      </c>
      <c r="I22" s="5">
        <f t="shared" si="4"/>
        <v>142051.99750670607</v>
      </c>
      <c r="J22" s="26">
        <f t="shared" si="5"/>
        <v>0.25367892950353993</v>
      </c>
      <c r="L22" s="22">
        <f t="shared" si="11"/>
        <v>257557.67872008312</v>
      </c>
      <c r="M22" s="5">
        <f>scrimecost*Meta!O19</f>
        <v>1739.425</v>
      </c>
      <c r="N22" s="5">
        <f>L22-Grade11!L22</f>
        <v>8631.1749397731328</v>
      </c>
      <c r="O22" s="5">
        <f>Grade11!M22-M22</f>
        <v>35.637000000000171</v>
      </c>
      <c r="P22" s="22">
        <f t="shared" si="12"/>
        <v>575.12764978501923</v>
      </c>
      <c r="Q22" s="22"/>
      <c r="R22" s="22"/>
      <c r="S22" s="22">
        <f t="shared" si="6"/>
        <v>7087.0918745376566</v>
      </c>
      <c r="T22" s="22">
        <f t="shared" si="7"/>
        <v>4069.1435547891506</v>
      </c>
    </row>
    <row r="23" spans="1:20" x14ac:dyDescent="0.2">
      <c r="A23" s="5">
        <v>32</v>
      </c>
      <c r="B23" s="1">
        <f t="shared" si="8"/>
        <v>1.4129738209737661</v>
      </c>
      <c r="C23" s="5">
        <f t="shared" si="9"/>
        <v>141000.44407004077</v>
      </c>
      <c r="D23" s="5">
        <f t="shared" si="0"/>
        <v>135859.02586316911</v>
      </c>
      <c r="E23" s="5">
        <f t="shared" si="1"/>
        <v>126359.02586316911</v>
      </c>
      <c r="F23" s="5">
        <f t="shared" si="2"/>
        <v>50224.985703020211</v>
      </c>
      <c r="G23" s="5">
        <f t="shared" si="3"/>
        <v>85634.040160148899</v>
      </c>
      <c r="H23" s="22">
        <f t="shared" si="10"/>
        <v>62435.130697836088</v>
      </c>
      <c r="I23" s="5">
        <f t="shared" si="4"/>
        <v>145509.3304993737</v>
      </c>
      <c r="J23" s="26">
        <f t="shared" si="5"/>
        <v>0.25416057732480907</v>
      </c>
      <c r="L23" s="22">
        <f t="shared" si="11"/>
        <v>263996.62068808515</v>
      </c>
      <c r="M23" s="5">
        <f>scrimecost*Meta!O20</f>
        <v>1739.425</v>
      </c>
      <c r="N23" s="5">
        <f>L23-Grade11!L23</f>
        <v>8846.9543132673716</v>
      </c>
      <c r="O23" s="5">
        <f>Grade11!M23-M23</f>
        <v>35.637000000000171</v>
      </c>
      <c r="P23" s="22">
        <f t="shared" si="12"/>
        <v>589.21226820705942</v>
      </c>
      <c r="Q23" s="22"/>
      <c r="R23" s="22"/>
      <c r="S23" s="22">
        <f t="shared" si="6"/>
        <v>7263.1012565479623</v>
      </c>
      <c r="T23" s="22">
        <f t="shared" si="7"/>
        <v>4008.1619243723944</v>
      </c>
    </row>
    <row r="24" spans="1:20" x14ac:dyDescent="0.2">
      <c r="A24" s="5">
        <v>33</v>
      </c>
      <c r="B24" s="1">
        <f t="shared" si="8"/>
        <v>1.4482981664981105</v>
      </c>
      <c r="C24" s="5">
        <f t="shared" si="9"/>
        <v>144525.45517179184</v>
      </c>
      <c r="D24" s="5">
        <f t="shared" si="0"/>
        <v>139239.51150974838</v>
      </c>
      <c r="E24" s="5">
        <f t="shared" si="1"/>
        <v>129739.51150974838</v>
      </c>
      <c r="F24" s="5">
        <f t="shared" si="2"/>
        <v>51558.587290595737</v>
      </c>
      <c r="G24" s="5">
        <f t="shared" si="3"/>
        <v>87680.924219152643</v>
      </c>
      <c r="H24" s="22">
        <f t="shared" si="10"/>
        <v>63996.008965281995</v>
      </c>
      <c r="I24" s="5">
        <f t="shared" si="4"/>
        <v>149053.09681685807</v>
      </c>
      <c r="J24" s="26">
        <f t="shared" si="5"/>
        <v>0.25463047763824237</v>
      </c>
      <c r="L24" s="22">
        <f t="shared" si="11"/>
        <v>270596.53620528732</v>
      </c>
      <c r="M24" s="5">
        <f>scrimecost*Meta!O21</f>
        <v>1739.425</v>
      </c>
      <c r="N24" s="5">
        <f>L24-Grade11!L24</f>
        <v>9068.1281710991461</v>
      </c>
      <c r="O24" s="5">
        <f>Grade11!M24-M24</f>
        <v>35.637000000000171</v>
      </c>
      <c r="P24" s="22">
        <f t="shared" si="12"/>
        <v>603.64900208965059</v>
      </c>
      <c r="Q24" s="22"/>
      <c r="R24" s="22"/>
      <c r="S24" s="22">
        <f t="shared" si="6"/>
        <v>7443.5108731086602</v>
      </c>
      <c r="T24" s="22">
        <f t="shared" si="7"/>
        <v>3948.1095710711493</v>
      </c>
    </row>
    <row r="25" spans="1:20" x14ac:dyDescent="0.2">
      <c r="A25" s="5">
        <v>34</v>
      </c>
      <c r="B25" s="1">
        <f t="shared" si="8"/>
        <v>1.4845056206605631</v>
      </c>
      <c r="C25" s="5">
        <f t="shared" si="9"/>
        <v>148138.5915510866</v>
      </c>
      <c r="D25" s="5">
        <f t="shared" si="0"/>
        <v>142704.50929749204</v>
      </c>
      <c r="E25" s="5">
        <f t="shared" si="1"/>
        <v>133204.50929749204</v>
      </c>
      <c r="F25" s="5">
        <f t="shared" si="2"/>
        <v>52925.528917860604</v>
      </c>
      <c r="G25" s="5">
        <f t="shared" si="3"/>
        <v>89778.980379631437</v>
      </c>
      <c r="H25" s="22">
        <f t="shared" si="10"/>
        <v>65595.909189414044</v>
      </c>
      <c r="I25" s="5">
        <f t="shared" si="4"/>
        <v>152685.45729227952</v>
      </c>
      <c r="J25" s="26">
        <f t="shared" si="5"/>
        <v>0.25508891696842112</v>
      </c>
      <c r="L25" s="22">
        <f t="shared" si="11"/>
        <v>277361.44961041951</v>
      </c>
      <c r="M25" s="5">
        <f>scrimecost*Meta!O22</f>
        <v>1739.425</v>
      </c>
      <c r="N25" s="5">
        <f>L25-Grade11!L25</f>
        <v>9294.8313753766706</v>
      </c>
      <c r="O25" s="5">
        <f>Grade11!M25-M25</f>
        <v>35.637000000000171</v>
      </c>
      <c r="P25" s="22">
        <f t="shared" si="12"/>
        <v>618.44665431930639</v>
      </c>
      <c r="Q25" s="22"/>
      <c r="R25" s="22"/>
      <c r="S25" s="22">
        <f t="shared" si="6"/>
        <v>7628.4307300833416</v>
      </c>
      <c r="T25" s="22">
        <f t="shared" si="7"/>
        <v>3888.9717424858854</v>
      </c>
    </row>
    <row r="26" spans="1:20" x14ac:dyDescent="0.2">
      <c r="A26" s="5">
        <v>35</v>
      </c>
      <c r="B26" s="1">
        <f t="shared" si="8"/>
        <v>1.521618261177077</v>
      </c>
      <c r="C26" s="5">
        <f t="shared" si="9"/>
        <v>151842.05633986378</v>
      </c>
      <c r="D26" s="5">
        <f t="shared" si="0"/>
        <v>146256.13202992937</v>
      </c>
      <c r="E26" s="5">
        <f t="shared" si="1"/>
        <v>136756.13202992937</v>
      </c>
      <c r="F26" s="5">
        <f t="shared" si="2"/>
        <v>54326.644085807136</v>
      </c>
      <c r="G26" s="5">
        <f t="shared" si="3"/>
        <v>91929.487944122229</v>
      </c>
      <c r="H26" s="22">
        <f t="shared" si="10"/>
        <v>67235.806919149385</v>
      </c>
      <c r="I26" s="5">
        <f t="shared" si="4"/>
        <v>156408.62677958648</v>
      </c>
      <c r="J26" s="26">
        <f t="shared" si="5"/>
        <v>0.25553617485152247</v>
      </c>
      <c r="L26" s="22">
        <f t="shared" si="11"/>
        <v>284295.48585067992</v>
      </c>
      <c r="M26" s="5">
        <f>scrimecost*Meta!O23</f>
        <v>1349.925</v>
      </c>
      <c r="N26" s="5">
        <f>L26-Grade11!L26</f>
        <v>9527.2021597609855</v>
      </c>
      <c r="O26" s="5">
        <f>Grade11!M26-M26</f>
        <v>27.656999999999925</v>
      </c>
      <c r="P26" s="22">
        <f t="shared" si="12"/>
        <v>633.61424785470354</v>
      </c>
      <c r="Q26" s="22"/>
      <c r="R26" s="22"/>
      <c r="S26" s="22">
        <f t="shared" si="6"/>
        <v>7810.1053034822789</v>
      </c>
      <c r="T26" s="22">
        <f t="shared" si="7"/>
        <v>3826.8785591605383</v>
      </c>
    </row>
    <row r="27" spans="1:20" x14ac:dyDescent="0.2">
      <c r="A27" s="5">
        <v>36</v>
      </c>
      <c r="B27" s="1">
        <f t="shared" si="8"/>
        <v>1.559658717706504</v>
      </c>
      <c r="C27" s="5">
        <f t="shared" si="9"/>
        <v>155638.10774836037</v>
      </c>
      <c r="D27" s="5">
        <f t="shared" si="0"/>
        <v>149896.54533067759</v>
      </c>
      <c r="E27" s="5">
        <f t="shared" si="1"/>
        <v>140396.54533067759</v>
      </c>
      <c r="F27" s="5">
        <f t="shared" si="2"/>
        <v>55762.787132952311</v>
      </c>
      <c r="G27" s="5">
        <f t="shared" si="3"/>
        <v>94133.758197725285</v>
      </c>
      <c r="H27" s="22">
        <f t="shared" si="10"/>
        <v>68916.702092128122</v>
      </c>
      <c r="I27" s="5">
        <f t="shared" si="4"/>
        <v>160224.87550407613</v>
      </c>
      <c r="J27" s="26">
        <f t="shared" si="5"/>
        <v>0.25597252400576759</v>
      </c>
      <c r="L27" s="22">
        <f t="shared" si="11"/>
        <v>291402.87299694691</v>
      </c>
      <c r="M27" s="5">
        <f>scrimecost*Meta!O24</f>
        <v>1349.925</v>
      </c>
      <c r="N27" s="5">
        <f>L27-Grade11!L27</f>
        <v>9765.3822137550451</v>
      </c>
      <c r="O27" s="5">
        <f>Grade11!M27-M27</f>
        <v>27.656999999999925</v>
      </c>
      <c r="P27" s="22">
        <f t="shared" si="12"/>
        <v>649.16103122848563</v>
      </c>
      <c r="Q27" s="22"/>
      <c r="R27" s="22"/>
      <c r="S27" s="22">
        <f t="shared" si="6"/>
        <v>8004.3867282162919</v>
      </c>
      <c r="T27" s="22">
        <f t="shared" si="7"/>
        <v>3769.6763506813168</v>
      </c>
    </row>
    <row r="28" spans="1:20" x14ac:dyDescent="0.2">
      <c r="A28" s="5">
        <v>37</v>
      </c>
      <c r="B28" s="1">
        <f t="shared" si="8"/>
        <v>1.5986501856491666</v>
      </c>
      <c r="C28" s="5">
        <f t="shared" si="9"/>
        <v>159529.06044206937</v>
      </c>
      <c r="D28" s="5">
        <f t="shared" si="0"/>
        <v>153627.96896394453</v>
      </c>
      <c r="E28" s="5">
        <f t="shared" si="1"/>
        <v>144127.96896394453</v>
      </c>
      <c r="F28" s="5">
        <f t="shared" si="2"/>
        <v>57234.833756276115</v>
      </c>
      <c r="G28" s="5">
        <f t="shared" si="3"/>
        <v>96393.135207668412</v>
      </c>
      <c r="H28" s="22">
        <f t="shared" si="10"/>
        <v>70639.619644431339</v>
      </c>
      <c r="I28" s="5">
        <f t="shared" si="4"/>
        <v>164136.53044667805</v>
      </c>
      <c r="J28" s="26">
        <f t="shared" si="5"/>
        <v>0.2563982304977141</v>
      </c>
      <c r="L28" s="22">
        <f t="shared" si="11"/>
        <v>298687.94482187059</v>
      </c>
      <c r="M28" s="5">
        <f>scrimecost*Meta!O25</f>
        <v>1349.925</v>
      </c>
      <c r="N28" s="5">
        <f>L28-Grade11!L28</f>
        <v>10009.516769098933</v>
      </c>
      <c r="O28" s="5">
        <f>Grade11!M28-M28</f>
        <v>27.656999999999925</v>
      </c>
      <c r="P28" s="22">
        <f t="shared" si="12"/>
        <v>665.09648418661243</v>
      </c>
      <c r="Q28" s="22"/>
      <c r="R28" s="22"/>
      <c r="S28" s="22">
        <f t="shared" si="6"/>
        <v>8203.5251885686394</v>
      </c>
      <c r="T28" s="22">
        <f t="shared" si="7"/>
        <v>3713.3401071404251</v>
      </c>
    </row>
    <row r="29" spans="1:20" x14ac:dyDescent="0.2">
      <c r="A29" s="5">
        <v>38</v>
      </c>
      <c r="B29" s="1">
        <f t="shared" si="8"/>
        <v>1.6386164402903955</v>
      </c>
      <c r="C29" s="5">
        <f t="shared" si="9"/>
        <v>163517.2869531211</v>
      </c>
      <c r="D29" s="5">
        <f t="shared" si="0"/>
        <v>157452.67818804315</v>
      </c>
      <c r="E29" s="5">
        <f t="shared" si="1"/>
        <v>147952.67818804315</v>
      </c>
      <c r="F29" s="5">
        <f t="shared" si="2"/>
        <v>58743.681545183019</v>
      </c>
      <c r="G29" s="5">
        <f t="shared" si="3"/>
        <v>98708.996642860133</v>
      </c>
      <c r="H29" s="22">
        <f t="shared" si="10"/>
        <v>72405.610135542098</v>
      </c>
      <c r="I29" s="5">
        <f t="shared" si="4"/>
        <v>168145.97676284501</v>
      </c>
      <c r="J29" s="26">
        <f t="shared" si="5"/>
        <v>0.25681355390449118</v>
      </c>
      <c r="L29" s="22">
        <f t="shared" si="11"/>
        <v>306155.14344241732</v>
      </c>
      <c r="M29" s="5">
        <f>scrimecost*Meta!O26</f>
        <v>1349.925</v>
      </c>
      <c r="N29" s="5">
        <f>L29-Grade11!L29</f>
        <v>10259.754688326386</v>
      </c>
      <c r="O29" s="5">
        <f>Grade11!M29-M29</f>
        <v>27.656999999999925</v>
      </c>
      <c r="P29" s="22">
        <f t="shared" si="12"/>
        <v>681.43032346869234</v>
      </c>
      <c r="Q29" s="22"/>
      <c r="R29" s="22"/>
      <c r="S29" s="22">
        <f t="shared" si="6"/>
        <v>8407.6421104297715</v>
      </c>
      <c r="T29" s="22">
        <f t="shared" si="7"/>
        <v>3657.8562974568322</v>
      </c>
    </row>
    <row r="30" spans="1:20" x14ac:dyDescent="0.2">
      <c r="A30" s="5">
        <v>39</v>
      </c>
      <c r="B30" s="1">
        <f t="shared" si="8"/>
        <v>1.6795818512976552</v>
      </c>
      <c r="C30" s="5">
        <f t="shared" si="9"/>
        <v>167605.21912694912</v>
      </c>
      <c r="D30" s="5">
        <f t="shared" si="0"/>
        <v>161373.00514274419</v>
      </c>
      <c r="E30" s="5">
        <f t="shared" si="1"/>
        <v>151873.00514274419</v>
      </c>
      <c r="F30" s="5">
        <f t="shared" si="2"/>
        <v>60290.250528812583</v>
      </c>
      <c r="G30" s="5">
        <f t="shared" si="3"/>
        <v>101082.75461393161</v>
      </c>
      <c r="H30" s="22">
        <f t="shared" si="10"/>
        <v>74215.750388930654</v>
      </c>
      <c r="I30" s="5">
        <f t="shared" si="4"/>
        <v>172255.65923691611</v>
      </c>
      <c r="J30" s="26">
        <f t="shared" si="5"/>
        <v>0.25721874747207851</v>
      </c>
      <c r="L30" s="22">
        <f t="shared" si="11"/>
        <v>313809.02202847769</v>
      </c>
      <c r="M30" s="5">
        <f>scrimecost*Meta!O27</f>
        <v>1349.925</v>
      </c>
      <c r="N30" s="5">
        <f>L30-Grade11!L30</f>
        <v>10516.248555534519</v>
      </c>
      <c r="O30" s="5">
        <f>Grade11!M30-M30</f>
        <v>27.656999999999925</v>
      </c>
      <c r="P30" s="22">
        <f t="shared" si="12"/>
        <v>698.1725087328241</v>
      </c>
      <c r="Q30" s="22"/>
      <c r="R30" s="22"/>
      <c r="S30" s="22">
        <f t="shared" si="6"/>
        <v>8616.8619553374265</v>
      </c>
      <c r="T30" s="22">
        <f t="shared" si="7"/>
        <v>3603.2116180216149</v>
      </c>
    </row>
    <row r="31" spans="1:20" x14ac:dyDescent="0.2">
      <c r="A31" s="5">
        <v>40</v>
      </c>
      <c r="B31" s="1">
        <f t="shared" si="8"/>
        <v>1.7215713975800966</v>
      </c>
      <c r="C31" s="5">
        <f t="shared" si="9"/>
        <v>171795.34960512281</v>
      </c>
      <c r="D31" s="5">
        <f t="shared" si="0"/>
        <v>165391.34027131277</v>
      </c>
      <c r="E31" s="5">
        <f t="shared" si="1"/>
        <v>155891.34027131277</v>
      </c>
      <c r="F31" s="5">
        <f t="shared" si="2"/>
        <v>61875.483737032897</v>
      </c>
      <c r="G31" s="5">
        <f t="shared" si="3"/>
        <v>103515.85653427988</v>
      </c>
      <c r="H31" s="22">
        <f t="shared" si="10"/>
        <v>76071.144148653912</v>
      </c>
      <c r="I31" s="5">
        <f t="shared" si="4"/>
        <v>176468.08377283899</v>
      </c>
      <c r="J31" s="26">
        <f t="shared" si="5"/>
        <v>0.25761405826972483</v>
      </c>
      <c r="L31" s="22">
        <f t="shared" si="11"/>
        <v>321654.24757918966</v>
      </c>
      <c r="M31" s="5">
        <f>scrimecost*Meta!O28</f>
        <v>1180.8</v>
      </c>
      <c r="N31" s="5">
        <f>L31-Grade11!L31</f>
        <v>10779.154769422836</v>
      </c>
      <c r="O31" s="5">
        <f>Grade11!M31-M31</f>
        <v>24.192000000000007</v>
      </c>
      <c r="P31" s="22">
        <f t="shared" si="12"/>
        <v>715.33324862855955</v>
      </c>
      <c r="Q31" s="22"/>
      <c r="R31" s="22"/>
      <c r="S31" s="22">
        <f t="shared" si="6"/>
        <v>8827.8958063677583</v>
      </c>
      <c r="T31" s="22">
        <f t="shared" si="7"/>
        <v>3548.0198666845886</v>
      </c>
    </row>
    <row r="32" spans="1:20" x14ac:dyDescent="0.2">
      <c r="A32" s="5">
        <v>41</v>
      </c>
      <c r="B32" s="1">
        <f t="shared" si="8"/>
        <v>1.7646106825195991</v>
      </c>
      <c r="C32" s="5">
        <f t="shared" si="9"/>
        <v>176090.23334525089</v>
      </c>
      <c r="D32" s="5">
        <f t="shared" si="0"/>
        <v>169510.13377809559</v>
      </c>
      <c r="E32" s="5">
        <f t="shared" si="1"/>
        <v>160010.13377809559</v>
      </c>
      <c r="F32" s="5">
        <f t="shared" si="2"/>
        <v>63500.347775458715</v>
      </c>
      <c r="G32" s="5">
        <f t="shared" si="3"/>
        <v>106009.78600263689</v>
      </c>
      <c r="H32" s="22">
        <f t="shared" si="10"/>
        <v>77972.922752370258</v>
      </c>
      <c r="I32" s="5">
        <f t="shared" si="4"/>
        <v>180785.81892215996</v>
      </c>
      <c r="J32" s="26">
        <f t="shared" si="5"/>
        <v>0.25799972734059912</v>
      </c>
      <c r="L32" s="22">
        <f t="shared" si="11"/>
        <v>329695.60376866942</v>
      </c>
      <c r="M32" s="5">
        <f>scrimecost*Meta!O29</f>
        <v>1180.8</v>
      </c>
      <c r="N32" s="5">
        <f>L32-Grade11!L32</f>
        <v>11048.633638658503</v>
      </c>
      <c r="O32" s="5">
        <f>Grade11!M32-M32</f>
        <v>24.192000000000007</v>
      </c>
      <c r="P32" s="22">
        <f t="shared" si="12"/>
        <v>732.92300702168802</v>
      </c>
      <c r="Q32" s="22"/>
      <c r="R32" s="22"/>
      <c r="S32" s="22">
        <f t="shared" si="6"/>
        <v>9047.7074059239549</v>
      </c>
      <c r="T32" s="22">
        <f t="shared" si="7"/>
        <v>3495.067779603834</v>
      </c>
    </row>
    <row r="33" spans="1:20" x14ac:dyDescent="0.2">
      <c r="A33" s="5">
        <v>42</v>
      </c>
      <c r="B33" s="1">
        <f t="shared" si="8"/>
        <v>1.8087259495825889</v>
      </c>
      <c r="C33" s="5">
        <f t="shared" si="9"/>
        <v>180492.48917888216</v>
      </c>
      <c r="D33" s="5">
        <f t="shared" si="0"/>
        <v>173731.89712254799</v>
      </c>
      <c r="E33" s="5">
        <f t="shared" si="1"/>
        <v>164231.89712254799</v>
      </c>
      <c r="F33" s="5">
        <f t="shared" si="2"/>
        <v>65165.833414845176</v>
      </c>
      <c r="G33" s="5">
        <f t="shared" si="3"/>
        <v>108566.06370770282</v>
      </c>
      <c r="H33" s="22">
        <f t="shared" si="10"/>
        <v>79922.245821179502</v>
      </c>
      <c r="I33" s="5">
        <f t="shared" si="4"/>
        <v>185211.49745021397</v>
      </c>
      <c r="J33" s="26">
        <f t="shared" si="5"/>
        <v>0.25837598984876919</v>
      </c>
      <c r="L33" s="22">
        <f t="shared" si="11"/>
        <v>337937.99386288616</v>
      </c>
      <c r="M33" s="5">
        <f>scrimecost*Meta!O30</f>
        <v>1180.8</v>
      </c>
      <c r="N33" s="5">
        <f>L33-Grade11!L33</f>
        <v>11324.849479625002</v>
      </c>
      <c r="O33" s="5">
        <f>Grade11!M33-M33</f>
        <v>24.192000000000007</v>
      </c>
      <c r="P33" s="22">
        <f t="shared" si="12"/>
        <v>750.95250937464471</v>
      </c>
      <c r="Q33" s="22"/>
      <c r="R33" s="22"/>
      <c r="S33" s="22">
        <f t="shared" si="6"/>
        <v>9273.0142954690109</v>
      </c>
      <c r="T33" s="22">
        <f t="shared" si="7"/>
        <v>3442.9141599657</v>
      </c>
    </row>
    <row r="34" spans="1:20" x14ac:dyDescent="0.2">
      <c r="A34" s="5">
        <v>43</v>
      </c>
      <c r="B34" s="1">
        <f t="shared" si="8"/>
        <v>1.8539440983221533</v>
      </c>
      <c r="C34" s="5">
        <f t="shared" si="9"/>
        <v>185004.80140835416</v>
      </c>
      <c r="D34" s="5">
        <f t="shared" si="0"/>
        <v>178059.20455061164</v>
      </c>
      <c r="E34" s="5">
        <f t="shared" si="1"/>
        <v>168559.20455061164</v>
      </c>
      <c r="F34" s="5">
        <f t="shared" si="2"/>
        <v>66872.956195216291</v>
      </c>
      <c r="G34" s="5">
        <f t="shared" si="3"/>
        <v>111186.24835539535</v>
      </c>
      <c r="H34" s="22">
        <f t="shared" si="10"/>
        <v>81920.301966708983</v>
      </c>
      <c r="I34" s="5">
        <f t="shared" si="4"/>
        <v>189747.81794146926</v>
      </c>
      <c r="J34" s="26">
        <f t="shared" si="5"/>
        <v>0.25874307522259371</v>
      </c>
      <c r="L34" s="22">
        <f t="shared" si="11"/>
        <v>346386.44370945822</v>
      </c>
      <c r="M34" s="5">
        <f>scrimecost*Meta!O31</f>
        <v>1180.8</v>
      </c>
      <c r="N34" s="5">
        <f>L34-Grade11!L34</f>
        <v>11607.970716615615</v>
      </c>
      <c r="O34" s="5">
        <f>Grade11!M34-M34</f>
        <v>24.192000000000007</v>
      </c>
      <c r="P34" s="22">
        <f t="shared" si="12"/>
        <v>769.43274928642529</v>
      </c>
      <c r="Q34" s="22"/>
      <c r="R34" s="22"/>
      <c r="S34" s="22">
        <f t="shared" si="6"/>
        <v>9503.9538572526581</v>
      </c>
      <c r="T34" s="22">
        <f t="shared" si="7"/>
        <v>3391.5466514945047</v>
      </c>
    </row>
    <row r="35" spans="1:20" x14ac:dyDescent="0.2">
      <c r="A35" s="5">
        <v>44</v>
      </c>
      <c r="B35" s="1">
        <f t="shared" si="8"/>
        <v>1.9002927007802071</v>
      </c>
      <c r="C35" s="5">
        <f t="shared" si="9"/>
        <v>189629.92144356301</v>
      </c>
      <c r="D35" s="5">
        <f t="shared" si="0"/>
        <v>182494.69466437693</v>
      </c>
      <c r="E35" s="5">
        <f t="shared" si="1"/>
        <v>172994.69466437693</v>
      </c>
      <c r="F35" s="5">
        <f t="shared" si="2"/>
        <v>68622.757045096703</v>
      </c>
      <c r="G35" s="5">
        <f t="shared" si="3"/>
        <v>113871.93761928023</v>
      </c>
      <c r="H35" s="22">
        <f t="shared" si="10"/>
        <v>83968.30951587671</v>
      </c>
      <c r="I35" s="5">
        <f t="shared" si="4"/>
        <v>194397.54644500598</v>
      </c>
      <c r="J35" s="26">
        <f t="shared" si="5"/>
        <v>0.25910120729461766</v>
      </c>
      <c r="L35" s="22">
        <f t="shared" si="11"/>
        <v>355046.10480219469</v>
      </c>
      <c r="M35" s="5">
        <f>scrimecost*Meta!O32</f>
        <v>1180.8</v>
      </c>
      <c r="N35" s="5">
        <f>L35-Grade11!L35</f>
        <v>11898.169984531007</v>
      </c>
      <c r="O35" s="5">
        <f>Grade11!M35-M35</f>
        <v>24.192000000000007</v>
      </c>
      <c r="P35" s="22">
        <f t="shared" si="12"/>
        <v>788.37499519600067</v>
      </c>
      <c r="Q35" s="22"/>
      <c r="R35" s="22"/>
      <c r="S35" s="22">
        <f t="shared" si="6"/>
        <v>9740.6669080809061</v>
      </c>
      <c r="T35" s="22">
        <f t="shared" si="7"/>
        <v>3340.9531012074222</v>
      </c>
    </row>
    <row r="36" spans="1:20" x14ac:dyDescent="0.2">
      <c r="A36" s="5">
        <v>45</v>
      </c>
      <c r="B36" s="1">
        <f t="shared" si="8"/>
        <v>1.9478000182997122</v>
      </c>
      <c r="C36" s="5">
        <f t="shared" si="9"/>
        <v>194370.6694796521</v>
      </c>
      <c r="D36" s="5">
        <f t="shared" si="0"/>
        <v>187041.07203098637</v>
      </c>
      <c r="E36" s="5">
        <f t="shared" si="1"/>
        <v>177541.07203098637</v>
      </c>
      <c r="F36" s="5">
        <f t="shared" si="2"/>
        <v>70573.356517773427</v>
      </c>
      <c r="G36" s="5">
        <f t="shared" si="3"/>
        <v>116467.71551321294</v>
      </c>
      <c r="H36" s="22">
        <f t="shared" si="10"/>
        <v>86067.517253773622</v>
      </c>
      <c r="I36" s="5">
        <f t="shared" si="4"/>
        <v>199006.46455958183</v>
      </c>
      <c r="J36" s="26">
        <f t="shared" si="5"/>
        <v>0.26003457659707352</v>
      </c>
      <c r="L36" s="22">
        <f t="shared" si="11"/>
        <v>363922.25742224953</v>
      </c>
      <c r="M36" s="5">
        <f>scrimecost*Meta!O33</f>
        <v>954.27500000000009</v>
      </c>
      <c r="N36" s="5">
        <f>L36-Grade11!L36</f>
        <v>12195.624234144285</v>
      </c>
      <c r="O36" s="5">
        <f>Grade11!M36-M36</f>
        <v>19.550999999999931</v>
      </c>
      <c r="P36" s="22">
        <f t="shared" si="12"/>
        <v>809.49096098436758</v>
      </c>
      <c r="Q36" s="22"/>
      <c r="R36" s="22"/>
      <c r="S36" s="22">
        <f t="shared" si="6"/>
        <v>9980.39812061868</v>
      </c>
      <c r="T36" s="22">
        <f t="shared" si="7"/>
        <v>3290.1656441820478</v>
      </c>
    </row>
    <row r="37" spans="1:20" x14ac:dyDescent="0.2">
      <c r="A37" s="5">
        <v>46</v>
      </c>
      <c r="B37" s="1">
        <f t="shared" ref="B37:B56" si="13">(1+experiencepremium)^(A37-startage)</f>
        <v>1.9964950187572048</v>
      </c>
      <c r="C37" s="5">
        <f t="shared" ref="C37:C56" si="14">pretaxincome*B37/expnorm</f>
        <v>199229.93621664337</v>
      </c>
      <c r="D37" s="5">
        <f t="shared" ref="D37:D56" si="15">IF(A37&lt;startage,1,0)*(C37*(1-initialunempprob))+IF(A37=startage,1,0)*(C37*(1-unempprob))+IF(A37&gt;startage,1,0)*(C37*(1-unempprob)+unempprob*300*52)</f>
        <v>191701.108831761</v>
      </c>
      <c r="E37" s="5">
        <f t="shared" si="1"/>
        <v>182201.108831761</v>
      </c>
      <c r="F37" s="5">
        <f t="shared" si="2"/>
        <v>72644.742875717769</v>
      </c>
      <c r="G37" s="5">
        <f t="shared" si="3"/>
        <v>119056.36595604323</v>
      </c>
      <c r="H37" s="22">
        <f t="shared" ref="H37:H56" si="16">benefits*B37/expnorm</f>
        <v>88219.205185117942</v>
      </c>
      <c r="I37" s="5">
        <f t="shared" ref="I37:I56" si="17">G37+IF(A37&lt;startage,1,0)*(H37*(1-initialunempprob))+IF(A37&gt;=startage,1,0)*(H37*(1-unempprob))</f>
        <v>203658.58372857134</v>
      </c>
      <c r="J37" s="26">
        <f t="shared" si="5"/>
        <v>0.26120644802527831</v>
      </c>
      <c r="L37" s="22">
        <f t="shared" ref="L37:L56" si="18">(sincome+sbenefits)*(1-sunemp)*B37/expnorm</f>
        <v>373020.31385780568</v>
      </c>
      <c r="M37" s="5">
        <f>scrimecost*Meta!O34</f>
        <v>954.27500000000009</v>
      </c>
      <c r="N37" s="5">
        <f>L37-Grade11!L37</f>
        <v>12500.514839997748</v>
      </c>
      <c r="O37" s="5">
        <f>Grade11!M37-M37</f>
        <v>19.550999999999931</v>
      </c>
      <c r="P37" s="22">
        <f t="shared" si="12"/>
        <v>831.91448979257609</v>
      </c>
      <c r="Q37" s="22"/>
      <c r="R37" s="22"/>
      <c r="S37" s="22">
        <f t="shared" si="6"/>
        <v>10231.581788700667</v>
      </c>
      <c r="T37" s="22">
        <f t="shared" si="7"/>
        <v>3241.9095089862608</v>
      </c>
    </row>
    <row r="38" spans="1:20" x14ac:dyDescent="0.2">
      <c r="A38" s="5">
        <v>47</v>
      </c>
      <c r="B38" s="1">
        <f t="shared" si="13"/>
        <v>2.0464073942261352</v>
      </c>
      <c r="C38" s="5">
        <f t="shared" si="14"/>
        <v>204210.68462205949</v>
      </c>
      <c r="D38" s="5">
        <f t="shared" si="15"/>
        <v>196477.64655255506</v>
      </c>
      <c r="E38" s="5">
        <f t="shared" si="1"/>
        <v>186977.64655255506</v>
      </c>
      <c r="F38" s="5">
        <f t="shared" si="2"/>
        <v>74767.913892610712</v>
      </c>
      <c r="G38" s="5">
        <f t="shared" si="3"/>
        <v>121709.73265994435</v>
      </c>
      <c r="H38" s="22">
        <f t="shared" si="16"/>
        <v>90424.685314745904</v>
      </c>
      <c r="I38" s="5">
        <f t="shared" si="17"/>
        <v>208427.00587678567</v>
      </c>
      <c r="J38" s="26">
        <f t="shared" si="5"/>
        <v>0.26234973722352672</v>
      </c>
      <c r="L38" s="22">
        <f t="shared" si="18"/>
        <v>382345.82170425088</v>
      </c>
      <c r="M38" s="5">
        <f>scrimecost*Meta!O35</f>
        <v>954.27500000000009</v>
      </c>
      <c r="N38" s="5">
        <f>L38-Grade11!L38</f>
        <v>12813.027710997849</v>
      </c>
      <c r="O38" s="5">
        <f>Grade11!M38-M38</f>
        <v>19.550999999999931</v>
      </c>
      <c r="P38" s="22">
        <f t="shared" si="12"/>
        <v>854.8986068209897</v>
      </c>
      <c r="Q38" s="22"/>
      <c r="R38" s="22"/>
      <c r="S38" s="22">
        <f t="shared" si="6"/>
        <v>10489.045048484932</v>
      </c>
      <c r="T38" s="22">
        <f t="shared" si="7"/>
        <v>3194.3483075351787</v>
      </c>
    </row>
    <row r="39" spans="1:20" x14ac:dyDescent="0.2">
      <c r="A39" s="5">
        <v>48</v>
      </c>
      <c r="B39" s="1">
        <f t="shared" si="13"/>
        <v>2.097567579081788</v>
      </c>
      <c r="C39" s="5">
        <f t="shared" si="14"/>
        <v>209315.95173761091</v>
      </c>
      <c r="D39" s="5">
        <f t="shared" si="15"/>
        <v>201373.59771636885</v>
      </c>
      <c r="E39" s="5">
        <f t="shared" si="1"/>
        <v>191873.59771636885</v>
      </c>
      <c r="F39" s="5">
        <f t="shared" si="2"/>
        <v>76944.164184925961</v>
      </c>
      <c r="G39" s="5">
        <f t="shared" si="3"/>
        <v>124429.43353144289</v>
      </c>
      <c r="H39" s="22">
        <f t="shared" si="16"/>
        <v>92685.302447614537</v>
      </c>
      <c r="I39" s="5">
        <f t="shared" si="17"/>
        <v>213314.63857870523</v>
      </c>
      <c r="J39" s="26">
        <f t="shared" si="5"/>
        <v>0.26346514131937893</v>
      </c>
      <c r="L39" s="22">
        <f t="shared" si="18"/>
        <v>391904.46724685706</v>
      </c>
      <c r="M39" s="5">
        <f>scrimecost*Meta!O36</f>
        <v>954.27500000000009</v>
      </c>
      <c r="N39" s="5">
        <f>L39-Grade11!L39</f>
        <v>13133.353403772577</v>
      </c>
      <c r="O39" s="5">
        <f>Grade11!M39-M39</f>
        <v>19.550999999999931</v>
      </c>
      <c r="P39" s="22">
        <f t="shared" si="12"/>
        <v>878.45732677511364</v>
      </c>
      <c r="Q39" s="22"/>
      <c r="R39" s="22"/>
      <c r="S39" s="22">
        <f t="shared" si="6"/>
        <v>10752.944889763519</v>
      </c>
      <c r="T39" s="22">
        <f t="shared" si="7"/>
        <v>3147.4725360730458</v>
      </c>
    </row>
    <row r="40" spans="1:20" x14ac:dyDescent="0.2">
      <c r="A40" s="5">
        <v>49</v>
      </c>
      <c r="B40" s="1">
        <f t="shared" si="13"/>
        <v>2.1500067685588333</v>
      </c>
      <c r="C40" s="5">
        <f t="shared" si="14"/>
        <v>214548.85053105126</v>
      </c>
      <c r="D40" s="5">
        <f t="shared" si="15"/>
        <v>206391.94765927814</v>
      </c>
      <c r="E40" s="5">
        <f t="shared" si="1"/>
        <v>196891.94765927814</v>
      </c>
      <c r="F40" s="5">
        <f t="shared" si="2"/>
        <v>79174.820734549125</v>
      </c>
      <c r="G40" s="5">
        <f t="shared" si="3"/>
        <v>127217.12692472902</v>
      </c>
      <c r="H40" s="22">
        <f t="shared" si="16"/>
        <v>95002.435008804925</v>
      </c>
      <c r="I40" s="5">
        <f t="shared" si="17"/>
        <v>218324.46209817292</v>
      </c>
      <c r="J40" s="26">
        <f t="shared" ref="J40:J56" si="19">(F40-(IF(A40&gt;startage,1,0)*(unempprob*300*52)))/(IF(A40&lt;startage,1,0)*((C40+H40)*(1-initialunempprob))+IF(A40&gt;=startage,1,0)*((C40+H40)*(1-unempprob)))</f>
        <v>0.26455334043728346</v>
      </c>
      <c r="L40" s="22">
        <f t="shared" si="18"/>
        <v>401702.07892802864</v>
      </c>
      <c r="M40" s="5">
        <f>scrimecost*Meta!O37</f>
        <v>954.27500000000009</v>
      </c>
      <c r="N40" s="5">
        <f>L40-Grade11!L40</f>
        <v>13461.687238867162</v>
      </c>
      <c r="O40" s="5">
        <f>Grade11!M40-M40</f>
        <v>19.550999999999931</v>
      </c>
      <c r="P40" s="22">
        <f t="shared" si="12"/>
        <v>902.60501472809096</v>
      </c>
      <c r="Q40" s="22"/>
      <c r="R40" s="22"/>
      <c r="S40" s="22">
        <f t="shared" ref="S40:S69" si="20">IF(A40&lt;startage,1,0)*(N40-Q40-R40)+IF(A40&gt;=startage,1,0)*completionprob*(N40*spart+O40+P40)</f>
        <v>11023.44222707444</v>
      </c>
      <c r="T40" s="22">
        <f t="shared" ref="T40:T69" si="21">S40/sreturn^(A40-startage+1)</f>
        <v>3101.2728006534808</v>
      </c>
    </row>
    <row r="41" spans="1:20" x14ac:dyDescent="0.2">
      <c r="A41" s="5">
        <v>50</v>
      </c>
      <c r="B41" s="1">
        <f t="shared" si="13"/>
        <v>2.2037569377728037</v>
      </c>
      <c r="C41" s="5">
        <f t="shared" si="14"/>
        <v>219912.57179432746</v>
      </c>
      <c r="D41" s="5">
        <f t="shared" si="15"/>
        <v>211535.75635076003</v>
      </c>
      <c r="E41" s="5">
        <f t="shared" si="1"/>
        <v>202035.75635076003</v>
      </c>
      <c r="F41" s="5">
        <f t="shared" si="2"/>
        <v>81461.24369791284</v>
      </c>
      <c r="G41" s="5">
        <f t="shared" si="3"/>
        <v>130074.51265284719</v>
      </c>
      <c r="H41" s="22">
        <f t="shared" si="16"/>
        <v>97377.495884025018</v>
      </c>
      <c r="I41" s="5">
        <f t="shared" si="17"/>
        <v>223459.53120562719</v>
      </c>
      <c r="J41" s="26">
        <f t="shared" si="19"/>
        <v>0.26561499811328798</v>
      </c>
      <c r="L41" s="22">
        <f t="shared" si="18"/>
        <v>411744.63090122922</v>
      </c>
      <c r="M41" s="5">
        <f>scrimecost*Meta!O38</f>
        <v>637.54999999999995</v>
      </c>
      <c r="N41" s="5">
        <f>L41-Grade11!L41</f>
        <v>13798.229419838695</v>
      </c>
      <c r="O41" s="5">
        <f>Grade11!M41-M41</f>
        <v>13.062000000000012</v>
      </c>
      <c r="P41" s="22">
        <f t="shared" si="12"/>
        <v>927.35639487989249</v>
      </c>
      <c r="Q41" s="22"/>
      <c r="R41" s="22"/>
      <c r="S41" s="22">
        <f t="shared" si="20"/>
        <v>11294.303843817821</v>
      </c>
      <c r="T41" s="22">
        <f t="shared" si="21"/>
        <v>3054.009738894601</v>
      </c>
    </row>
    <row r="42" spans="1:20" x14ac:dyDescent="0.2">
      <c r="A42" s="5">
        <v>51</v>
      </c>
      <c r="B42" s="1">
        <f t="shared" si="13"/>
        <v>2.2588508612171236</v>
      </c>
      <c r="C42" s="5">
        <f t="shared" si="14"/>
        <v>225410.38608918566</v>
      </c>
      <c r="D42" s="5">
        <f t="shared" si="15"/>
        <v>216808.16025952905</v>
      </c>
      <c r="E42" s="5">
        <f t="shared" si="1"/>
        <v>207308.16025952905</v>
      </c>
      <c r="F42" s="5">
        <f t="shared" si="2"/>
        <v>83804.827235360674</v>
      </c>
      <c r="G42" s="5">
        <f t="shared" si="3"/>
        <v>133003.33302416839</v>
      </c>
      <c r="H42" s="22">
        <f t="shared" si="16"/>
        <v>99811.933281125646</v>
      </c>
      <c r="I42" s="5">
        <f t="shared" si="17"/>
        <v>228722.97704076787</v>
      </c>
      <c r="J42" s="26">
        <f t="shared" si="19"/>
        <v>0.26665076169963381</v>
      </c>
      <c r="L42" s="22">
        <f t="shared" si="18"/>
        <v>422038.24667375995</v>
      </c>
      <c r="M42" s="5">
        <f>scrimecost*Meta!O39</f>
        <v>637.54999999999995</v>
      </c>
      <c r="N42" s="5">
        <f>L42-Grade11!L42</f>
        <v>14143.18515533465</v>
      </c>
      <c r="O42" s="5">
        <f>Grade11!M42-M42</f>
        <v>13.062000000000012</v>
      </c>
      <c r="P42" s="22">
        <f t="shared" si="12"/>
        <v>952.72655953548906</v>
      </c>
      <c r="Q42" s="22"/>
      <c r="R42" s="22"/>
      <c r="S42" s="22">
        <f t="shared" si="20"/>
        <v>11578.495108829884</v>
      </c>
      <c r="T42" s="22">
        <f t="shared" si="21"/>
        <v>3009.2015556745509</v>
      </c>
    </row>
    <row r="43" spans="1:20" x14ac:dyDescent="0.2">
      <c r="A43" s="5">
        <v>52</v>
      </c>
      <c r="B43" s="1">
        <f t="shared" si="13"/>
        <v>2.3153221327475517</v>
      </c>
      <c r="C43" s="5">
        <f t="shared" si="14"/>
        <v>231045.6457414153</v>
      </c>
      <c r="D43" s="5">
        <f t="shared" si="15"/>
        <v>222212.37426601726</v>
      </c>
      <c r="E43" s="5">
        <f t="shared" si="1"/>
        <v>212712.37426601726</v>
      </c>
      <c r="F43" s="5">
        <f t="shared" si="2"/>
        <v>86207.00036124466</v>
      </c>
      <c r="G43" s="5">
        <f t="shared" si="3"/>
        <v>136005.3739047726</v>
      </c>
      <c r="H43" s="22">
        <f t="shared" si="16"/>
        <v>102307.23161315378</v>
      </c>
      <c r="I43" s="5">
        <f t="shared" si="17"/>
        <v>234118.00902178709</v>
      </c>
      <c r="J43" s="26">
        <f t="shared" si="19"/>
        <v>0.26766126275948332</v>
      </c>
      <c r="L43" s="22">
        <f t="shared" si="18"/>
        <v>432589.20284060395</v>
      </c>
      <c r="M43" s="5">
        <f>scrimecost*Meta!O40</f>
        <v>637.54999999999995</v>
      </c>
      <c r="N43" s="5">
        <f>L43-Grade11!L43</f>
        <v>14496.764784218045</v>
      </c>
      <c r="O43" s="5">
        <f>Grade11!M43-M43</f>
        <v>13.062000000000012</v>
      </c>
      <c r="P43" s="22">
        <f t="shared" si="12"/>
        <v>978.73097830747543</v>
      </c>
      <c r="Q43" s="22"/>
      <c r="R43" s="22"/>
      <c r="S43" s="22">
        <f t="shared" si="20"/>
        <v>11869.791155467283</v>
      </c>
      <c r="T43" s="22">
        <f t="shared" si="21"/>
        <v>2965.039268990829</v>
      </c>
    </row>
    <row r="44" spans="1:20" x14ac:dyDescent="0.2">
      <c r="A44" s="5">
        <v>53</v>
      </c>
      <c r="B44" s="1">
        <f t="shared" si="13"/>
        <v>2.3732051860662402</v>
      </c>
      <c r="C44" s="5">
        <f t="shared" si="14"/>
        <v>236821.78688495065</v>
      </c>
      <c r="D44" s="5">
        <f t="shared" si="15"/>
        <v>227751.69362266766</v>
      </c>
      <c r="E44" s="5">
        <f t="shared" si="1"/>
        <v>218251.69362266766</v>
      </c>
      <c r="F44" s="5">
        <f t="shared" si="2"/>
        <v>88669.227815275779</v>
      </c>
      <c r="G44" s="5">
        <f t="shared" si="3"/>
        <v>139082.46580739188</v>
      </c>
      <c r="H44" s="22">
        <f t="shared" si="16"/>
        <v>104864.91240348261</v>
      </c>
      <c r="I44" s="5">
        <f t="shared" si="17"/>
        <v>239647.91680233169</v>
      </c>
      <c r="J44" s="26">
        <f t="shared" si="19"/>
        <v>0.26864711745201952</v>
      </c>
      <c r="L44" s="22">
        <f t="shared" si="18"/>
        <v>443403.93291161902</v>
      </c>
      <c r="M44" s="5">
        <f>scrimecost*Meta!O41</f>
        <v>637.54999999999995</v>
      </c>
      <c r="N44" s="5">
        <f>L44-Grade11!L44</f>
        <v>14859.18390382349</v>
      </c>
      <c r="O44" s="5">
        <f>Grade11!M44-M44</f>
        <v>13.062000000000012</v>
      </c>
      <c r="P44" s="22">
        <f t="shared" si="12"/>
        <v>1005.3855075487618</v>
      </c>
      <c r="Q44" s="22"/>
      <c r="R44" s="22"/>
      <c r="S44" s="22">
        <f t="shared" si="20"/>
        <v>12168.36960327059</v>
      </c>
      <c r="T44" s="22">
        <f t="shared" si="21"/>
        <v>2921.5140210423674</v>
      </c>
    </row>
    <row r="45" spans="1:20" x14ac:dyDescent="0.2">
      <c r="A45" s="5">
        <v>54</v>
      </c>
      <c r="B45" s="1">
        <f t="shared" si="13"/>
        <v>2.4325353157178964</v>
      </c>
      <c r="C45" s="5">
        <f t="shared" si="14"/>
        <v>242742.33155707442</v>
      </c>
      <c r="D45" s="5">
        <f t="shared" si="15"/>
        <v>233429.49596323437</v>
      </c>
      <c r="E45" s="5">
        <f t="shared" si="1"/>
        <v>223929.49596323437</v>
      </c>
      <c r="F45" s="5">
        <f t="shared" si="2"/>
        <v>91193.010955657679</v>
      </c>
      <c r="G45" s="5">
        <f t="shared" si="3"/>
        <v>142236.4850075767</v>
      </c>
      <c r="H45" s="22">
        <f t="shared" si="16"/>
        <v>107486.53521356969</v>
      </c>
      <c r="I45" s="5">
        <f t="shared" si="17"/>
        <v>245316.07227739005</v>
      </c>
      <c r="J45" s="26">
        <f t="shared" si="19"/>
        <v>0.26960892690815241</v>
      </c>
      <c r="L45" s="22">
        <f t="shared" si="18"/>
        <v>454489.03123440949</v>
      </c>
      <c r="M45" s="5">
        <f>scrimecost*Meta!O42</f>
        <v>637.54999999999995</v>
      </c>
      <c r="N45" s="5">
        <f>L45-Grade11!L45</f>
        <v>15230.663501419127</v>
      </c>
      <c r="O45" s="5">
        <f>Grade11!M45-M45</f>
        <v>13.062000000000012</v>
      </c>
      <c r="P45" s="22">
        <f t="shared" si="12"/>
        <v>1032.7064000210801</v>
      </c>
      <c r="Q45" s="22"/>
      <c r="R45" s="22"/>
      <c r="S45" s="22">
        <f t="shared" si="20"/>
        <v>12474.412512269018</v>
      </c>
      <c r="T45" s="22">
        <f t="shared" si="21"/>
        <v>2878.6170574128514</v>
      </c>
    </row>
    <row r="46" spans="1:20" x14ac:dyDescent="0.2">
      <c r="A46" s="5">
        <v>55</v>
      </c>
      <c r="B46" s="1">
        <f t="shared" si="13"/>
        <v>2.4933486986108435</v>
      </c>
      <c r="C46" s="5">
        <f t="shared" si="14"/>
        <v>248810.88984600126</v>
      </c>
      <c r="D46" s="5">
        <f t="shared" si="15"/>
        <v>239249.2433623152</v>
      </c>
      <c r="E46" s="5">
        <f t="shared" si="1"/>
        <v>229749.2433623152</v>
      </c>
      <c r="F46" s="5">
        <f t="shared" si="2"/>
        <v>93779.888674549104</v>
      </c>
      <c r="G46" s="5">
        <f t="shared" si="3"/>
        <v>145469.35468776611</v>
      </c>
      <c r="H46" s="22">
        <f t="shared" si="16"/>
        <v>110173.69859390892</v>
      </c>
      <c r="I46" s="5">
        <f t="shared" si="17"/>
        <v>251125.93163932476</v>
      </c>
      <c r="J46" s="26">
        <f t="shared" si="19"/>
        <v>0.27054727759706243</v>
      </c>
      <c r="L46" s="22">
        <f t="shared" si="18"/>
        <v>465851.25701526966</v>
      </c>
      <c r="M46" s="5">
        <f>scrimecost*Meta!O43</f>
        <v>353.625</v>
      </c>
      <c r="N46" s="5">
        <f>L46-Grade11!L46</f>
        <v>15611.430088954628</v>
      </c>
      <c r="O46" s="5">
        <f>Grade11!M46-M46</f>
        <v>7.2449999999999477</v>
      </c>
      <c r="P46" s="22">
        <f t="shared" si="12"/>
        <v>1060.7103148052058</v>
      </c>
      <c r="Q46" s="22"/>
      <c r="R46" s="22"/>
      <c r="S46" s="22">
        <f t="shared" si="20"/>
        <v>12782.370931992393</v>
      </c>
      <c r="T46" s="22">
        <f t="shared" si="21"/>
        <v>2835.0676069116566</v>
      </c>
    </row>
    <row r="47" spans="1:20" x14ac:dyDescent="0.2">
      <c r="A47" s="5">
        <v>56</v>
      </c>
      <c r="B47" s="1">
        <f t="shared" si="13"/>
        <v>2.555682416076114</v>
      </c>
      <c r="C47" s="5">
        <f t="shared" si="14"/>
        <v>255031.16209215124</v>
      </c>
      <c r="D47" s="5">
        <f t="shared" si="15"/>
        <v>245214.48444637304</v>
      </c>
      <c r="E47" s="5">
        <f t="shared" si="1"/>
        <v>235714.48444637304</v>
      </c>
      <c r="F47" s="5">
        <f t="shared" si="2"/>
        <v>96431.43833641283</v>
      </c>
      <c r="G47" s="5">
        <f t="shared" si="3"/>
        <v>148783.04610996021</v>
      </c>
      <c r="H47" s="22">
        <f t="shared" si="16"/>
        <v>112928.04105875661</v>
      </c>
      <c r="I47" s="5">
        <f t="shared" si="17"/>
        <v>257081.03748530778</v>
      </c>
      <c r="J47" s="26">
        <f t="shared" si="19"/>
        <v>0.27146274168380408</v>
      </c>
      <c r="L47" s="22">
        <f t="shared" si="18"/>
        <v>477497.53844065132</v>
      </c>
      <c r="M47" s="5">
        <f>scrimecost*Meta!O44</f>
        <v>353.625</v>
      </c>
      <c r="N47" s="5">
        <f>L47-Grade11!L47</f>
        <v>16001.715841178375</v>
      </c>
      <c r="O47" s="5">
        <f>Grade11!M47-M47</f>
        <v>7.2449999999999477</v>
      </c>
      <c r="P47" s="22">
        <f t="shared" si="12"/>
        <v>1089.4143274589358</v>
      </c>
      <c r="Q47" s="22"/>
      <c r="R47" s="22"/>
      <c r="S47" s="22">
        <f t="shared" si="20"/>
        <v>13103.907263258741</v>
      </c>
      <c r="T47" s="22">
        <f t="shared" si="21"/>
        <v>2793.4507901245288</v>
      </c>
    </row>
    <row r="48" spans="1:20" x14ac:dyDescent="0.2">
      <c r="A48" s="5">
        <v>57</v>
      </c>
      <c r="B48" s="1">
        <f t="shared" si="13"/>
        <v>2.6195744764780171</v>
      </c>
      <c r="C48" s="5">
        <f t="shared" si="14"/>
        <v>261406.94114445505</v>
      </c>
      <c r="D48" s="5">
        <f t="shared" si="15"/>
        <v>251328.85655753239</v>
      </c>
      <c r="E48" s="5">
        <f t="shared" si="1"/>
        <v>241828.85655753239</v>
      </c>
      <c r="F48" s="5">
        <f t="shared" si="2"/>
        <v>99149.276739823137</v>
      </c>
      <c r="G48" s="5">
        <f t="shared" si="3"/>
        <v>152179.57981770925</v>
      </c>
      <c r="H48" s="22">
        <f t="shared" si="16"/>
        <v>115751.24208522553</v>
      </c>
      <c r="I48" s="5">
        <f t="shared" si="17"/>
        <v>263185.02097744052</v>
      </c>
      <c r="J48" s="26">
        <f t="shared" si="19"/>
        <v>0.27235587737818606</v>
      </c>
      <c r="L48" s="22">
        <f t="shared" si="18"/>
        <v>489434.97690166766</v>
      </c>
      <c r="M48" s="5">
        <f>scrimecost*Meta!O45</f>
        <v>353.625</v>
      </c>
      <c r="N48" s="5">
        <f>L48-Grade11!L48</f>
        <v>16401.758737207914</v>
      </c>
      <c r="O48" s="5">
        <f>Grade11!M48-M48</f>
        <v>7.2449999999999477</v>
      </c>
      <c r="P48" s="22">
        <f t="shared" si="12"/>
        <v>1118.8359404290084</v>
      </c>
      <c r="Q48" s="22"/>
      <c r="R48" s="22"/>
      <c r="S48" s="22">
        <f t="shared" si="20"/>
        <v>13433.482002806899</v>
      </c>
      <c r="T48" s="22">
        <f t="shared" si="21"/>
        <v>2752.4346893873699</v>
      </c>
    </row>
    <row r="49" spans="1:20" x14ac:dyDescent="0.2">
      <c r="A49" s="5">
        <v>58</v>
      </c>
      <c r="B49" s="1">
        <f t="shared" si="13"/>
        <v>2.6850638383899672</v>
      </c>
      <c r="C49" s="5">
        <f t="shared" si="14"/>
        <v>267942.11467306636</v>
      </c>
      <c r="D49" s="5">
        <f t="shared" si="15"/>
        <v>257596.08797147064</v>
      </c>
      <c r="E49" s="5">
        <f t="shared" si="1"/>
        <v>248096.08797147064</v>
      </c>
      <c r="F49" s="5">
        <f t="shared" si="2"/>
        <v>101935.0611033187</v>
      </c>
      <c r="G49" s="5">
        <f t="shared" si="3"/>
        <v>155661.02686815194</v>
      </c>
      <c r="H49" s="22">
        <f t="shared" si="16"/>
        <v>118645.02313735617</v>
      </c>
      <c r="I49" s="5">
        <f t="shared" si="17"/>
        <v>269441.6040568765</v>
      </c>
      <c r="J49" s="26">
        <f t="shared" si="19"/>
        <v>0.27322722927514415</v>
      </c>
      <c r="L49" s="22">
        <f t="shared" si="18"/>
        <v>501670.8513242093</v>
      </c>
      <c r="M49" s="5">
        <f>scrimecost*Meta!O46</f>
        <v>353.625</v>
      </c>
      <c r="N49" s="5">
        <f>L49-Grade11!L49</f>
        <v>16811.802705638052</v>
      </c>
      <c r="O49" s="5">
        <f>Grade11!M49-M49</f>
        <v>7.2449999999999477</v>
      </c>
      <c r="P49" s="22">
        <f t="shared" si="12"/>
        <v>1148.9930937233328</v>
      </c>
      <c r="Q49" s="22"/>
      <c r="R49" s="22"/>
      <c r="S49" s="22">
        <f t="shared" si="20"/>
        <v>13771.296110843656</v>
      </c>
      <c r="T49" s="22">
        <f t="shared" si="21"/>
        <v>2712.0110336426101</v>
      </c>
    </row>
    <row r="50" spans="1:20" x14ac:dyDescent="0.2">
      <c r="A50" s="5">
        <v>59</v>
      </c>
      <c r="B50" s="1">
        <f t="shared" si="13"/>
        <v>2.7521904343497163</v>
      </c>
      <c r="C50" s="5">
        <f t="shared" si="14"/>
        <v>274640.66753989307</v>
      </c>
      <c r="D50" s="5">
        <f t="shared" si="15"/>
        <v>264020.00017075741</v>
      </c>
      <c r="E50" s="5">
        <f t="shared" si="1"/>
        <v>254520.00017075741</v>
      </c>
      <c r="F50" s="5">
        <f t="shared" si="2"/>
        <v>104790.49007590166</v>
      </c>
      <c r="G50" s="5">
        <f t="shared" si="3"/>
        <v>159229.51009485574</v>
      </c>
      <c r="H50" s="22">
        <f t="shared" si="16"/>
        <v>121611.14871579006</v>
      </c>
      <c r="I50" s="5">
        <f t="shared" si="17"/>
        <v>275854.60171329841</v>
      </c>
      <c r="J50" s="26">
        <f t="shared" si="19"/>
        <v>0.27407732868681045</v>
      </c>
      <c r="L50" s="22">
        <f t="shared" si="18"/>
        <v>514212.62260731449</v>
      </c>
      <c r="M50" s="5">
        <f>scrimecost*Meta!O47</f>
        <v>353.625</v>
      </c>
      <c r="N50" s="5">
        <f>L50-Grade11!L50</f>
        <v>17232.097773279063</v>
      </c>
      <c r="O50" s="5">
        <f>Grade11!M50-M50</f>
        <v>7.2449999999999477</v>
      </c>
      <c r="P50" s="22">
        <f t="shared" si="12"/>
        <v>1179.904175850015</v>
      </c>
      <c r="Q50" s="22"/>
      <c r="R50" s="22"/>
      <c r="S50" s="22">
        <f t="shared" si="20"/>
        <v>14117.555571581423</v>
      </c>
      <c r="T50" s="22">
        <f t="shared" si="21"/>
        <v>2672.1716497497978</v>
      </c>
    </row>
    <row r="51" spans="1:20" x14ac:dyDescent="0.2">
      <c r="A51" s="5">
        <v>60</v>
      </c>
      <c r="B51" s="1">
        <f t="shared" si="13"/>
        <v>2.8209951952084591</v>
      </c>
      <c r="C51" s="5">
        <f t="shared" si="14"/>
        <v>281506.68422839034</v>
      </c>
      <c r="D51" s="5">
        <f t="shared" si="15"/>
        <v>270604.51017502631</v>
      </c>
      <c r="E51" s="5">
        <f t="shared" si="1"/>
        <v>261104.51017502631</v>
      </c>
      <c r="F51" s="5">
        <f t="shared" si="2"/>
        <v>107717.30477279921</v>
      </c>
      <c r="G51" s="5">
        <f t="shared" si="3"/>
        <v>162887.20540222712</v>
      </c>
      <c r="H51" s="22">
        <f t="shared" si="16"/>
        <v>124651.42743368482</v>
      </c>
      <c r="I51" s="5">
        <f t="shared" si="17"/>
        <v>282427.92431113089</v>
      </c>
      <c r="J51" s="26">
        <f t="shared" si="19"/>
        <v>0.27490669396648509</v>
      </c>
      <c r="L51" s="22">
        <f t="shared" si="18"/>
        <v>527067.93817249732</v>
      </c>
      <c r="M51" s="5">
        <f>scrimecost*Meta!O48</f>
        <v>186.54999999999998</v>
      </c>
      <c r="N51" s="5">
        <f>L51-Grade11!L51</f>
        <v>17662.900217610993</v>
      </c>
      <c r="O51" s="5">
        <f>Grade11!M51-M51</f>
        <v>3.8220000000000027</v>
      </c>
      <c r="P51" s="22">
        <f t="shared" si="12"/>
        <v>1211.5880350298653</v>
      </c>
      <c r="Q51" s="22"/>
      <c r="R51" s="22"/>
      <c r="S51" s="22">
        <f t="shared" si="20"/>
        <v>14469.096440837549</v>
      </c>
      <c r="T51" s="22">
        <f t="shared" si="21"/>
        <v>2632.2944499774439</v>
      </c>
    </row>
    <row r="52" spans="1:20" x14ac:dyDescent="0.2">
      <c r="A52" s="5">
        <v>61</v>
      </c>
      <c r="B52" s="1">
        <f t="shared" si="13"/>
        <v>2.8915200750886707</v>
      </c>
      <c r="C52" s="5">
        <f t="shared" si="14"/>
        <v>288544.35133410012</v>
      </c>
      <c r="D52" s="5">
        <f t="shared" si="15"/>
        <v>277353.632929402</v>
      </c>
      <c r="E52" s="5">
        <f t="shared" si="1"/>
        <v>267853.632929402</v>
      </c>
      <c r="F52" s="5">
        <f t="shared" si="2"/>
        <v>110717.2898371192</v>
      </c>
      <c r="G52" s="5">
        <f t="shared" si="3"/>
        <v>166636.3430922828</v>
      </c>
      <c r="H52" s="22">
        <f t="shared" si="16"/>
        <v>127767.71311952695</v>
      </c>
      <c r="I52" s="5">
        <f t="shared" si="17"/>
        <v>289165.57997390913</v>
      </c>
      <c r="J52" s="26">
        <f t="shared" si="19"/>
        <v>0.27571583082470408</v>
      </c>
      <c r="L52" s="22">
        <f t="shared" si="18"/>
        <v>540244.63662680984</v>
      </c>
      <c r="M52" s="5">
        <f>scrimecost*Meta!O49</f>
        <v>186.54999999999998</v>
      </c>
      <c r="N52" s="5">
        <f>L52-Grade11!L52</f>
        <v>18104.472723051382</v>
      </c>
      <c r="O52" s="5">
        <f>Grade11!M52-M52</f>
        <v>3.8220000000000027</v>
      </c>
      <c r="P52" s="22">
        <f t="shared" si="12"/>
        <v>1244.0639906892111</v>
      </c>
      <c r="Q52" s="22"/>
      <c r="R52" s="22"/>
      <c r="S52" s="22">
        <f t="shared" si="20"/>
        <v>14832.885286775205</v>
      </c>
      <c r="T52" s="22">
        <f t="shared" si="21"/>
        <v>2593.6233379380515</v>
      </c>
    </row>
    <row r="53" spans="1:20" x14ac:dyDescent="0.2">
      <c r="A53" s="5">
        <v>62</v>
      </c>
      <c r="B53" s="1">
        <f t="shared" si="13"/>
        <v>2.9638080769658868</v>
      </c>
      <c r="C53" s="5">
        <f t="shared" si="14"/>
        <v>295757.96011745255</v>
      </c>
      <c r="D53" s="5">
        <f t="shared" si="15"/>
        <v>284271.48375263694</v>
      </c>
      <c r="E53" s="5">
        <f t="shared" si="1"/>
        <v>274771.48375263694</v>
      </c>
      <c r="F53" s="5">
        <f t="shared" si="2"/>
        <v>113792.27452804713</v>
      </c>
      <c r="G53" s="5">
        <f t="shared" si="3"/>
        <v>170479.20922458981</v>
      </c>
      <c r="H53" s="22">
        <f t="shared" si="16"/>
        <v>130961.90594751509</v>
      </c>
      <c r="I53" s="5">
        <f t="shared" si="17"/>
        <v>296071.67702825676</v>
      </c>
      <c r="J53" s="26">
        <f t="shared" si="19"/>
        <v>0.27650523263760068</v>
      </c>
      <c r="L53" s="22">
        <f t="shared" si="18"/>
        <v>553750.7525424799</v>
      </c>
      <c r="M53" s="5">
        <f>scrimecost*Meta!O50</f>
        <v>186.54999999999998</v>
      </c>
      <c r="N53" s="5">
        <f>L53-Grade11!L53</f>
        <v>18557.084541127435</v>
      </c>
      <c r="O53" s="5">
        <f>Grade11!M53-M53</f>
        <v>3.8220000000000027</v>
      </c>
      <c r="P53" s="22">
        <f t="shared" si="12"/>
        <v>1277.3518452400399</v>
      </c>
      <c r="Q53" s="22"/>
      <c r="R53" s="22"/>
      <c r="S53" s="22">
        <f t="shared" si="20"/>
        <v>15205.768853861036</v>
      </c>
      <c r="T53" s="22">
        <f t="shared" si="21"/>
        <v>2555.511633716761</v>
      </c>
    </row>
    <row r="54" spans="1:20" x14ac:dyDescent="0.2">
      <c r="A54" s="5">
        <v>63</v>
      </c>
      <c r="B54" s="1">
        <f t="shared" si="13"/>
        <v>3.0379032788900342</v>
      </c>
      <c r="C54" s="5">
        <f t="shared" si="14"/>
        <v>303151.90912038885</v>
      </c>
      <c r="D54" s="5">
        <f t="shared" si="15"/>
        <v>291362.28084645286</v>
      </c>
      <c r="E54" s="5">
        <f t="shared" si="1"/>
        <v>281862.28084645286</v>
      </c>
      <c r="F54" s="5">
        <f t="shared" si="2"/>
        <v>116944.13383624829</v>
      </c>
      <c r="G54" s="5">
        <f t="shared" si="3"/>
        <v>174418.14701020456</v>
      </c>
      <c r="H54" s="22">
        <f t="shared" si="16"/>
        <v>134235.95359620298</v>
      </c>
      <c r="I54" s="5">
        <f t="shared" si="17"/>
        <v>303150.42650896322</v>
      </c>
      <c r="J54" s="26">
        <f t="shared" si="19"/>
        <v>0.27727538074774377</v>
      </c>
      <c r="L54" s="22">
        <f t="shared" si="18"/>
        <v>567594.52135604189</v>
      </c>
      <c r="M54" s="5">
        <f>scrimecost*Meta!O51</f>
        <v>186.54999999999998</v>
      </c>
      <c r="N54" s="5">
        <f>L54-Grade11!L54</f>
        <v>19021.011654655798</v>
      </c>
      <c r="O54" s="5">
        <f>Grade11!M54-M54</f>
        <v>3.8220000000000027</v>
      </c>
      <c r="P54" s="22">
        <f t="shared" si="12"/>
        <v>1311.4718961546403</v>
      </c>
      <c r="Q54" s="22"/>
      <c r="R54" s="22"/>
      <c r="S54" s="22">
        <f t="shared" si="20"/>
        <v>15587.974510124326</v>
      </c>
      <c r="T54" s="22">
        <f t="shared" si="21"/>
        <v>2517.9515866608813</v>
      </c>
    </row>
    <row r="55" spans="1:20" x14ac:dyDescent="0.2">
      <c r="A55" s="5">
        <v>64</v>
      </c>
      <c r="B55" s="1">
        <f t="shared" si="13"/>
        <v>3.1138508608622844</v>
      </c>
      <c r="C55" s="5">
        <f t="shared" si="14"/>
        <v>310730.70684839855</v>
      </c>
      <c r="D55" s="5">
        <f t="shared" si="15"/>
        <v>298630.34786761418</v>
      </c>
      <c r="E55" s="5">
        <f t="shared" si="1"/>
        <v>289130.34786761418</v>
      </c>
      <c r="F55" s="5">
        <f t="shared" si="2"/>
        <v>120174.7896271545</v>
      </c>
      <c r="G55" s="5">
        <f t="shared" si="3"/>
        <v>178455.55824045968</v>
      </c>
      <c r="H55" s="22">
        <f t="shared" si="16"/>
        <v>137591.85243610802</v>
      </c>
      <c r="I55" s="5">
        <f t="shared" si="17"/>
        <v>310406.14472668723</v>
      </c>
      <c r="J55" s="26">
        <f t="shared" si="19"/>
        <v>0.27802674475763944</v>
      </c>
      <c r="L55" s="22">
        <f t="shared" si="18"/>
        <v>581784.38438994286</v>
      </c>
      <c r="M55" s="5">
        <f>scrimecost*Meta!O52</f>
        <v>186.54999999999998</v>
      </c>
      <c r="N55" s="5">
        <f>L55-Grade11!L55</f>
        <v>19496.536946022068</v>
      </c>
      <c r="O55" s="5">
        <f>Grade11!M55-M55</f>
        <v>3.8220000000000027</v>
      </c>
      <c r="P55" s="22">
        <f t="shared" si="12"/>
        <v>1346.4449483421054</v>
      </c>
      <c r="Q55" s="22"/>
      <c r="R55" s="22"/>
      <c r="S55" s="22">
        <f t="shared" si="20"/>
        <v>15979.735307793968</v>
      </c>
      <c r="T55" s="22">
        <f t="shared" si="21"/>
        <v>2480.9355398971866</v>
      </c>
    </row>
    <row r="56" spans="1:20" x14ac:dyDescent="0.2">
      <c r="A56" s="5">
        <v>65</v>
      </c>
      <c r="B56" s="1">
        <f t="shared" si="13"/>
        <v>3.1916971323838421</v>
      </c>
      <c r="C56" s="5">
        <f t="shared" si="14"/>
        <v>318498.97451960854</v>
      </c>
      <c r="D56" s="5">
        <f t="shared" si="15"/>
        <v>306080.11656430457</v>
      </c>
      <c r="E56" s="5">
        <f t="shared" si="1"/>
        <v>296580.11656430457</v>
      </c>
      <c r="F56" s="5">
        <f t="shared" si="2"/>
        <v>123486.21181283338</v>
      </c>
      <c r="G56" s="5">
        <f t="shared" si="3"/>
        <v>182593.90475147119</v>
      </c>
      <c r="H56" s="22">
        <f t="shared" si="16"/>
        <v>141031.64874701074</v>
      </c>
      <c r="I56" s="5">
        <f t="shared" si="17"/>
        <v>317843.25589985447</v>
      </c>
      <c r="J56" s="26">
        <f t="shared" si="19"/>
        <v>0.27875978281607428</v>
      </c>
      <c r="L56" s="22">
        <f t="shared" si="18"/>
        <v>596328.99399969156</v>
      </c>
      <c r="M56" s="5">
        <f>scrimecost*Meta!O53</f>
        <v>56.375</v>
      </c>
      <c r="N56" s="5">
        <f>L56-Grade11!L56</f>
        <v>19983.950369672733</v>
      </c>
      <c r="O56" s="5">
        <f>Grade11!M56-M56</f>
        <v>1.1550000000000011</v>
      </c>
      <c r="P56" s="22">
        <f t="shared" si="12"/>
        <v>1382.2923268342577</v>
      </c>
      <c r="Q56" s="22"/>
      <c r="R56" s="22"/>
      <c r="S56" s="22">
        <f t="shared" si="20"/>
        <v>16378.660463405533</v>
      </c>
      <c r="T56" s="22">
        <f t="shared" si="21"/>
        <v>2444.0635252079433</v>
      </c>
    </row>
    <row r="57" spans="1:20" x14ac:dyDescent="0.2">
      <c r="A57" s="5">
        <v>66</v>
      </c>
      <c r="C57" s="5"/>
      <c r="H57" s="21"/>
      <c r="I57" s="5"/>
      <c r="M57" s="5">
        <f>scrimecost*Meta!O54</f>
        <v>56.375</v>
      </c>
      <c r="N57" s="5">
        <f>L57-Grade11!L57</f>
        <v>0</v>
      </c>
      <c r="O57" s="5">
        <f>Grade11!M57-M57</f>
        <v>1.1550000000000011</v>
      </c>
      <c r="Q57" s="22"/>
      <c r="R57" s="22"/>
      <c r="S57" s="22">
        <f t="shared" si="20"/>
        <v>1.1388300000000011</v>
      </c>
      <c r="T57" s="22">
        <f t="shared" si="21"/>
        <v>0.16333573818714164</v>
      </c>
    </row>
    <row r="58" spans="1:20" x14ac:dyDescent="0.2">
      <c r="A58" s="5">
        <v>67</v>
      </c>
      <c r="C58" s="5"/>
      <c r="H58" s="21"/>
      <c r="I58" s="5"/>
      <c r="M58" s="5">
        <f>scrimecost*Meta!O55</f>
        <v>56.375</v>
      </c>
      <c r="N58" s="5">
        <f>L58-Grade11!L58</f>
        <v>0</v>
      </c>
      <c r="O58" s="5">
        <f>Grade11!M58-M58</f>
        <v>1.1550000000000011</v>
      </c>
      <c r="Q58" s="22"/>
      <c r="R58" s="22"/>
      <c r="S58" s="22">
        <f t="shared" si="20"/>
        <v>1.1388300000000011</v>
      </c>
      <c r="T58" s="22">
        <f t="shared" si="21"/>
        <v>0.1569890748959315</v>
      </c>
    </row>
    <row r="59" spans="1:20" x14ac:dyDescent="0.2">
      <c r="A59" s="5">
        <v>68</v>
      </c>
      <c r="H59" s="21"/>
      <c r="I59" s="5"/>
      <c r="M59" s="5">
        <f>scrimecost*Meta!O56</f>
        <v>56.375</v>
      </c>
      <c r="N59" s="5">
        <f>L59-Grade11!L59</f>
        <v>0</v>
      </c>
      <c r="O59" s="5">
        <f>Grade11!M59-M59</f>
        <v>1.1550000000000011</v>
      </c>
      <c r="Q59" s="22"/>
      <c r="R59" s="22"/>
      <c r="S59" s="22">
        <f t="shared" si="20"/>
        <v>1.1388300000000011</v>
      </c>
      <c r="T59" s="22">
        <f t="shared" si="21"/>
        <v>0.15088902104475613</v>
      </c>
    </row>
    <row r="60" spans="1:20" x14ac:dyDescent="0.2">
      <c r="A60" s="5">
        <v>69</v>
      </c>
      <c r="H60" s="21"/>
      <c r="I60" s="5"/>
      <c r="M60" s="5">
        <f>scrimecost*Meta!O57</f>
        <v>56.375</v>
      </c>
      <c r="N60" s="5">
        <f>L60-Grade11!L60</f>
        <v>0</v>
      </c>
      <c r="O60" s="5">
        <f>Grade11!M60-M60</f>
        <v>1.1550000000000011</v>
      </c>
      <c r="Q60" s="22"/>
      <c r="R60" s="22"/>
      <c r="S60" s="22">
        <f t="shared" si="20"/>
        <v>1.1388300000000011</v>
      </c>
      <c r="T60" s="22">
        <f t="shared" si="21"/>
        <v>0.14502599424155782</v>
      </c>
    </row>
    <row r="61" spans="1:20" x14ac:dyDescent="0.2">
      <c r="A61" s="5">
        <v>70</v>
      </c>
      <c r="H61" s="21"/>
      <c r="I61" s="5"/>
      <c r="M61" s="5">
        <f>scrimecost*Meta!O58</f>
        <v>56.375</v>
      </c>
      <c r="N61" s="5">
        <f>L61-Grade11!L61</f>
        <v>0</v>
      </c>
      <c r="O61" s="5">
        <f>Grade11!M61-M61</f>
        <v>1.1550000000000011</v>
      </c>
      <c r="Q61" s="22"/>
      <c r="R61" s="22"/>
      <c r="S61" s="22">
        <f t="shared" si="20"/>
        <v>1.1388300000000011</v>
      </c>
      <c r="T61" s="22">
        <f t="shared" si="21"/>
        <v>0.13939078443297595</v>
      </c>
    </row>
    <row r="62" spans="1:20" x14ac:dyDescent="0.2">
      <c r="A62" s="5">
        <v>71</v>
      </c>
      <c r="H62" s="21"/>
      <c r="I62" s="5"/>
      <c r="M62" s="5">
        <f>scrimecost*Meta!O59</f>
        <v>56.375</v>
      </c>
      <c r="N62" s="5">
        <f>L62-Grade11!L62</f>
        <v>0</v>
      </c>
      <c r="O62" s="5">
        <f>Grade11!M62-M62</f>
        <v>1.1550000000000011</v>
      </c>
      <c r="Q62" s="22"/>
      <c r="R62" s="22"/>
      <c r="S62" s="22">
        <f t="shared" si="20"/>
        <v>1.1388300000000011</v>
      </c>
      <c r="T62" s="22">
        <f t="shared" si="21"/>
        <v>0.1339745394365493</v>
      </c>
    </row>
    <row r="63" spans="1:20" x14ac:dyDescent="0.2">
      <c r="A63" s="5">
        <v>72</v>
      </c>
      <c r="H63" s="21"/>
      <c r="M63" s="5">
        <f>scrimecost*Meta!O60</f>
        <v>56.375</v>
      </c>
      <c r="N63" s="5">
        <f>L63-Grade11!L63</f>
        <v>0</v>
      </c>
      <c r="O63" s="5">
        <f>Grade11!M63-M63</f>
        <v>1.1550000000000011</v>
      </c>
      <c r="Q63" s="22"/>
      <c r="R63" s="22"/>
      <c r="S63" s="22">
        <f t="shared" si="20"/>
        <v>1.1388300000000011</v>
      </c>
      <c r="T63" s="22">
        <f t="shared" si="21"/>
        <v>0.12876875103508809</v>
      </c>
    </row>
    <row r="64" spans="1:20" x14ac:dyDescent="0.2">
      <c r="A64" s="5">
        <v>73</v>
      </c>
      <c r="H64" s="21"/>
      <c r="M64" s="5">
        <f>scrimecost*Meta!O61</f>
        <v>56.375</v>
      </c>
      <c r="N64" s="5">
        <f>L64-Grade11!L64</f>
        <v>0</v>
      </c>
      <c r="O64" s="5">
        <f>Grade11!M64-M64</f>
        <v>1.1550000000000011</v>
      </c>
      <c r="Q64" s="22"/>
      <c r="R64" s="22"/>
      <c r="S64" s="22">
        <f t="shared" si="20"/>
        <v>1.1388300000000011</v>
      </c>
      <c r="T64" s="22">
        <f t="shared" si="21"/>
        <v>0.12376524161136963</v>
      </c>
    </row>
    <row r="65" spans="1:20" x14ac:dyDescent="0.2">
      <c r="A65" s="5">
        <v>74</v>
      </c>
      <c r="H65" s="21"/>
      <c r="M65" s="5">
        <f>scrimecost*Meta!O62</f>
        <v>56.375</v>
      </c>
      <c r="N65" s="5">
        <f>L65-Grade11!L65</f>
        <v>0</v>
      </c>
      <c r="O65" s="5">
        <f>Grade11!M65-M65</f>
        <v>1.1550000000000011</v>
      </c>
      <c r="Q65" s="22"/>
      <c r="R65" s="22"/>
      <c r="S65" s="22">
        <f t="shared" si="20"/>
        <v>1.1388300000000011</v>
      </c>
      <c r="T65" s="22">
        <f t="shared" si="21"/>
        <v>0.11895615130216458</v>
      </c>
    </row>
    <row r="66" spans="1:20" x14ac:dyDescent="0.2">
      <c r="A66" s="5">
        <v>75</v>
      </c>
      <c r="H66" s="21"/>
      <c r="M66" s="5">
        <f>scrimecost*Meta!O63</f>
        <v>56.375</v>
      </c>
      <c r="N66" s="5">
        <f>L66-Grade11!L66</f>
        <v>0</v>
      </c>
      <c r="O66" s="5">
        <f>Grade11!M66-M66</f>
        <v>1.1550000000000011</v>
      </c>
      <c r="Q66" s="22"/>
      <c r="R66" s="22"/>
      <c r="S66" s="22">
        <f t="shared" si="20"/>
        <v>1.1388300000000011</v>
      </c>
      <c r="T66" s="22">
        <f t="shared" si="21"/>
        <v>0.11433392565141276</v>
      </c>
    </row>
    <row r="67" spans="1:20" x14ac:dyDescent="0.2">
      <c r="A67" s="5">
        <v>76</v>
      </c>
      <c r="H67" s="21"/>
      <c r="M67" s="5">
        <f>scrimecost*Meta!O64</f>
        <v>56.375</v>
      </c>
      <c r="N67" s="5">
        <f>L67-Grade11!L67</f>
        <v>0</v>
      </c>
      <c r="O67" s="5">
        <f>Grade11!M67-M67</f>
        <v>1.1550000000000011</v>
      </c>
      <c r="Q67" s="22"/>
      <c r="R67" s="22"/>
      <c r="S67" s="22">
        <f t="shared" si="20"/>
        <v>1.1388300000000011</v>
      </c>
      <c r="T67" s="22">
        <f t="shared" si="21"/>
        <v>0.1098913037431543</v>
      </c>
    </row>
    <row r="68" spans="1:20" x14ac:dyDescent="0.2">
      <c r="A68" s="5">
        <v>77</v>
      </c>
      <c r="H68" s="21"/>
      <c r="M68" s="5">
        <f>scrimecost*Meta!O65</f>
        <v>56.375</v>
      </c>
      <c r="N68" s="5">
        <f>L68-Grade11!L68</f>
        <v>0</v>
      </c>
      <c r="O68" s="5">
        <f>Grade11!M68-M68</f>
        <v>1.1550000000000011</v>
      </c>
      <c r="Q68" s="22"/>
      <c r="R68" s="22"/>
      <c r="S68" s="22">
        <f t="shared" si="20"/>
        <v>1.1388300000000011</v>
      </c>
      <c r="T68" s="22">
        <f t="shared" si="21"/>
        <v>0.10562130679557379</v>
      </c>
    </row>
    <row r="69" spans="1:20" x14ac:dyDescent="0.2">
      <c r="A69" s="5">
        <v>78</v>
      </c>
      <c r="H69" s="21"/>
      <c r="M69" s="5">
        <f>scrimecost*Meta!O66</f>
        <v>56.375</v>
      </c>
      <c r="N69" s="5">
        <f>L69-Grade11!L69</f>
        <v>0</v>
      </c>
      <c r="O69" s="5">
        <f>Grade11!M69-M69</f>
        <v>1.1550000000000011</v>
      </c>
      <c r="Q69" s="22"/>
      <c r="R69" s="22"/>
      <c r="S69" s="22">
        <f t="shared" si="20"/>
        <v>1.1388300000000011</v>
      </c>
      <c r="T69" s="22">
        <f t="shared" si="21"/>
        <v>0.10151722719824118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-1.836685525891113E-10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N10" sqref="N10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Meta!A7+6</f>
        <v>19</v>
      </c>
      <c r="C2" s="7">
        <f>Meta!B7</f>
        <v>197987</v>
      </c>
      <c r="D2" s="7">
        <f>Meta!C7</f>
        <v>87178</v>
      </c>
      <c r="E2" s="1">
        <f>Meta!D7</f>
        <v>0.04</v>
      </c>
      <c r="F2" s="1">
        <f>Meta!F7</f>
        <v>0.71599999999999997</v>
      </c>
      <c r="G2" s="1">
        <f>Meta!I7</f>
        <v>1.8652741552202943</v>
      </c>
      <c r="H2" s="1">
        <f>Meta!E7</f>
        <v>0.90300000000000002</v>
      </c>
      <c r="I2" s="13"/>
      <c r="J2" s="1">
        <f>Meta!X6</f>
        <v>0.76200000000000001</v>
      </c>
      <c r="K2" s="1">
        <f>Meta!D6</f>
        <v>4.1000000000000002E-2</v>
      </c>
      <c r="L2" s="29"/>
      <c r="N2" s="22">
        <f>Meta!T7</f>
        <v>269342</v>
      </c>
      <c r="O2" s="22">
        <f>Meta!U7</f>
        <v>113056</v>
      </c>
      <c r="P2" s="1">
        <f>Meta!V7</f>
        <v>2.9000000000000001E-2</v>
      </c>
      <c r="Q2" s="1">
        <f>Meta!X7</f>
        <v>0.76600000000000001</v>
      </c>
      <c r="R2" s="22">
        <f>Meta!W7</f>
        <v>1017</v>
      </c>
      <c r="T2" s="12">
        <f>IRR(S5:S69)+1</f>
        <v>1.0405570782596782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B9" s="1">
        <v>1</v>
      </c>
      <c r="C9" s="5">
        <f>0.1*Grade12!C9</f>
        <v>9978.9848882599126</v>
      </c>
      <c r="D9" s="5">
        <f t="shared" ref="D9:D36" si="0">IF(A9&lt;startage,1,0)*(C9*(1-initialunempprob))+IF(A9=startage,1,0)*(C9*(1-unempprob))+IF(A9&gt;startage,1,0)*(C9*(1-unempprob)+unempprob*300*52)</f>
        <v>9569.8465078412555</v>
      </c>
      <c r="E9" s="5">
        <f t="shared" ref="E9:E56" si="1">IF(D9-9500&gt;0,1,0)*(D9-9500)</f>
        <v>69.846507841255516</v>
      </c>
      <c r="F9" s="5">
        <f t="shared" ref="F9:F56" si="2">IF(E9&lt;=8500,1,0)*(0.1*E9+0.1*E9+0.0765*D9)+IF(AND(E9&gt;8500,E9&lt;=34500),1,0)*(850+0.15*(E9-8500)+0.1*E9+0.0765*D9)+IF(AND(E9&gt;34500,E9&lt;=83600),1,0)*(4750+0.25*(E9-34500)+0.1*E9+0.0765*D9)+IF(AND(E9&gt;83600,E9&lt;=174400,D9&lt;=106800),1,0)*(17025+0.28*(E9-83600)+0.1*E9+0.0765*D9)+IF(AND(E9&gt;83600,E9&lt;=174400,D9&gt;106800),1,0)*(17025+0.28*(E9-83600)+0.1*E9+8170.2+0.0145*(D9-106800))+IF(AND(E9&gt;174400,E9&lt;=379150),1,0)*(42449+0.33*(E9-174400)+0.1*E9+8170.2+0.0145*(D9-106800))+IF(E9&gt;379150,1,0)*(110016.5+0.35*(E9-379150)+0.1*E9+8170.2+0.0145*(D9-106800))</f>
        <v>746.06255941810718</v>
      </c>
      <c r="G9" s="5">
        <f t="shared" ref="G9:G56" si="3">D9-F9</f>
        <v>8823.7839484231481</v>
      </c>
      <c r="H9" s="22">
        <f>0.1*Grade12!H9</f>
        <v>4418.7039965686163</v>
      </c>
      <c r="I9" s="5">
        <f t="shared" ref="I9:I36" si="4">G9+IF(A9&lt;startage,1,0)*(H9*(1-initialunempprob))+IF(A9&gt;=startage,1,0)*(H9*(1-unempprob))</f>
        <v>13061.32108113245</v>
      </c>
      <c r="J9" s="26">
        <f t="shared" ref="J9:J56" si="5">(F9-(IF(A9&gt;startage,1,0)*(unempprob*300*52)))/(IF(A9&lt;startage,1,0)*((C9+H9)*(1-initialunempprob))+IF(A9&gt;=startage,1,0)*((C9+H9)*(1-unempprob)))</f>
        <v>5.4033593824902117E-2</v>
      </c>
      <c r="L9" s="22">
        <f>0.1*Grade12!L9</f>
        <v>18683.758804968449</v>
      </c>
      <c r="M9" s="5">
        <f>scrimecost*Meta!O6</f>
        <v>3352.0319999999997</v>
      </c>
      <c r="N9" s="5">
        <f>L9-Grade12!L9</f>
        <v>-168153.82924471603</v>
      </c>
      <c r="O9" s="5"/>
      <c r="P9" s="22"/>
      <c r="Q9" s="22">
        <f>0.05*feel*Grade12!G9</f>
        <v>868.07162078164117</v>
      </c>
      <c r="R9" s="22">
        <f>coltuition</f>
        <v>8279</v>
      </c>
      <c r="S9" s="22">
        <f t="shared" ref="S9:S40" si="6">IF(A9&lt;startage,1,0)*(N9-Q9-R9)+IF(A9&gt;=startage,1,0)*completionprob*(N9*spart+O9+P9)</f>
        <v>-177300.90086549768</v>
      </c>
      <c r="T9" s="22">
        <f t="shared" ref="T9:T40" si="7">S9/sreturn^(A9-startage+1)</f>
        <v>-177300.90086549768</v>
      </c>
    </row>
    <row r="10" spans="1:20" x14ac:dyDescent="0.2">
      <c r="A10" s="5">
        <v>19</v>
      </c>
      <c r="B10" s="1">
        <f t="shared" ref="B10:B36" si="8">(1+experiencepremium)^(A10-startage)</f>
        <v>1</v>
      </c>
      <c r="C10" s="5">
        <f t="shared" ref="C10:C36" si="9">pretaxincome*B10/expnorm</f>
        <v>106143.64620122942</v>
      </c>
      <c r="D10" s="5">
        <f t="shared" si="0"/>
        <v>101897.90035318024</v>
      </c>
      <c r="E10" s="5">
        <f t="shared" si="1"/>
        <v>92397.900353180245</v>
      </c>
      <c r="F10" s="5">
        <f t="shared" si="2"/>
        <v>36523.391511226779</v>
      </c>
      <c r="G10" s="5">
        <f t="shared" si="3"/>
        <v>65374.508841953466</v>
      </c>
      <c r="H10" s="22">
        <f t="shared" ref="H10:H36" si="10">benefits*B10/expnorm</f>
        <v>46737.365526679925</v>
      </c>
      <c r="I10" s="5">
        <f t="shared" si="4"/>
        <v>110242.37974756618</v>
      </c>
      <c r="J10" s="26">
        <f t="shared" si="5"/>
        <v>0.24885496937037763</v>
      </c>
      <c r="L10" s="22">
        <f t="shared" ref="L10:L36" si="11">(sincome+sbenefits)*(1-sunemp)*B10/expnorm</f>
        <v>199063.74457654316</v>
      </c>
      <c r="M10" s="5">
        <f>scrimecost*Meta!O7</f>
        <v>3582.8910000000001</v>
      </c>
      <c r="N10" s="5">
        <f>L10-Grade12!L10</f>
        <v>7555.2168256165751</v>
      </c>
      <c r="O10" s="5">
        <f>Grade12!M10-M10</f>
        <v>28.184000000000196</v>
      </c>
      <c r="P10" s="22">
        <f t="shared" ref="P10:P56" si="12">(spart-initialspart)*(L10*J10+nptrans)</f>
        <v>224.36800823739347</v>
      </c>
      <c r="Q10" s="22"/>
      <c r="R10" s="22"/>
      <c r="S10" s="22">
        <f t="shared" si="6"/>
        <v>5453.9828312836999</v>
      </c>
      <c r="T10" s="22">
        <f t="shared" si="7"/>
        <v>5241.4066899678719</v>
      </c>
    </row>
    <row r="11" spans="1:20" x14ac:dyDescent="0.2">
      <c r="A11" s="5">
        <v>20</v>
      </c>
      <c r="B11" s="1">
        <f t="shared" si="8"/>
        <v>1.0249999999999999</v>
      </c>
      <c r="C11" s="5">
        <f t="shared" si="9"/>
        <v>108797.23735626014</v>
      </c>
      <c r="D11" s="5">
        <f t="shared" si="0"/>
        <v>105069.34786200973</v>
      </c>
      <c r="E11" s="5">
        <f t="shared" si="1"/>
        <v>95569.34786200973</v>
      </c>
      <c r="F11" s="5">
        <f t="shared" si="2"/>
        <v>37971.157299007435</v>
      </c>
      <c r="G11" s="5">
        <f t="shared" si="3"/>
        <v>67098.190563002296</v>
      </c>
      <c r="H11" s="22">
        <f t="shared" si="10"/>
        <v>47905.79966484692</v>
      </c>
      <c r="I11" s="5">
        <f t="shared" si="4"/>
        <v>113087.75824125533</v>
      </c>
      <c r="J11" s="26">
        <f t="shared" si="5"/>
        <v>0.24826123087769303</v>
      </c>
      <c r="L11" s="22">
        <f t="shared" si="11"/>
        <v>204040.33819095671</v>
      </c>
      <c r="M11" s="5">
        <f>scrimecost*Meta!O8</f>
        <v>3431.3580000000002</v>
      </c>
      <c r="N11" s="5">
        <f>L11-Grade12!L11</f>
        <v>7744.097246256948</v>
      </c>
      <c r="O11" s="5">
        <f>Grade12!M11-M11</f>
        <v>26.991999999999734</v>
      </c>
      <c r="P11" s="22">
        <f t="shared" si="12"/>
        <v>228.83722203195089</v>
      </c>
      <c r="Q11" s="22"/>
      <c r="R11" s="22"/>
      <c r="S11" s="22">
        <f t="shared" si="6"/>
        <v>5587.5903645362905</v>
      </c>
      <c r="T11" s="22">
        <f t="shared" si="7"/>
        <v>5160.511428341073</v>
      </c>
    </row>
    <row r="12" spans="1:20" x14ac:dyDescent="0.2">
      <c r="A12" s="5">
        <v>21</v>
      </c>
      <c r="B12" s="1">
        <f t="shared" si="8"/>
        <v>1.0506249999999999</v>
      </c>
      <c r="C12" s="5">
        <f t="shared" si="9"/>
        <v>111517.16829016665</v>
      </c>
      <c r="D12" s="5">
        <f t="shared" si="0"/>
        <v>107680.48155855999</v>
      </c>
      <c r="E12" s="5">
        <f t="shared" si="1"/>
        <v>98180.481558559986</v>
      </c>
      <c r="F12" s="5">
        <f t="shared" si="2"/>
        <v>39108.549974851914</v>
      </c>
      <c r="G12" s="5">
        <f t="shared" si="3"/>
        <v>68571.931583708065</v>
      </c>
      <c r="H12" s="22">
        <f t="shared" si="10"/>
        <v>49103.444656468091</v>
      </c>
      <c r="I12" s="5">
        <f t="shared" si="4"/>
        <v>115711.23845391744</v>
      </c>
      <c r="J12" s="26">
        <f t="shared" si="5"/>
        <v>0.2495823677611651</v>
      </c>
      <c r="L12" s="22">
        <f t="shared" si="11"/>
        <v>209141.34664573063</v>
      </c>
      <c r="M12" s="5">
        <f>scrimecost*Meta!O9</f>
        <v>3116.0880000000002</v>
      </c>
      <c r="N12" s="5">
        <f>L12-Grade12!L12</f>
        <v>7937.6996774133877</v>
      </c>
      <c r="O12" s="5">
        <f>Grade12!M12-M12</f>
        <v>24.511999999999716</v>
      </c>
      <c r="P12" s="22">
        <f t="shared" si="12"/>
        <v>235.00796997040044</v>
      </c>
      <c r="Q12" s="22"/>
      <c r="R12" s="22"/>
      <c r="S12" s="22">
        <f t="shared" si="6"/>
        <v>5724.8375243507562</v>
      </c>
      <c r="T12" s="22">
        <f t="shared" si="7"/>
        <v>5081.1900870836052</v>
      </c>
    </row>
    <row r="13" spans="1:20" x14ac:dyDescent="0.2">
      <c r="A13" s="5">
        <v>22</v>
      </c>
      <c r="B13" s="1">
        <f t="shared" si="8"/>
        <v>1.0768906249999999</v>
      </c>
      <c r="C13" s="5">
        <f t="shared" si="9"/>
        <v>114305.09749742081</v>
      </c>
      <c r="D13" s="5">
        <f t="shared" si="0"/>
        <v>110356.89359752397</v>
      </c>
      <c r="E13" s="5">
        <f t="shared" si="1"/>
        <v>100856.89359752397</v>
      </c>
      <c r="F13" s="5">
        <f t="shared" si="2"/>
        <v>40164.394524223208</v>
      </c>
      <c r="G13" s="5">
        <f t="shared" si="3"/>
        <v>70192.499073300773</v>
      </c>
      <c r="H13" s="22">
        <f t="shared" si="10"/>
        <v>50331.030772879792</v>
      </c>
      <c r="I13" s="5">
        <f t="shared" si="4"/>
        <v>118510.28861526537</v>
      </c>
      <c r="J13" s="26">
        <f t="shared" si="5"/>
        <v>0.25017541043670527</v>
      </c>
      <c r="L13" s="22">
        <f t="shared" si="11"/>
        <v>214369.88031187389</v>
      </c>
      <c r="M13" s="5">
        <f>scrimecost*Meta!O10</f>
        <v>2855.7359999999999</v>
      </c>
      <c r="N13" s="5">
        <f>L13-Grade12!L13</f>
        <v>8136.14216934875</v>
      </c>
      <c r="O13" s="5">
        <f>Grade12!M13-M13</f>
        <v>22.463999999999942</v>
      </c>
      <c r="P13" s="22">
        <f t="shared" si="12"/>
        <v>240.73629116916194</v>
      </c>
      <c r="Q13" s="22"/>
      <c r="R13" s="22"/>
      <c r="S13" s="22">
        <f t="shared" si="6"/>
        <v>5865.4231291799451</v>
      </c>
      <c r="T13" s="22">
        <f t="shared" si="7"/>
        <v>5003.0600569840371</v>
      </c>
    </row>
    <row r="14" spans="1:20" x14ac:dyDescent="0.2">
      <c r="A14" s="5">
        <v>23</v>
      </c>
      <c r="B14" s="1">
        <f t="shared" si="8"/>
        <v>1.1038128906249998</v>
      </c>
      <c r="C14" s="5">
        <f t="shared" si="9"/>
        <v>117162.72493485631</v>
      </c>
      <c r="D14" s="5">
        <f t="shared" si="0"/>
        <v>113100.21593746205</v>
      </c>
      <c r="E14" s="5">
        <f t="shared" si="1"/>
        <v>103600.21593746205</v>
      </c>
      <c r="F14" s="5">
        <f t="shared" si="2"/>
        <v>41246.635187328779</v>
      </c>
      <c r="G14" s="5">
        <f t="shared" si="3"/>
        <v>71853.580750133275</v>
      </c>
      <c r="H14" s="22">
        <f t="shared" si="10"/>
        <v>51589.306542201783</v>
      </c>
      <c r="I14" s="5">
        <f t="shared" si="4"/>
        <v>121379.31503064698</v>
      </c>
      <c r="J14" s="26">
        <f t="shared" si="5"/>
        <v>0.25075398865674453</v>
      </c>
      <c r="L14" s="22">
        <f t="shared" si="11"/>
        <v>219729.12731967075</v>
      </c>
      <c r="M14" s="5">
        <f>scrimecost*Meta!O11</f>
        <v>2668.6080000000002</v>
      </c>
      <c r="N14" s="5">
        <f>L14-Grade12!L14</f>
        <v>8339.5457235825015</v>
      </c>
      <c r="O14" s="5">
        <f>Grade12!M14-M14</f>
        <v>20.991999999999734</v>
      </c>
      <c r="P14" s="22">
        <f t="shared" si="12"/>
        <v>246.6078203978926</v>
      </c>
      <c r="Q14" s="22"/>
      <c r="R14" s="22"/>
      <c r="S14" s="22">
        <f t="shared" si="6"/>
        <v>6010.0897357298654</v>
      </c>
      <c r="T14" s="22">
        <f t="shared" si="7"/>
        <v>4926.646679591996</v>
      </c>
    </row>
    <row r="15" spans="1:20" x14ac:dyDescent="0.2">
      <c r="A15" s="5">
        <v>24</v>
      </c>
      <c r="B15" s="1">
        <f t="shared" si="8"/>
        <v>1.1314082128906247</v>
      </c>
      <c r="C15" s="5">
        <f t="shared" si="9"/>
        <v>120091.79305822772</v>
      </c>
      <c r="D15" s="5">
        <f t="shared" si="0"/>
        <v>115912.1213358986</v>
      </c>
      <c r="E15" s="5">
        <f t="shared" si="1"/>
        <v>106412.1213358986</v>
      </c>
      <c r="F15" s="5">
        <f t="shared" si="2"/>
        <v>42355.931867011997</v>
      </c>
      <c r="G15" s="5">
        <f t="shared" si="3"/>
        <v>73556.189468886601</v>
      </c>
      <c r="H15" s="22">
        <f t="shared" si="10"/>
        <v>52879.039205756817</v>
      </c>
      <c r="I15" s="5">
        <f t="shared" si="4"/>
        <v>124320.06710641315</v>
      </c>
      <c r="J15" s="26">
        <f t="shared" si="5"/>
        <v>0.25131845521288032</v>
      </c>
      <c r="L15" s="22">
        <f t="shared" si="11"/>
        <v>225222.35550266248</v>
      </c>
      <c r="M15" s="5">
        <f>scrimecost*Meta!O12</f>
        <v>2549.6190000000001</v>
      </c>
      <c r="N15" s="5">
        <f>L15-Grade12!L15</f>
        <v>8548.0343666720437</v>
      </c>
      <c r="O15" s="5">
        <f>Grade12!M15-M15</f>
        <v>20.05600000000004</v>
      </c>
      <c r="P15" s="22">
        <f t="shared" si="12"/>
        <v>252.62613785734138</v>
      </c>
      <c r="Q15" s="22"/>
      <c r="R15" s="22"/>
      <c r="S15" s="22">
        <f t="shared" si="6"/>
        <v>6158.8902458434995</v>
      </c>
      <c r="T15" s="22">
        <f t="shared" si="7"/>
        <v>4851.8461156535714</v>
      </c>
    </row>
    <row r="16" spans="1:20" x14ac:dyDescent="0.2">
      <c r="A16" s="5">
        <v>25</v>
      </c>
      <c r="B16" s="1">
        <f t="shared" si="8"/>
        <v>1.1596934182128902</v>
      </c>
      <c r="C16" s="5">
        <f t="shared" si="9"/>
        <v>123094.08788468339</v>
      </c>
      <c r="D16" s="5">
        <f t="shared" si="0"/>
        <v>118794.32436929605</v>
      </c>
      <c r="E16" s="5">
        <f t="shared" si="1"/>
        <v>109294.32436929605</v>
      </c>
      <c r="F16" s="5">
        <f t="shared" si="2"/>
        <v>43492.960963687292</v>
      </c>
      <c r="G16" s="5">
        <f t="shared" si="3"/>
        <v>75301.363405608761</v>
      </c>
      <c r="H16" s="22">
        <f t="shared" si="10"/>
        <v>54201.015185900738</v>
      </c>
      <c r="I16" s="5">
        <f t="shared" si="4"/>
        <v>127334.33798407347</v>
      </c>
      <c r="J16" s="26">
        <f t="shared" si="5"/>
        <v>0.25186915429203727</v>
      </c>
      <c r="L16" s="22">
        <f t="shared" si="11"/>
        <v>230852.91439022901</v>
      </c>
      <c r="M16" s="5">
        <f>scrimecost*Meta!O13</f>
        <v>2140.7849999999999</v>
      </c>
      <c r="N16" s="5">
        <f>L16-Grade12!L16</f>
        <v>8761.7352258387837</v>
      </c>
      <c r="O16" s="5">
        <f>Grade12!M16-M16</f>
        <v>16.840000000000146</v>
      </c>
      <c r="P16" s="22">
        <f t="shared" si="12"/>
        <v>258.79491325327643</v>
      </c>
      <c r="Q16" s="22"/>
      <c r="R16" s="22"/>
      <c r="S16" s="22">
        <f t="shared" si="6"/>
        <v>6309.3730589099441</v>
      </c>
      <c r="T16" s="22">
        <f t="shared" si="7"/>
        <v>4776.6657509123788</v>
      </c>
    </row>
    <row r="17" spans="1:20" x14ac:dyDescent="0.2">
      <c r="A17" s="5">
        <v>26</v>
      </c>
      <c r="B17" s="1">
        <f t="shared" si="8"/>
        <v>1.1886857536682125</v>
      </c>
      <c r="C17" s="5">
        <f t="shared" si="9"/>
        <v>126171.44008180049</v>
      </c>
      <c r="D17" s="5">
        <f t="shared" si="0"/>
        <v>121748.58247852846</v>
      </c>
      <c r="E17" s="5">
        <f t="shared" si="1"/>
        <v>112248.58247852846</v>
      </c>
      <c r="F17" s="5">
        <f t="shared" si="2"/>
        <v>44658.415787779479</v>
      </c>
      <c r="G17" s="5">
        <f t="shared" si="3"/>
        <v>77090.166690748985</v>
      </c>
      <c r="H17" s="22">
        <f t="shared" si="10"/>
        <v>55556.040565548261</v>
      </c>
      <c r="I17" s="5">
        <f t="shared" si="4"/>
        <v>130423.96563367531</v>
      </c>
      <c r="J17" s="26">
        <f t="shared" si="5"/>
        <v>0.2524064216863367</v>
      </c>
      <c r="L17" s="22">
        <f t="shared" si="11"/>
        <v>236624.23724998476</v>
      </c>
      <c r="M17" s="5">
        <f>scrimecost*Meta!O14</f>
        <v>2140.7849999999999</v>
      </c>
      <c r="N17" s="5">
        <f>L17-Grade12!L17</f>
        <v>8980.7786064848187</v>
      </c>
      <c r="O17" s="5">
        <f>Grade12!M17-M17</f>
        <v>16.840000000000146</v>
      </c>
      <c r="P17" s="22">
        <f t="shared" si="12"/>
        <v>265.11790803410997</v>
      </c>
      <c r="Q17" s="22"/>
      <c r="R17" s="22"/>
      <c r="S17" s="22">
        <f t="shared" si="6"/>
        <v>6466.594591503138</v>
      </c>
      <c r="T17" s="22">
        <f t="shared" si="7"/>
        <v>4704.8780636609399</v>
      </c>
    </row>
    <row r="18" spans="1:20" x14ac:dyDescent="0.2">
      <c r="A18" s="5">
        <v>27</v>
      </c>
      <c r="B18" s="1">
        <f t="shared" si="8"/>
        <v>1.2184028975099177</v>
      </c>
      <c r="C18" s="5">
        <f t="shared" si="9"/>
        <v>129325.7260838455</v>
      </c>
      <c r="D18" s="5">
        <f t="shared" si="0"/>
        <v>124776.69704049168</v>
      </c>
      <c r="E18" s="5">
        <f t="shared" si="1"/>
        <v>115276.69704049168</v>
      </c>
      <c r="F18" s="5">
        <f t="shared" si="2"/>
        <v>45853.006982473962</v>
      </c>
      <c r="G18" s="5">
        <f t="shared" si="3"/>
        <v>78923.690058017717</v>
      </c>
      <c r="H18" s="22">
        <f t="shared" si="10"/>
        <v>56944.941579686958</v>
      </c>
      <c r="I18" s="5">
        <f t="shared" si="4"/>
        <v>133590.83397451718</v>
      </c>
      <c r="J18" s="26">
        <f t="shared" si="5"/>
        <v>0.25293058499784826</v>
      </c>
      <c r="L18" s="22">
        <f t="shared" si="11"/>
        <v>242539.84318123435</v>
      </c>
      <c r="M18" s="5">
        <f>scrimecost*Meta!O15</f>
        <v>2140.7849999999999</v>
      </c>
      <c r="N18" s="5">
        <f>L18-Grade12!L18</f>
        <v>9205.2980716469465</v>
      </c>
      <c r="O18" s="5">
        <f>Grade12!M18-M18</f>
        <v>16.840000000000146</v>
      </c>
      <c r="P18" s="22">
        <f t="shared" si="12"/>
        <v>271.59897768446422</v>
      </c>
      <c r="Q18" s="22"/>
      <c r="R18" s="22"/>
      <c r="S18" s="22">
        <f t="shared" si="6"/>
        <v>6627.7466624111212</v>
      </c>
      <c r="T18" s="22">
        <f t="shared" si="7"/>
        <v>4634.1781958102392</v>
      </c>
    </row>
    <row r="19" spans="1:20" x14ac:dyDescent="0.2">
      <c r="A19" s="5">
        <v>28</v>
      </c>
      <c r="B19" s="1">
        <f t="shared" si="8"/>
        <v>1.2488629699476654</v>
      </c>
      <c r="C19" s="5">
        <f t="shared" si="9"/>
        <v>132558.86923594162</v>
      </c>
      <c r="D19" s="5">
        <f t="shared" si="0"/>
        <v>127880.51446650394</v>
      </c>
      <c r="E19" s="5">
        <f t="shared" si="1"/>
        <v>118380.51446650394</v>
      </c>
      <c r="F19" s="5">
        <f t="shared" si="2"/>
        <v>47077.462957035801</v>
      </c>
      <c r="G19" s="5">
        <f t="shared" si="3"/>
        <v>80803.051509468147</v>
      </c>
      <c r="H19" s="22">
        <f t="shared" si="10"/>
        <v>58368.565119179126</v>
      </c>
      <c r="I19" s="5">
        <f t="shared" si="4"/>
        <v>136836.87402388011</v>
      </c>
      <c r="J19" s="26">
        <f t="shared" si="5"/>
        <v>0.25344196383834738</v>
      </c>
      <c r="L19" s="22">
        <f t="shared" si="11"/>
        <v>248603.33926076518</v>
      </c>
      <c r="M19" s="5">
        <f>scrimecost*Meta!O16</f>
        <v>2140.7849999999999</v>
      </c>
      <c r="N19" s="5">
        <f>L19-Grade12!L19</f>
        <v>9435.4305234380881</v>
      </c>
      <c r="O19" s="5">
        <f>Grade12!M19-M19</f>
        <v>16.840000000000146</v>
      </c>
      <c r="P19" s="22">
        <f t="shared" si="12"/>
        <v>278.2420740760773</v>
      </c>
      <c r="Q19" s="22"/>
      <c r="R19" s="22"/>
      <c r="S19" s="22">
        <f t="shared" si="6"/>
        <v>6792.9275350917769</v>
      </c>
      <c r="T19" s="22">
        <f t="shared" si="7"/>
        <v>4564.5493168929052</v>
      </c>
    </row>
    <row r="20" spans="1:20" x14ac:dyDescent="0.2">
      <c r="A20" s="5">
        <v>29</v>
      </c>
      <c r="B20" s="1">
        <f t="shared" si="8"/>
        <v>1.2800845441963571</v>
      </c>
      <c r="C20" s="5">
        <f t="shared" si="9"/>
        <v>135872.84096684016</v>
      </c>
      <c r="D20" s="5">
        <f t="shared" si="0"/>
        <v>131061.92732816655</v>
      </c>
      <c r="E20" s="5">
        <f t="shared" si="1"/>
        <v>121561.92732816655</v>
      </c>
      <c r="F20" s="5">
        <f t="shared" si="2"/>
        <v>48332.530330961701</v>
      </c>
      <c r="G20" s="5">
        <f t="shared" si="3"/>
        <v>82729.396997204851</v>
      </c>
      <c r="H20" s="22">
        <f t="shared" si="10"/>
        <v>59827.779247158607</v>
      </c>
      <c r="I20" s="5">
        <f t="shared" si="4"/>
        <v>140164.06507447711</v>
      </c>
      <c r="J20" s="26">
        <f t="shared" si="5"/>
        <v>0.25394087002420024</v>
      </c>
      <c r="L20" s="22">
        <f t="shared" si="11"/>
        <v>254818.42274228431</v>
      </c>
      <c r="M20" s="5">
        <f>scrimecost*Meta!O17</f>
        <v>2140.7849999999999</v>
      </c>
      <c r="N20" s="5">
        <f>L20-Grade12!L20</f>
        <v>9671.3162865240593</v>
      </c>
      <c r="O20" s="5">
        <f>Grade12!M20-M20</f>
        <v>16.840000000000146</v>
      </c>
      <c r="P20" s="22">
        <f t="shared" si="12"/>
        <v>285.05124787748076</v>
      </c>
      <c r="Q20" s="22"/>
      <c r="R20" s="22"/>
      <c r="S20" s="22">
        <f t="shared" si="6"/>
        <v>6962.2379295894843</v>
      </c>
      <c r="T20" s="22">
        <f t="shared" si="7"/>
        <v>4495.9748701603348</v>
      </c>
    </row>
    <row r="21" spans="1:20" x14ac:dyDescent="0.2">
      <c r="A21" s="5">
        <v>30</v>
      </c>
      <c r="B21" s="1">
        <f t="shared" si="8"/>
        <v>1.312086657801266</v>
      </c>
      <c r="C21" s="5">
        <f t="shared" si="9"/>
        <v>139269.66199101115</v>
      </c>
      <c r="D21" s="5">
        <f t="shared" si="0"/>
        <v>134322.87551137069</v>
      </c>
      <c r="E21" s="5">
        <f t="shared" si="1"/>
        <v>124822.87551137069</v>
      </c>
      <c r="F21" s="5">
        <f t="shared" si="2"/>
        <v>49618.974389235736</v>
      </c>
      <c r="G21" s="5">
        <f t="shared" si="3"/>
        <v>84703.90112213495</v>
      </c>
      <c r="H21" s="22">
        <f t="shared" si="10"/>
        <v>61323.473728337565</v>
      </c>
      <c r="I21" s="5">
        <f t="shared" si="4"/>
        <v>143574.43590133902</v>
      </c>
      <c r="J21" s="26">
        <f t="shared" si="5"/>
        <v>0.2544276077664957</v>
      </c>
      <c r="L21" s="22">
        <f t="shared" si="11"/>
        <v>261188.8833108414</v>
      </c>
      <c r="M21" s="5">
        <f>scrimecost*Meta!O18</f>
        <v>1725.8490000000002</v>
      </c>
      <c r="N21" s="5">
        <f>L21-Grade12!L21</f>
        <v>9913.0991936871433</v>
      </c>
      <c r="O21" s="5">
        <f>Grade12!M21-M21</f>
        <v>13.575999999999794</v>
      </c>
      <c r="P21" s="22">
        <f t="shared" si="12"/>
        <v>292.03065102391929</v>
      </c>
      <c r="Q21" s="22"/>
      <c r="R21" s="22"/>
      <c r="S21" s="22">
        <f t="shared" si="6"/>
        <v>7132.8336919496087</v>
      </c>
      <c r="T21" s="22">
        <f t="shared" si="7"/>
        <v>4426.6094273777435</v>
      </c>
    </row>
    <row r="22" spans="1:20" x14ac:dyDescent="0.2">
      <c r="A22" s="5">
        <v>31</v>
      </c>
      <c r="B22" s="1">
        <f t="shared" si="8"/>
        <v>1.3448888242462975</v>
      </c>
      <c r="C22" s="5">
        <f t="shared" si="9"/>
        <v>142751.40354078641</v>
      </c>
      <c r="D22" s="5">
        <f t="shared" si="0"/>
        <v>137665.34739915494</v>
      </c>
      <c r="E22" s="5">
        <f t="shared" si="1"/>
        <v>128165.34739915494</v>
      </c>
      <c r="F22" s="5">
        <f t="shared" si="2"/>
        <v>50937.57954896662</v>
      </c>
      <c r="G22" s="5">
        <f t="shared" si="3"/>
        <v>86727.76785018832</v>
      </c>
      <c r="H22" s="22">
        <f t="shared" si="10"/>
        <v>62856.560571546004</v>
      </c>
      <c r="I22" s="5">
        <f t="shared" si="4"/>
        <v>147070.06599887248</v>
      </c>
      <c r="J22" s="26">
        <f t="shared" si="5"/>
        <v>0.25490247385654002</v>
      </c>
      <c r="L22" s="22">
        <f t="shared" si="11"/>
        <v>267718.60539361241</v>
      </c>
      <c r="M22" s="5">
        <f>scrimecost*Meta!O19</f>
        <v>1725.8490000000002</v>
      </c>
      <c r="N22" s="5">
        <f>L22-Grade12!L22</f>
        <v>10160.926673529291</v>
      </c>
      <c r="O22" s="5">
        <f>Grade12!M22-M22</f>
        <v>13.575999999999794</v>
      </c>
      <c r="P22" s="22">
        <f t="shared" si="12"/>
        <v>299.18453924901888</v>
      </c>
      <c r="Q22" s="22"/>
      <c r="R22" s="22"/>
      <c r="S22" s="22">
        <f t="shared" si="6"/>
        <v>7310.715425168728</v>
      </c>
      <c r="T22" s="22">
        <f t="shared" si="7"/>
        <v>4360.1665381274379</v>
      </c>
    </row>
    <row r="23" spans="1:20" x14ac:dyDescent="0.2">
      <c r="A23" s="5">
        <v>32</v>
      </c>
      <c r="B23" s="1">
        <f t="shared" si="8"/>
        <v>1.3785110448524549</v>
      </c>
      <c r="C23" s="5">
        <f t="shared" si="9"/>
        <v>146320.18862930607</v>
      </c>
      <c r="D23" s="5">
        <f t="shared" si="0"/>
        <v>141091.38108413381</v>
      </c>
      <c r="E23" s="5">
        <f t="shared" si="1"/>
        <v>131591.38108413381</v>
      </c>
      <c r="F23" s="5">
        <f t="shared" si="2"/>
        <v>52289.149837690791</v>
      </c>
      <c r="G23" s="5">
        <f t="shared" si="3"/>
        <v>88802.231246443029</v>
      </c>
      <c r="H23" s="22">
        <f t="shared" si="10"/>
        <v>64427.97458583465</v>
      </c>
      <c r="I23" s="5">
        <f t="shared" si="4"/>
        <v>150653.08684884431</v>
      </c>
      <c r="J23" s="26">
        <f t="shared" si="5"/>
        <v>0.25536575784682719</v>
      </c>
      <c r="L23" s="22">
        <f t="shared" si="11"/>
        <v>274411.57052845269</v>
      </c>
      <c r="M23" s="5">
        <f>scrimecost*Meta!O20</f>
        <v>1725.8490000000002</v>
      </c>
      <c r="N23" s="5">
        <f>L23-Grade12!L23</f>
        <v>10414.949840367539</v>
      </c>
      <c r="O23" s="5">
        <f>Grade12!M23-M23</f>
        <v>13.575999999999794</v>
      </c>
      <c r="P23" s="22">
        <f t="shared" si="12"/>
        <v>306.51727467974581</v>
      </c>
      <c r="Q23" s="22"/>
      <c r="R23" s="22"/>
      <c r="S23" s="22">
        <f t="shared" si="6"/>
        <v>7493.0442017183568</v>
      </c>
      <c r="T23" s="22">
        <f t="shared" si="7"/>
        <v>4294.7272253865094</v>
      </c>
    </row>
    <row r="24" spans="1:20" x14ac:dyDescent="0.2">
      <c r="A24" s="5">
        <v>33</v>
      </c>
      <c r="B24" s="1">
        <f t="shared" si="8"/>
        <v>1.4129738209737661</v>
      </c>
      <c r="C24" s="5">
        <f t="shared" si="9"/>
        <v>149978.19334503872</v>
      </c>
      <c r="D24" s="5">
        <f t="shared" si="0"/>
        <v>144603.06561123717</v>
      </c>
      <c r="E24" s="5">
        <f t="shared" si="1"/>
        <v>135103.06561123717</v>
      </c>
      <c r="F24" s="5">
        <f t="shared" si="2"/>
        <v>53674.509383633063</v>
      </c>
      <c r="G24" s="5">
        <f t="shared" si="3"/>
        <v>90928.556227604102</v>
      </c>
      <c r="H24" s="22">
        <f t="shared" si="10"/>
        <v>66038.673950480501</v>
      </c>
      <c r="I24" s="5">
        <f t="shared" si="4"/>
        <v>154325.68322006537</v>
      </c>
      <c r="J24" s="26">
        <f t="shared" si="5"/>
        <v>0.25581774222759524</v>
      </c>
      <c r="L24" s="22">
        <f t="shared" si="11"/>
        <v>281271.859791664</v>
      </c>
      <c r="M24" s="5">
        <f>scrimecost*Meta!O21</f>
        <v>1725.8490000000002</v>
      </c>
      <c r="N24" s="5">
        <f>L24-Grade12!L24</f>
        <v>10675.323586376675</v>
      </c>
      <c r="O24" s="5">
        <f>Grade12!M24-M24</f>
        <v>13.575999999999794</v>
      </c>
      <c r="P24" s="22">
        <f t="shared" si="12"/>
        <v>314.0333284962411</v>
      </c>
      <c r="Q24" s="22"/>
      <c r="R24" s="22"/>
      <c r="S24" s="22">
        <f t="shared" si="6"/>
        <v>7679.9311976816798</v>
      </c>
      <c r="T24" s="22">
        <f t="shared" si="7"/>
        <v>4230.2760871148648</v>
      </c>
    </row>
    <row r="25" spans="1:20" x14ac:dyDescent="0.2">
      <c r="A25" s="5">
        <v>34</v>
      </c>
      <c r="B25" s="1">
        <f t="shared" si="8"/>
        <v>1.4482981664981105</v>
      </c>
      <c r="C25" s="5">
        <f t="shared" si="9"/>
        <v>153727.64817866471</v>
      </c>
      <c r="D25" s="5">
        <f t="shared" si="0"/>
        <v>148202.54225151811</v>
      </c>
      <c r="E25" s="5">
        <f t="shared" si="1"/>
        <v>138702.54225151811</v>
      </c>
      <c r="F25" s="5">
        <f t="shared" si="2"/>
        <v>55094.502918223894</v>
      </c>
      <c r="G25" s="5">
        <f t="shared" si="3"/>
        <v>93108.039333294219</v>
      </c>
      <c r="H25" s="22">
        <f t="shared" si="10"/>
        <v>67689.640799242537</v>
      </c>
      <c r="I25" s="5">
        <f t="shared" si="4"/>
        <v>158090.09450056707</v>
      </c>
      <c r="J25" s="26">
        <f t="shared" si="5"/>
        <v>0.25625870259907613</v>
      </c>
      <c r="L25" s="22">
        <f t="shared" si="11"/>
        <v>288303.65628645563</v>
      </c>
      <c r="M25" s="5">
        <f>scrimecost*Meta!O22</f>
        <v>1725.8490000000002</v>
      </c>
      <c r="N25" s="5">
        <f>L25-Grade12!L25</f>
        <v>10942.206676036119</v>
      </c>
      <c r="O25" s="5">
        <f>Grade12!M25-M25</f>
        <v>13.575999999999794</v>
      </c>
      <c r="P25" s="22">
        <f t="shared" si="12"/>
        <v>321.73728365814867</v>
      </c>
      <c r="Q25" s="22"/>
      <c r="R25" s="22"/>
      <c r="S25" s="22">
        <f t="shared" si="6"/>
        <v>7871.4903685441395</v>
      </c>
      <c r="T25" s="22">
        <f t="shared" si="7"/>
        <v>4166.7979670507548</v>
      </c>
    </row>
    <row r="26" spans="1:20" x14ac:dyDescent="0.2">
      <c r="A26" s="5">
        <v>35</v>
      </c>
      <c r="B26" s="1">
        <f t="shared" si="8"/>
        <v>1.4845056206605631</v>
      </c>
      <c r="C26" s="5">
        <f t="shared" si="9"/>
        <v>157570.8393831313</v>
      </c>
      <c r="D26" s="5">
        <f t="shared" si="0"/>
        <v>151892.00580780604</v>
      </c>
      <c r="E26" s="5">
        <f t="shared" si="1"/>
        <v>142392.00580780604</v>
      </c>
      <c r="F26" s="5">
        <f t="shared" si="2"/>
        <v>56549.996291179479</v>
      </c>
      <c r="G26" s="5">
        <f t="shared" si="3"/>
        <v>95342.009516626567</v>
      </c>
      <c r="H26" s="22">
        <f t="shared" si="10"/>
        <v>69381.881819223592</v>
      </c>
      <c r="I26" s="5">
        <f t="shared" si="4"/>
        <v>161948.61606308119</v>
      </c>
      <c r="J26" s="26">
        <f t="shared" si="5"/>
        <v>0.25668890783954534</v>
      </c>
      <c r="L26" s="22">
        <f t="shared" si="11"/>
        <v>295511.24769361701</v>
      </c>
      <c r="M26" s="5">
        <f>scrimecost*Meta!O23</f>
        <v>1339.3889999999999</v>
      </c>
      <c r="N26" s="5">
        <f>L26-Grade12!L26</f>
        <v>11215.761842937092</v>
      </c>
      <c r="O26" s="5">
        <f>Grade12!M26-M26</f>
        <v>10.536000000000058</v>
      </c>
      <c r="P26" s="22">
        <f t="shared" si="12"/>
        <v>329.63383769910394</v>
      </c>
      <c r="Q26" s="22"/>
      <c r="R26" s="22"/>
      <c r="S26" s="22">
        <f t="shared" si="6"/>
        <v>8065.0933986781929</v>
      </c>
      <c r="T26" s="22">
        <f t="shared" si="7"/>
        <v>4102.8814505561022</v>
      </c>
    </row>
    <row r="27" spans="1:20" x14ac:dyDescent="0.2">
      <c r="A27" s="5">
        <v>36</v>
      </c>
      <c r="B27" s="1">
        <f t="shared" si="8"/>
        <v>1.521618261177077</v>
      </c>
      <c r="C27" s="5">
        <f t="shared" si="9"/>
        <v>161510.11036770957</v>
      </c>
      <c r="D27" s="5">
        <f t="shared" si="0"/>
        <v>155673.70595300119</v>
      </c>
      <c r="E27" s="5">
        <f t="shared" si="1"/>
        <v>146173.70595300119</v>
      </c>
      <c r="F27" s="5">
        <f t="shared" si="2"/>
        <v>58041.876998458974</v>
      </c>
      <c r="G27" s="5">
        <f t="shared" si="3"/>
        <v>97631.828954542216</v>
      </c>
      <c r="H27" s="22">
        <f t="shared" si="10"/>
        <v>71116.428864704169</v>
      </c>
      <c r="I27" s="5">
        <f t="shared" si="4"/>
        <v>165903.60066465821</v>
      </c>
      <c r="J27" s="26">
        <f t="shared" si="5"/>
        <v>0.25710862026927139</v>
      </c>
      <c r="L27" s="22">
        <f t="shared" si="11"/>
        <v>302899.02888595738</v>
      </c>
      <c r="M27" s="5">
        <f>scrimecost*Meta!O24</f>
        <v>1339.3889999999999</v>
      </c>
      <c r="N27" s="5">
        <f>L27-Grade12!L27</f>
        <v>11496.155889010464</v>
      </c>
      <c r="O27" s="5">
        <f>Grade12!M27-M27</f>
        <v>10.536000000000058</v>
      </c>
      <c r="P27" s="22">
        <f t="shared" si="12"/>
        <v>337.72780559108304</v>
      </c>
      <c r="Q27" s="22"/>
      <c r="R27" s="22"/>
      <c r="S27" s="22">
        <f t="shared" si="6"/>
        <v>8266.3502525655076</v>
      </c>
      <c r="T27" s="22">
        <f t="shared" si="7"/>
        <v>4041.3592903433978</v>
      </c>
    </row>
    <row r="28" spans="1:20" x14ac:dyDescent="0.2">
      <c r="A28" s="5">
        <v>37</v>
      </c>
      <c r="B28" s="1">
        <f t="shared" si="8"/>
        <v>1.559658717706504</v>
      </c>
      <c r="C28" s="5">
        <f t="shared" si="9"/>
        <v>165547.86312690229</v>
      </c>
      <c r="D28" s="5">
        <f t="shared" si="0"/>
        <v>159549.94860182618</v>
      </c>
      <c r="E28" s="5">
        <f t="shared" si="1"/>
        <v>150049.94860182618</v>
      </c>
      <c r="F28" s="5">
        <f t="shared" si="2"/>
        <v>59571.05472342042</v>
      </c>
      <c r="G28" s="5">
        <f t="shared" si="3"/>
        <v>99978.893878405768</v>
      </c>
      <c r="H28" s="22">
        <f t="shared" si="10"/>
        <v>72894.339586321774</v>
      </c>
      <c r="I28" s="5">
        <f t="shared" si="4"/>
        <v>169957.45988127467</v>
      </c>
      <c r="J28" s="26">
        <f t="shared" si="5"/>
        <v>0.25751809581046747</v>
      </c>
      <c r="L28" s="22">
        <f t="shared" si="11"/>
        <v>310471.50460810633</v>
      </c>
      <c r="M28" s="5">
        <f>scrimecost*Meta!O25</f>
        <v>1339.3889999999999</v>
      </c>
      <c r="N28" s="5">
        <f>L28-Grade12!L28</f>
        <v>11783.559786235739</v>
      </c>
      <c r="O28" s="5">
        <f>Grade12!M28-M28</f>
        <v>10.536000000000058</v>
      </c>
      <c r="P28" s="22">
        <f t="shared" si="12"/>
        <v>346.02412268036159</v>
      </c>
      <c r="Q28" s="22"/>
      <c r="R28" s="22"/>
      <c r="S28" s="22">
        <f t="shared" si="6"/>
        <v>8472.6385278000544</v>
      </c>
      <c r="T28" s="22">
        <f t="shared" si="7"/>
        <v>3980.7639903712384</v>
      </c>
    </row>
    <row r="29" spans="1:20" x14ac:dyDescent="0.2">
      <c r="A29" s="5">
        <v>38</v>
      </c>
      <c r="B29" s="1">
        <f t="shared" si="8"/>
        <v>1.5986501856491666</v>
      </c>
      <c r="C29" s="5">
        <f t="shared" si="9"/>
        <v>169686.55970507488</v>
      </c>
      <c r="D29" s="5">
        <f t="shared" si="0"/>
        <v>163523.09731687186</v>
      </c>
      <c r="E29" s="5">
        <f t="shared" si="1"/>
        <v>154023.09731687186</v>
      </c>
      <c r="F29" s="5">
        <f t="shared" si="2"/>
        <v>61138.461891505947</v>
      </c>
      <c r="G29" s="5">
        <f t="shared" si="3"/>
        <v>102384.63542536591</v>
      </c>
      <c r="H29" s="22">
        <f t="shared" si="10"/>
        <v>74716.698075979817</v>
      </c>
      <c r="I29" s="5">
        <f t="shared" si="4"/>
        <v>174112.66557830654</v>
      </c>
      <c r="J29" s="26">
        <f t="shared" si="5"/>
        <v>0.25791758414334176</v>
      </c>
      <c r="L29" s="22">
        <f t="shared" si="11"/>
        <v>318233.29222330899</v>
      </c>
      <c r="M29" s="5">
        <f>scrimecost*Meta!O26</f>
        <v>1339.3889999999999</v>
      </c>
      <c r="N29" s="5">
        <f>L29-Grade12!L29</f>
        <v>12078.148780891672</v>
      </c>
      <c r="O29" s="5">
        <f>Grade12!M29-M29</f>
        <v>10.536000000000058</v>
      </c>
      <c r="P29" s="22">
        <f t="shared" si="12"/>
        <v>354.52784769687219</v>
      </c>
      <c r="Q29" s="22"/>
      <c r="R29" s="22"/>
      <c r="S29" s="22">
        <f t="shared" si="6"/>
        <v>8684.084009915483</v>
      </c>
      <c r="T29" s="22">
        <f t="shared" si="7"/>
        <v>3921.0814182536142</v>
      </c>
    </row>
    <row r="30" spans="1:20" x14ac:dyDescent="0.2">
      <c r="A30" s="5">
        <v>39</v>
      </c>
      <c r="B30" s="1">
        <f t="shared" si="8"/>
        <v>1.6386164402903955</v>
      </c>
      <c r="C30" s="5">
        <f t="shared" si="9"/>
        <v>173928.72369770173</v>
      </c>
      <c r="D30" s="5">
        <f t="shared" si="0"/>
        <v>167595.57474979365</v>
      </c>
      <c r="E30" s="5">
        <f t="shared" si="1"/>
        <v>158095.57474979365</v>
      </c>
      <c r="F30" s="5">
        <f t="shared" si="2"/>
        <v>62745.0542387936</v>
      </c>
      <c r="G30" s="5">
        <f t="shared" si="3"/>
        <v>104850.52051100005</v>
      </c>
      <c r="H30" s="22">
        <f t="shared" si="10"/>
        <v>76584.615527879301</v>
      </c>
      <c r="I30" s="5">
        <f t="shared" si="4"/>
        <v>178371.75141776417</v>
      </c>
      <c r="J30" s="26">
        <f t="shared" si="5"/>
        <v>0.25830732885834118</v>
      </c>
      <c r="L30" s="22">
        <f t="shared" si="11"/>
        <v>326189.1245288917</v>
      </c>
      <c r="M30" s="5">
        <f>scrimecost*Meta!O27</f>
        <v>1339.3889999999999</v>
      </c>
      <c r="N30" s="5">
        <f>L30-Grade12!L30</f>
        <v>12380.10250041401</v>
      </c>
      <c r="O30" s="5">
        <f>Grade12!M30-M30</f>
        <v>10.536000000000058</v>
      </c>
      <c r="P30" s="22">
        <f t="shared" si="12"/>
        <v>363.24416583879565</v>
      </c>
      <c r="Q30" s="22"/>
      <c r="R30" s="22"/>
      <c r="S30" s="22">
        <f t="shared" si="6"/>
        <v>8900.8156290838033</v>
      </c>
      <c r="T30" s="22">
        <f t="shared" si="7"/>
        <v>3862.2976636185017</v>
      </c>
    </row>
    <row r="31" spans="1:20" x14ac:dyDescent="0.2">
      <c r="A31" s="5">
        <v>40</v>
      </c>
      <c r="B31" s="1">
        <f t="shared" si="8"/>
        <v>1.6795818512976552</v>
      </c>
      <c r="C31" s="5">
        <f t="shared" si="9"/>
        <v>178276.94179014425</v>
      </c>
      <c r="D31" s="5">
        <f t="shared" si="0"/>
        <v>171769.86411853848</v>
      </c>
      <c r="E31" s="5">
        <f t="shared" si="1"/>
        <v>162269.86411853848</v>
      </c>
      <c r="F31" s="5">
        <f t="shared" si="2"/>
        <v>64391.811394763427</v>
      </c>
      <c r="G31" s="5">
        <f t="shared" si="3"/>
        <v>107378.05272377505</v>
      </c>
      <c r="H31" s="22">
        <f t="shared" si="10"/>
        <v>78499.230916076282</v>
      </c>
      <c r="I31" s="5">
        <f t="shared" si="4"/>
        <v>182737.31440320826</v>
      </c>
      <c r="J31" s="26">
        <f t="shared" si="5"/>
        <v>0.25868756760468192</v>
      </c>
      <c r="L31" s="22">
        <f t="shared" si="11"/>
        <v>334343.85264211392</v>
      </c>
      <c r="M31" s="5">
        <f>scrimecost*Meta!O28</f>
        <v>1171.5839999999998</v>
      </c>
      <c r="N31" s="5">
        <f>L31-Grade12!L31</f>
        <v>12689.605062924267</v>
      </c>
      <c r="O31" s="5">
        <f>Grade12!M31-M31</f>
        <v>9.2160000000001219</v>
      </c>
      <c r="P31" s="22">
        <f t="shared" si="12"/>
        <v>372.17839193426693</v>
      </c>
      <c r="Q31" s="22"/>
      <c r="R31" s="22"/>
      <c r="S31" s="22">
        <f t="shared" si="6"/>
        <v>9121.773578731234</v>
      </c>
      <c r="T31" s="22">
        <f t="shared" si="7"/>
        <v>3803.9019710577668</v>
      </c>
    </row>
    <row r="32" spans="1:20" x14ac:dyDescent="0.2">
      <c r="A32" s="5">
        <v>41</v>
      </c>
      <c r="B32" s="1">
        <f t="shared" si="8"/>
        <v>1.7215713975800966</v>
      </c>
      <c r="C32" s="5">
        <f t="shared" si="9"/>
        <v>182733.86533489783</v>
      </c>
      <c r="D32" s="5">
        <f t="shared" si="0"/>
        <v>176048.51072150189</v>
      </c>
      <c r="E32" s="5">
        <f t="shared" si="1"/>
        <v>166548.51072150189</v>
      </c>
      <c r="F32" s="5">
        <f t="shared" si="2"/>
        <v>66079.737479632502</v>
      </c>
      <c r="G32" s="5">
        <f t="shared" si="3"/>
        <v>109968.77324186939</v>
      </c>
      <c r="H32" s="22">
        <f t="shared" si="10"/>
        <v>80461.71168897819</v>
      </c>
      <c r="I32" s="5">
        <f t="shared" si="4"/>
        <v>187212.01646328846</v>
      </c>
      <c r="J32" s="26">
        <f t="shared" si="5"/>
        <v>0.25905853223525827</v>
      </c>
      <c r="L32" s="22">
        <f t="shared" si="11"/>
        <v>342702.44895816676</v>
      </c>
      <c r="M32" s="5">
        <f>scrimecost*Meta!O29</f>
        <v>1171.5839999999998</v>
      </c>
      <c r="N32" s="5">
        <f>L32-Grade12!L32</f>
        <v>13006.84518949734</v>
      </c>
      <c r="O32" s="5">
        <f>Grade12!M32-M32</f>
        <v>9.2160000000001219</v>
      </c>
      <c r="P32" s="22">
        <f t="shared" si="12"/>
        <v>381.33597368212509</v>
      </c>
      <c r="Q32" s="22"/>
      <c r="R32" s="22"/>
      <c r="S32" s="22">
        <f t="shared" si="6"/>
        <v>9349.477236119892</v>
      </c>
      <c r="T32" s="22">
        <f t="shared" si="7"/>
        <v>3746.8943634085003</v>
      </c>
    </row>
    <row r="33" spans="1:20" x14ac:dyDescent="0.2">
      <c r="A33" s="5">
        <v>42</v>
      </c>
      <c r="B33" s="1">
        <f t="shared" si="8"/>
        <v>1.7646106825195991</v>
      </c>
      <c r="C33" s="5">
        <f t="shared" si="9"/>
        <v>187302.21196827028</v>
      </c>
      <c r="D33" s="5">
        <f t="shared" si="0"/>
        <v>180434.12348953946</v>
      </c>
      <c r="E33" s="5">
        <f t="shared" si="1"/>
        <v>170934.12348953946</v>
      </c>
      <c r="F33" s="5">
        <f t="shared" si="2"/>
        <v>67809.861716623316</v>
      </c>
      <c r="G33" s="5">
        <f t="shared" si="3"/>
        <v>112624.26177291614</v>
      </c>
      <c r="H33" s="22">
        <f t="shared" si="10"/>
        <v>82473.254481202646</v>
      </c>
      <c r="I33" s="5">
        <f t="shared" si="4"/>
        <v>191798.58607487066</v>
      </c>
      <c r="J33" s="26">
        <f t="shared" si="5"/>
        <v>0.25942044894801569</v>
      </c>
      <c r="L33" s="22">
        <f t="shared" si="11"/>
        <v>351270.01018212095</v>
      </c>
      <c r="M33" s="5">
        <f>scrimecost*Meta!O30</f>
        <v>1171.5839999999998</v>
      </c>
      <c r="N33" s="5">
        <f>L33-Grade12!L33</f>
        <v>13332.016319234797</v>
      </c>
      <c r="O33" s="5">
        <f>Grade12!M33-M33</f>
        <v>9.2160000000001219</v>
      </c>
      <c r="P33" s="22">
        <f t="shared" si="12"/>
        <v>390.72249497367977</v>
      </c>
      <c r="Q33" s="22"/>
      <c r="R33" s="22"/>
      <c r="S33" s="22">
        <f t="shared" si="6"/>
        <v>9582.8734849433022</v>
      </c>
      <c r="T33" s="22">
        <f t="shared" si="7"/>
        <v>3690.7443820807316</v>
      </c>
    </row>
    <row r="34" spans="1:20" x14ac:dyDescent="0.2">
      <c r="A34" s="5">
        <v>43</v>
      </c>
      <c r="B34" s="1">
        <f t="shared" si="8"/>
        <v>1.8087259495825889</v>
      </c>
      <c r="C34" s="5">
        <f t="shared" si="9"/>
        <v>191984.76726747703</v>
      </c>
      <c r="D34" s="5">
        <f t="shared" si="0"/>
        <v>184929.37657677796</v>
      </c>
      <c r="E34" s="5">
        <f t="shared" si="1"/>
        <v>175429.37657677796</v>
      </c>
      <c r="F34" s="5">
        <f t="shared" si="2"/>
        <v>69634.707888377801</v>
      </c>
      <c r="G34" s="5">
        <f t="shared" si="3"/>
        <v>115294.66868840015</v>
      </c>
      <c r="H34" s="22">
        <f t="shared" si="10"/>
        <v>84535.085843232693</v>
      </c>
      <c r="I34" s="5">
        <f t="shared" si="4"/>
        <v>196448.35109790353</v>
      </c>
      <c r="J34" s="26">
        <f t="shared" si="5"/>
        <v>0.25996742455093319</v>
      </c>
      <c r="L34" s="22">
        <f t="shared" si="11"/>
        <v>360051.760436674</v>
      </c>
      <c r="M34" s="5">
        <f>scrimecost*Meta!O31</f>
        <v>1171.5839999999998</v>
      </c>
      <c r="N34" s="5">
        <f>L34-Grade12!L34</f>
        <v>13665.316727215773</v>
      </c>
      <c r="O34" s="5">
        <f>Grade12!M34-M34</f>
        <v>9.2160000000001219</v>
      </c>
      <c r="P34" s="22">
        <f t="shared" si="12"/>
        <v>400.62291546300725</v>
      </c>
      <c r="Q34" s="22"/>
      <c r="R34" s="22"/>
      <c r="S34" s="22">
        <f t="shared" si="6"/>
        <v>9822.3567902447921</v>
      </c>
      <c r="T34" s="22">
        <f t="shared" si="7"/>
        <v>3635.5323254791847</v>
      </c>
    </row>
    <row r="35" spans="1:20" x14ac:dyDescent="0.2">
      <c r="A35" s="5">
        <v>44</v>
      </c>
      <c r="B35" s="1">
        <f t="shared" si="8"/>
        <v>1.8539440983221533</v>
      </c>
      <c r="C35" s="5">
        <f t="shared" si="9"/>
        <v>196784.38644916393</v>
      </c>
      <c r="D35" s="5">
        <f t="shared" si="0"/>
        <v>189537.01099119737</v>
      </c>
      <c r="E35" s="5">
        <f t="shared" si="1"/>
        <v>180037.01099119737</v>
      </c>
      <c r="F35" s="5">
        <f t="shared" si="2"/>
        <v>71682.801385587241</v>
      </c>
      <c r="G35" s="5">
        <f t="shared" si="3"/>
        <v>117854.20960561013</v>
      </c>
      <c r="H35" s="22">
        <f t="shared" si="10"/>
        <v>86648.462989313499</v>
      </c>
      <c r="I35" s="5">
        <f t="shared" si="4"/>
        <v>201036.73407535109</v>
      </c>
      <c r="J35" s="26">
        <f t="shared" si="5"/>
        <v>0.26115386739150798</v>
      </c>
      <c r="L35" s="22">
        <f t="shared" si="11"/>
        <v>369053.05444759078</v>
      </c>
      <c r="M35" s="5">
        <f>scrimecost*Meta!O32</f>
        <v>1171.5839999999998</v>
      </c>
      <c r="N35" s="5">
        <f>L35-Grade12!L35</f>
        <v>14006.949645396089</v>
      </c>
      <c r="O35" s="5">
        <f>Grade12!M35-M35</f>
        <v>9.2160000000001219</v>
      </c>
      <c r="P35" s="22">
        <f t="shared" si="12"/>
        <v>411.73452976654875</v>
      </c>
      <c r="Q35" s="22"/>
      <c r="R35" s="22"/>
      <c r="S35" s="22">
        <f t="shared" si="6"/>
        <v>10068.697384200377</v>
      </c>
      <c r="T35" s="22">
        <f t="shared" si="7"/>
        <v>3581.4565401832506</v>
      </c>
    </row>
    <row r="36" spans="1:20" x14ac:dyDescent="0.2">
      <c r="A36" s="5">
        <v>45</v>
      </c>
      <c r="B36" s="1">
        <f t="shared" si="8"/>
        <v>1.9002927007802071</v>
      </c>
      <c r="C36" s="5">
        <f t="shared" si="9"/>
        <v>201703.99611039303</v>
      </c>
      <c r="D36" s="5">
        <f t="shared" si="0"/>
        <v>194259.8362659773</v>
      </c>
      <c r="E36" s="5">
        <f t="shared" si="1"/>
        <v>184759.8362659773</v>
      </c>
      <c r="F36" s="5">
        <f t="shared" si="2"/>
        <v>73782.097220226904</v>
      </c>
      <c r="G36" s="5">
        <f t="shared" si="3"/>
        <v>120477.73904575039</v>
      </c>
      <c r="H36" s="22">
        <f t="shared" si="10"/>
        <v>88814.674564046334</v>
      </c>
      <c r="I36" s="5">
        <f t="shared" si="4"/>
        <v>205739.82662723487</v>
      </c>
      <c r="J36" s="26">
        <f t="shared" si="5"/>
        <v>0.2623113726018248</v>
      </c>
      <c r="L36" s="22">
        <f t="shared" si="11"/>
        <v>378279.38080878049</v>
      </c>
      <c r="M36" s="5">
        <f>scrimecost*Meta!O33</f>
        <v>946.827</v>
      </c>
      <c r="N36" s="5">
        <f>L36-Grade12!L36</f>
        <v>14357.123386530962</v>
      </c>
      <c r="O36" s="5">
        <f>Grade12!M36-M36</f>
        <v>7.4480000000000928</v>
      </c>
      <c r="P36" s="22">
        <f t="shared" si="12"/>
        <v>423.12393442767871</v>
      </c>
      <c r="Q36" s="22"/>
      <c r="R36" s="22"/>
      <c r="S36" s="22">
        <f t="shared" si="6"/>
        <v>10319.599989004888</v>
      </c>
      <c r="T36" s="22">
        <f t="shared" si="7"/>
        <v>3527.6326438307478</v>
      </c>
    </row>
    <row r="37" spans="1:20" x14ac:dyDescent="0.2">
      <c r="A37" s="5">
        <v>46</v>
      </c>
      <c r="B37" s="1">
        <f t="shared" ref="B37:B56" si="13">(1+experiencepremium)^(A37-startage)</f>
        <v>1.9478000182997122</v>
      </c>
      <c r="C37" s="5">
        <f t="shared" ref="C37:C56" si="14">pretaxincome*B37/expnorm</f>
        <v>206746.59601315286</v>
      </c>
      <c r="D37" s="5">
        <f t="shared" ref="D37:D56" si="15">IF(A37&lt;startage,1,0)*(C37*(1-initialunempprob))+IF(A37=startage,1,0)*(C37*(1-unempprob))+IF(A37&gt;startage,1,0)*(C37*(1-unempprob)+unempprob*300*52)</f>
        <v>199100.73217262674</v>
      </c>
      <c r="E37" s="5">
        <f t="shared" si="1"/>
        <v>189600.73217262674</v>
      </c>
      <c r="F37" s="5">
        <f t="shared" si="2"/>
        <v>75933.875450732594</v>
      </c>
      <c r="G37" s="5">
        <f t="shared" si="3"/>
        <v>123166.85672189415</v>
      </c>
      <c r="H37" s="22">
        <f t="shared" ref="H37:H56" si="16">benefits*B37/expnorm</f>
        <v>91035.04142814748</v>
      </c>
      <c r="I37" s="5">
        <f t="shared" ref="I37:I56" si="17">G37+IF(A37&lt;startage,1,0)*(H37*(1-initialunempprob))+IF(A37&gt;=startage,1,0)*(H37*(1-unempprob))</f>
        <v>210560.49649291573</v>
      </c>
      <c r="J37" s="26">
        <f t="shared" si="5"/>
        <v>0.26344064597774375</v>
      </c>
      <c r="L37" s="22">
        <f t="shared" ref="L37:L56" si="18">(sincome+sbenefits)*(1-sunemp)*B37/expnorm</f>
        <v>387736.36532899999</v>
      </c>
      <c r="M37" s="5">
        <f>scrimecost*Meta!O34</f>
        <v>946.827</v>
      </c>
      <c r="N37" s="5">
        <f>L37-Grade12!L37</f>
        <v>14716.051471194311</v>
      </c>
      <c r="O37" s="5">
        <f>Grade12!M37-M37</f>
        <v>7.4480000000000928</v>
      </c>
      <c r="P37" s="22">
        <f t="shared" si="12"/>
        <v>434.79807420533717</v>
      </c>
      <c r="Q37" s="22"/>
      <c r="R37" s="22"/>
      <c r="S37" s="22">
        <f t="shared" si="6"/>
        <v>10578.411575529582</v>
      </c>
      <c r="T37" s="22">
        <f t="shared" si="7"/>
        <v>3475.1618966065371</v>
      </c>
    </row>
    <row r="38" spans="1:20" x14ac:dyDescent="0.2">
      <c r="A38" s="5">
        <v>47</v>
      </c>
      <c r="B38" s="1">
        <f t="shared" si="13"/>
        <v>1.9964950187572048</v>
      </c>
      <c r="C38" s="5">
        <f t="shared" si="14"/>
        <v>211915.26091348162</v>
      </c>
      <c r="D38" s="5">
        <f t="shared" si="15"/>
        <v>204062.65047694233</v>
      </c>
      <c r="E38" s="5">
        <f t="shared" si="1"/>
        <v>194562.65047694233</v>
      </c>
      <c r="F38" s="5">
        <f t="shared" si="2"/>
        <v>78139.448137000858</v>
      </c>
      <c r="G38" s="5">
        <f t="shared" si="3"/>
        <v>125923.20233994148</v>
      </c>
      <c r="H38" s="22">
        <f t="shared" si="16"/>
        <v>93310.917463851176</v>
      </c>
      <c r="I38" s="5">
        <f t="shared" si="17"/>
        <v>215501.6831052386</v>
      </c>
      <c r="J38" s="26">
        <f t="shared" si="5"/>
        <v>0.26454237610059134</v>
      </c>
      <c r="L38" s="22">
        <f t="shared" si="18"/>
        <v>397429.77446222497</v>
      </c>
      <c r="M38" s="5">
        <f>scrimecost*Meta!O35</f>
        <v>946.827</v>
      </c>
      <c r="N38" s="5">
        <f>L38-Grade12!L38</f>
        <v>15083.952757974097</v>
      </c>
      <c r="O38" s="5">
        <f>Grade12!M38-M38</f>
        <v>7.4480000000000928</v>
      </c>
      <c r="P38" s="22">
        <f t="shared" si="12"/>
        <v>446.76406747743687</v>
      </c>
      <c r="Q38" s="22"/>
      <c r="R38" s="22"/>
      <c r="S38" s="22">
        <f t="shared" si="6"/>
        <v>10843.693451717294</v>
      </c>
      <c r="T38" s="22">
        <f t="shared" si="7"/>
        <v>3423.4651050378861</v>
      </c>
    </row>
    <row r="39" spans="1:20" x14ac:dyDescent="0.2">
      <c r="A39" s="5">
        <v>48</v>
      </c>
      <c r="B39" s="1">
        <f t="shared" si="13"/>
        <v>2.0464073942261352</v>
      </c>
      <c r="C39" s="5">
        <f t="shared" si="14"/>
        <v>217213.14243631868</v>
      </c>
      <c r="D39" s="5">
        <f t="shared" si="15"/>
        <v>209148.61673886594</v>
      </c>
      <c r="E39" s="5">
        <f t="shared" si="1"/>
        <v>199648.61673886594</v>
      </c>
      <c r="F39" s="5">
        <f t="shared" si="2"/>
        <v>80400.160140425913</v>
      </c>
      <c r="G39" s="5">
        <f t="shared" si="3"/>
        <v>128748.45659844003</v>
      </c>
      <c r="H39" s="22">
        <f t="shared" si="16"/>
        <v>95643.690400447464</v>
      </c>
      <c r="I39" s="5">
        <f t="shared" si="17"/>
        <v>220566.3993828696</v>
      </c>
      <c r="J39" s="26">
        <f t="shared" si="5"/>
        <v>0.26561723475702825</v>
      </c>
      <c r="L39" s="22">
        <f t="shared" si="18"/>
        <v>407365.51882378064</v>
      </c>
      <c r="M39" s="5">
        <f>scrimecost*Meta!O36</f>
        <v>946.827</v>
      </c>
      <c r="N39" s="5">
        <f>L39-Grade12!L39</f>
        <v>15461.051576923579</v>
      </c>
      <c r="O39" s="5">
        <f>Grade12!M39-M39</f>
        <v>7.4480000000000928</v>
      </c>
      <c r="P39" s="22">
        <f t="shared" si="12"/>
        <v>459.02921058133944</v>
      </c>
      <c r="Q39" s="22"/>
      <c r="R39" s="22"/>
      <c r="S39" s="22">
        <f t="shared" si="6"/>
        <v>11115.607374809835</v>
      </c>
      <c r="T39" s="22">
        <f t="shared" si="7"/>
        <v>3372.5311079542689</v>
      </c>
    </row>
    <row r="40" spans="1:20" x14ac:dyDescent="0.2">
      <c r="A40" s="5">
        <v>49</v>
      </c>
      <c r="B40" s="1">
        <f t="shared" si="13"/>
        <v>2.097567579081788</v>
      </c>
      <c r="C40" s="5">
        <f t="shared" si="14"/>
        <v>222643.4709972266</v>
      </c>
      <c r="D40" s="5">
        <f t="shared" si="15"/>
        <v>214361.73215733754</v>
      </c>
      <c r="E40" s="5">
        <f t="shared" si="1"/>
        <v>204861.73215733754</v>
      </c>
      <c r="F40" s="5">
        <f t="shared" si="2"/>
        <v>82717.38994393652</v>
      </c>
      <c r="G40" s="5">
        <f t="shared" si="3"/>
        <v>131644.34221340102</v>
      </c>
      <c r="H40" s="22">
        <f t="shared" si="16"/>
        <v>98034.78266045863</v>
      </c>
      <c r="I40" s="5">
        <f t="shared" si="17"/>
        <v>225757.73356744129</v>
      </c>
      <c r="J40" s="26">
        <f t="shared" si="5"/>
        <v>0.26666587734867381</v>
      </c>
      <c r="L40" s="22">
        <f t="shared" si="18"/>
        <v>417549.65679437504</v>
      </c>
      <c r="M40" s="5">
        <f>scrimecost*Meta!O37</f>
        <v>946.827</v>
      </c>
      <c r="N40" s="5">
        <f>L40-Grade12!L40</f>
        <v>15847.577866346401</v>
      </c>
      <c r="O40" s="5">
        <f>Grade12!M40-M40</f>
        <v>7.4480000000000928</v>
      </c>
      <c r="P40" s="22">
        <f t="shared" si="12"/>
        <v>471.60098226283907</v>
      </c>
      <c r="Q40" s="22"/>
      <c r="R40" s="22"/>
      <c r="S40" s="22">
        <f t="shared" si="6"/>
        <v>11394.319145979418</v>
      </c>
      <c r="T40" s="22">
        <f t="shared" si="7"/>
        <v>3322.3488950712726</v>
      </c>
    </row>
    <row r="41" spans="1:20" x14ac:dyDescent="0.2">
      <c r="A41" s="5">
        <v>50</v>
      </c>
      <c r="B41" s="1">
        <f t="shared" si="13"/>
        <v>2.1500067685588333</v>
      </c>
      <c r="C41" s="5">
        <f t="shared" si="14"/>
        <v>228209.55777215734</v>
      </c>
      <c r="D41" s="5">
        <f t="shared" si="15"/>
        <v>219705.17546127102</v>
      </c>
      <c r="E41" s="5">
        <f t="shared" si="1"/>
        <v>210205.17546127102</v>
      </c>
      <c r="F41" s="5">
        <f t="shared" si="2"/>
        <v>85092.550492534967</v>
      </c>
      <c r="G41" s="5">
        <f t="shared" si="3"/>
        <v>134612.62496873605</v>
      </c>
      <c r="H41" s="22">
        <f t="shared" si="16"/>
        <v>100485.65222697012</v>
      </c>
      <c r="I41" s="5">
        <f t="shared" si="17"/>
        <v>231078.85110662738</v>
      </c>
      <c r="J41" s="26">
        <f t="shared" si="5"/>
        <v>0.26768894329174286</v>
      </c>
      <c r="L41" s="22">
        <f t="shared" si="18"/>
        <v>427988.39821423456</v>
      </c>
      <c r="M41" s="5">
        <f>scrimecost*Meta!O38</f>
        <v>632.57399999999996</v>
      </c>
      <c r="N41" s="5">
        <f>L41-Grade12!L41</f>
        <v>16243.767313005344</v>
      </c>
      <c r="O41" s="5">
        <f>Grade12!M41-M41</f>
        <v>4.9759999999999991</v>
      </c>
      <c r="P41" s="22">
        <f t="shared" si="12"/>
        <v>484.48704823637678</v>
      </c>
      <c r="Q41" s="22"/>
      <c r="R41" s="22"/>
      <c r="S41" s="22">
        <f t="shared" ref="S41:S69" si="19">IF(A41&lt;startage,1,0)*(N41-Q41-R41)+IF(A41&gt;=startage,1,0)*completionprob*(N41*spart+O41+P41)</f>
        <v>11677.766495428621</v>
      </c>
      <c r="T41" s="22">
        <f t="shared" ref="T41:T69" si="20">S41/sreturn^(A41-startage+1)</f>
        <v>3272.2821055696804</v>
      </c>
    </row>
    <row r="42" spans="1:20" x14ac:dyDescent="0.2">
      <c r="A42" s="5">
        <v>51</v>
      </c>
      <c r="B42" s="1">
        <f t="shared" si="13"/>
        <v>2.2037569377728037</v>
      </c>
      <c r="C42" s="5">
        <f t="shared" si="14"/>
        <v>233914.79671646122</v>
      </c>
      <c r="D42" s="5">
        <f t="shared" si="15"/>
        <v>225182.20484780276</v>
      </c>
      <c r="E42" s="5">
        <f t="shared" si="1"/>
        <v>215682.20484780276</v>
      </c>
      <c r="F42" s="5">
        <f t="shared" si="2"/>
        <v>87527.090054848319</v>
      </c>
      <c r="G42" s="5">
        <f t="shared" si="3"/>
        <v>137655.11479295444</v>
      </c>
      <c r="H42" s="22">
        <f t="shared" si="16"/>
        <v>102997.79353264435</v>
      </c>
      <c r="I42" s="5">
        <f t="shared" si="17"/>
        <v>236532.99658429303</v>
      </c>
      <c r="J42" s="26">
        <f t="shared" si="5"/>
        <v>0.26868705640693197</v>
      </c>
      <c r="L42" s="22">
        <f t="shared" si="18"/>
        <v>438688.1081695903</v>
      </c>
      <c r="M42" s="5">
        <f>scrimecost*Meta!O39</f>
        <v>632.57399999999996</v>
      </c>
      <c r="N42" s="5">
        <f>L42-Grade12!L42</f>
        <v>16649.861495830351</v>
      </c>
      <c r="O42" s="5">
        <f>Grade12!M42-M42</f>
        <v>4.9759999999999991</v>
      </c>
      <c r="P42" s="22">
        <f t="shared" si="12"/>
        <v>497.69526585925234</v>
      </c>
      <c r="Q42" s="22"/>
      <c r="R42" s="22"/>
      <c r="S42" s="22">
        <f t="shared" si="19"/>
        <v>11970.588050013768</v>
      </c>
      <c r="T42" s="22">
        <f t="shared" si="20"/>
        <v>3223.5954052912471</v>
      </c>
    </row>
    <row r="43" spans="1:20" x14ac:dyDescent="0.2">
      <c r="A43" s="5">
        <v>52</v>
      </c>
      <c r="B43" s="1">
        <f t="shared" si="13"/>
        <v>2.2588508612171236</v>
      </c>
      <c r="C43" s="5">
        <f t="shared" si="14"/>
        <v>239762.66663437273</v>
      </c>
      <c r="D43" s="5">
        <f t="shared" si="15"/>
        <v>230796.15996899782</v>
      </c>
      <c r="E43" s="5">
        <f t="shared" si="1"/>
        <v>221296.15996899782</v>
      </c>
      <c r="F43" s="5">
        <f t="shared" si="2"/>
        <v>90022.493106219525</v>
      </c>
      <c r="G43" s="5">
        <f t="shared" si="3"/>
        <v>140773.66686277831</v>
      </c>
      <c r="H43" s="22">
        <f t="shared" si="16"/>
        <v>105572.73837096045</v>
      </c>
      <c r="I43" s="5">
        <f t="shared" si="17"/>
        <v>242123.49569890034</v>
      </c>
      <c r="J43" s="26">
        <f t="shared" si="5"/>
        <v>0.26966082529979957</v>
      </c>
      <c r="L43" s="22">
        <f t="shared" si="18"/>
        <v>449655.31087382999</v>
      </c>
      <c r="M43" s="5">
        <f>scrimecost*Meta!O40</f>
        <v>632.57399999999996</v>
      </c>
      <c r="N43" s="5">
        <f>L43-Grade12!L43</f>
        <v>17066.108033226046</v>
      </c>
      <c r="O43" s="5">
        <f>Grade12!M43-M43</f>
        <v>4.9759999999999991</v>
      </c>
      <c r="P43" s="22">
        <f t="shared" si="12"/>
        <v>511.2336889227002</v>
      </c>
      <c r="Q43" s="22"/>
      <c r="R43" s="22"/>
      <c r="S43" s="22">
        <f t="shared" si="19"/>
        <v>12270.73014346359</v>
      </c>
      <c r="T43" s="22">
        <f t="shared" si="20"/>
        <v>3175.627397120596</v>
      </c>
    </row>
    <row r="44" spans="1:20" x14ac:dyDescent="0.2">
      <c r="A44" s="5">
        <v>53</v>
      </c>
      <c r="B44" s="1">
        <f t="shared" si="13"/>
        <v>2.3153221327475517</v>
      </c>
      <c r="C44" s="5">
        <f t="shared" si="14"/>
        <v>245756.73330023207</v>
      </c>
      <c r="D44" s="5">
        <f t="shared" si="15"/>
        <v>236550.46396822279</v>
      </c>
      <c r="E44" s="5">
        <f t="shared" si="1"/>
        <v>227050.46396822279</v>
      </c>
      <c r="F44" s="5">
        <f t="shared" si="2"/>
        <v>92580.281233875037</v>
      </c>
      <c r="G44" s="5">
        <f t="shared" si="3"/>
        <v>143970.18273434776</v>
      </c>
      <c r="H44" s="22">
        <f t="shared" si="16"/>
        <v>108212.05683023446</v>
      </c>
      <c r="I44" s="5">
        <f t="shared" si="17"/>
        <v>247853.75729137284</v>
      </c>
      <c r="J44" s="26">
        <f t="shared" si="5"/>
        <v>0.2706108437318655</v>
      </c>
      <c r="L44" s="22">
        <f t="shared" si="18"/>
        <v>460896.69364567578</v>
      </c>
      <c r="M44" s="5">
        <f>scrimecost*Meta!O41</f>
        <v>632.57399999999996</v>
      </c>
      <c r="N44" s="5">
        <f>L44-Grade12!L44</f>
        <v>17492.760734056763</v>
      </c>
      <c r="O44" s="5">
        <f>Grade12!M44-M44</f>
        <v>4.9759999999999991</v>
      </c>
      <c r="P44" s="22">
        <f t="shared" si="12"/>
        <v>525.11057256273432</v>
      </c>
      <c r="Q44" s="22"/>
      <c r="R44" s="22"/>
      <c r="S44" s="22">
        <f t="shared" si="19"/>
        <v>12578.375789249745</v>
      </c>
      <c r="T44" s="22">
        <f t="shared" si="20"/>
        <v>3128.3676950314834</v>
      </c>
    </row>
    <row r="45" spans="1:20" x14ac:dyDescent="0.2">
      <c r="A45" s="5">
        <v>54</v>
      </c>
      <c r="B45" s="1">
        <f t="shared" si="13"/>
        <v>2.3732051860662402</v>
      </c>
      <c r="C45" s="5">
        <f t="shared" si="14"/>
        <v>251900.65163273783</v>
      </c>
      <c r="D45" s="5">
        <f t="shared" si="15"/>
        <v>242448.6255674283</v>
      </c>
      <c r="E45" s="5">
        <f t="shared" si="1"/>
        <v>232948.6255674283</v>
      </c>
      <c r="F45" s="5">
        <f t="shared" si="2"/>
        <v>95202.01406472188</v>
      </c>
      <c r="G45" s="5">
        <f t="shared" si="3"/>
        <v>147246.61150270642</v>
      </c>
      <c r="H45" s="22">
        <f t="shared" si="16"/>
        <v>110917.35825099032</v>
      </c>
      <c r="I45" s="5">
        <f t="shared" si="17"/>
        <v>253727.27542365712</v>
      </c>
      <c r="J45" s="26">
        <f t="shared" si="5"/>
        <v>0.27153769098266139</v>
      </c>
      <c r="L45" s="22">
        <f t="shared" si="18"/>
        <v>472419.11098681769</v>
      </c>
      <c r="M45" s="5">
        <f>scrimecost*Meta!O42</f>
        <v>632.57399999999996</v>
      </c>
      <c r="N45" s="5">
        <f>L45-Grade12!L45</f>
        <v>17930.079752408201</v>
      </c>
      <c r="O45" s="5">
        <f>Grade12!M45-M45</f>
        <v>4.9759999999999991</v>
      </c>
      <c r="P45" s="22">
        <f t="shared" si="12"/>
        <v>539.33437829376896</v>
      </c>
      <c r="Q45" s="22"/>
      <c r="R45" s="22"/>
      <c r="S45" s="22">
        <f t="shared" si="19"/>
        <v>12893.712576180522</v>
      </c>
      <c r="T45" s="22">
        <f t="shared" si="20"/>
        <v>3081.8060542860958</v>
      </c>
    </row>
    <row r="46" spans="1:20" x14ac:dyDescent="0.2">
      <c r="A46" s="5">
        <v>55</v>
      </c>
      <c r="B46" s="1">
        <f t="shared" si="13"/>
        <v>2.4325353157178964</v>
      </c>
      <c r="C46" s="5">
        <f t="shared" si="14"/>
        <v>258198.16792355629</v>
      </c>
      <c r="D46" s="5">
        <f t="shared" si="15"/>
        <v>248494.24120661404</v>
      </c>
      <c r="E46" s="5">
        <f t="shared" si="1"/>
        <v>238994.24120661404</v>
      </c>
      <c r="F46" s="5">
        <f t="shared" si="2"/>
        <v>97889.290216339941</v>
      </c>
      <c r="G46" s="5">
        <f t="shared" si="3"/>
        <v>150604.95099027408</v>
      </c>
      <c r="H46" s="22">
        <f t="shared" si="16"/>
        <v>113690.29220726508</v>
      </c>
      <c r="I46" s="5">
        <f t="shared" si="17"/>
        <v>259747.63150924857</v>
      </c>
      <c r="J46" s="26">
        <f t="shared" si="5"/>
        <v>0.27244193220295015</v>
      </c>
      <c r="L46" s="22">
        <f t="shared" si="18"/>
        <v>484229.58876148809</v>
      </c>
      <c r="M46" s="5">
        <f>scrimecost*Meta!O43</f>
        <v>350.86499999999995</v>
      </c>
      <c r="N46" s="5">
        <f>L46-Grade12!L46</f>
        <v>18378.331746218435</v>
      </c>
      <c r="O46" s="5">
        <f>Grade12!M46-M46</f>
        <v>2.7600000000000477</v>
      </c>
      <c r="P46" s="22">
        <f t="shared" si="12"/>
        <v>553.9137791680796</v>
      </c>
      <c r="Q46" s="22"/>
      <c r="R46" s="22"/>
      <c r="S46" s="22">
        <f t="shared" si="19"/>
        <v>13214.931734784575</v>
      </c>
      <c r="T46" s="22">
        <f t="shared" si="20"/>
        <v>3035.4727287019227</v>
      </c>
    </row>
    <row r="47" spans="1:20" x14ac:dyDescent="0.2">
      <c r="A47" s="5">
        <v>56</v>
      </c>
      <c r="B47" s="1">
        <f t="shared" si="13"/>
        <v>2.4933486986108435</v>
      </c>
      <c r="C47" s="5">
        <f t="shared" si="14"/>
        <v>264653.1221216452</v>
      </c>
      <c r="D47" s="5">
        <f t="shared" si="15"/>
        <v>254690.99723677937</v>
      </c>
      <c r="E47" s="5">
        <f t="shared" si="1"/>
        <v>245190.99723677937</v>
      </c>
      <c r="F47" s="5">
        <f t="shared" si="2"/>
        <v>100643.74827174842</v>
      </c>
      <c r="G47" s="5">
        <f t="shared" si="3"/>
        <v>154047.24896503094</v>
      </c>
      <c r="H47" s="22">
        <f t="shared" si="16"/>
        <v>116532.5495124467</v>
      </c>
      <c r="I47" s="5">
        <f t="shared" si="17"/>
        <v>265918.49649697979</v>
      </c>
      <c r="J47" s="26">
        <f t="shared" si="5"/>
        <v>0.27332411875932938</v>
      </c>
      <c r="L47" s="22">
        <f t="shared" si="18"/>
        <v>496335.32848052529</v>
      </c>
      <c r="M47" s="5">
        <f>scrimecost*Meta!O44</f>
        <v>350.86499999999995</v>
      </c>
      <c r="N47" s="5">
        <f>L47-Grade12!L47</f>
        <v>18837.790039873973</v>
      </c>
      <c r="O47" s="5">
        <f>Grade12!M47-M47</f>
        <v>2.7600000000000477</v>
      </c>
      <c r="P47" s="22">
        <f t="shared" si="12"/>
        <v>568.85766506424795</v>
      </c>
      <c r="Q47" s="22"/>
      <c r="R47" s="22"/>
      <c r="S47" s="22">
        <f t="shared" si="19"/>
        <v>13546.232446553764</v>
      </c>
      <c r="T47" s="22">
        <f t="shared" si="20"/>
        <v>2990.2949488692116</v>
      </c>
    </row>
    <row r="48" spans="1:20" x14ac:dyDescent="0.2">
      <c r="A48" s="5">
        <v>57</v>
      </c>
      <c r="B48" s="1">
        <f t="shared" si="13"/>
        <v>2.555682416076114</v>
      </c>
      <c r="C48" s="5">
        <f t="shared" si="14"/>
        <v>271269.45017468627</v>
      </c>
      <c r="D48" s="5">
        <f t="shared" si="15"/>
        <v>261042.67216769879</v>
      </c>
      <c r="E48" s="5">
        <f t="shared" si="1"/>
        <v>251542.67216769879</v>
      </c>
      <c r="F48" s="5">
        <f t="shared" si="2"/>
        <v>103467.0677785421</v>
      </c>
      <c r="G48" s="5">
        <f t="shared" si="3"/>
        <v>157575.60438915668</v>
      </c>
      <c r="H48" s="22">
        <f t="shared" si="16"/>
        <v>119445.86325025783</v>
      </c>
      <c r="I48" s="5">
        <f t="shared" si="17"/>
        <v>272243.63310940418</v>
      </c>
      <c r="J48" s="26">
        <f t="shared" si="5"/>
        <v>0.27418478857043116</v>
      </c>
      <c r="L48" s="22">
        <f t="shared" si="18"/>
        <v>508743.71169253823</v>
      </c>
      <c r="M48" s="5">
        <f>scrimecost*Meta!O45</f>
        <v>350.86499999999995</v>
      </c>
      <c r="N48" s="5">
        <f>L48-Grade12!L48</f>
        <v>19308.734790870571</v>
      </c>
      <c r="O48" s="5">
        <f>Grade12!M48-M48</f>
        <v>2.7600000000000477</v>
      </c>
      <c r="P48" s="22">
        <f t="shared" si="12"/>
        <v>584.17514810782052</v>
      </c>
      <c r="Q48" s="22"/>
      <c r="R48" s="22"/>
      <c r="S48" s="22">
        <f t="shared" si="19"/>
        <v>13885.815676116956</v>
      </c>
      <c r="T48" s="22">
        <f t="shared" si="20"/>
        <v>2945.7846299732705</v>
      </c>
    </row>
    <row r="49" spans="1:20" x14ac:dyDescent="0.2">
      <c r="A49" s="5">
        <v>58</v>
      </c>
      <c r="B49" s="1">
        <f t="shared" si="13"/>
        <v>2.6195744764780171</v>
      </c>
      <c r="C49" s="5">
        <f t="shared" si="14"/>
        <v>278051.18642905343</v>
      </c>
      <c r="D49" s="5">
        <f t="shared" si="15"/>
        <v>267553.13897189125</v>
      </c>
      <c r="E49" s="5">
        <f t="shared" si="1"/>
        <v>258053.13897189125</v>
      </c>
      <c r="F49" s="5">
        <f t="shared" si="2"/>
        <v>106360.97027300566</v>
      </c>
      <c r="G49" s="5">
        <f t="shared" si="3"/>
        <v>161192.16869888559</v>
      </c>
      <c r="H49" s="22">
        <f t="shared" si="16"/>
        <v>122432.0098315143</v>
      </c>
      <c r="I49" s="5">
        <f t="shared" si="17"/>
        <v>278726.89813713933</v>
      </c>
      <c r="J49" s="26">
        <f t="shared" si="5"/>
        <v>0.27502446643492057</v>
      </c>
      <c r="L49" s="22">
        <f t="shared" si="18"/>
        <v>521462.30448485177</v>
      </c>
      <c r="M49" s="5">
        <f>scrimecost*Meta!O46</f>
        <v>350.86499999999995</v>
      </c>
      <c r="N49" s="5">
        <f>L49-Grade12!L49</f>
        <v>19791.453160642472</v>
      </c>
      <c r="O49" s="5">
        <f>Grade12!M49-M49</f>
        <v>2.7600000000000477</v>
      </c>
      <c r="P49" s="22">
        <f t="shared" si="12"/>
        <v>599.87556822748229</v>
      </c>
      <c r="Q49" s="22"/>
      <c r="R49" s="22"/>
      <c r="S49" s="22">
        <f t="shared" si="19"/>
        <v>14233.888486419493</v>
      </c>
      <c r="T49" s="22">
        <f t="shared" si="20"/>
        <v>2901.9321040009813</v>
      </c>
    </row>
    <row r="50" spans="1:20" x14ac:dyDescent="0.2">
      <c r="A50" s="5">
        <v>59</v>
      </c>
      <c r="B50" s="1">
        <f t="shared" si="13"/>
        <v>2.6850638383899672</v>
      </c>
      <c r="C50" s="5">
        <f t="shared" si="14"/>
        <v>285002.46608977969</v>
      </c>
      <c r="D50" s="5">
        <f t="shared" si="15"/>
        <v>274226.36744618847</v>
      </c>
      <c r="E50" s="5">
        <f t="shared" si="1"/>
        <v>264726.36744618847</v>
      </c>
      <c r="F50" s="5">
        <f t="shared" si="2"/>
        <v>109327.22032983077</v>
      </c>
      <c r="G50" s="5">
        <f t="shared" si="3"/>
        <v>164899.14711635769</v>
      </c>
      <c r="H50" s="22">
        <f t="shared" si="16"/>
        <v>125492.81007730213</v>
      </c>
      <c r="I50" s="5">
        <f t="shared" si="17"/>
        <v>285372.24479056773</v>
      </c>
      <c r="J50" s="26">
        <f t="shared" si="5"/>
        <v>0.27584366435149577</v>
      </c>
      <c r="L50" s="22">
        <f t="shared" si="18"/>
        <v>534498.862096973</v>
      </c>
      <c r="M50" s="5">
        <f>scrimecost*Meta!O47</f>
        <v>350.86499999999995</v>
      </c>
      <c r="N50" s="5">
        <f>L50-Grade12!L50</f>
        <v>20286.239489658503</v>
      </c>
      <c r="O50" s="5">
        <f>Grade12!M50-M50</f>
        <v>2.7600000000000477</v>
      </c>
      <c r="P50" s="22">
        <f t="shared" si="12"/>
        <v>615.96849885013592</v>
      </c>
      <c r="Q50" s="22"/>
      <c r="R50" s="22"/>
      <c r="S50" s="22">
        <f t="shared" si="19"/>
        <v>14590.663116979482</v>
      </c>
      <c r="T50" s="22">
        <f t="shared" si="20"/>
        <v>2858.7278353608308</v>
      </c>
    </row>
    <row r="51" spans="1:20" x14ac:dyDescent="0.2">
      <c r="A51" s="5">
        <v>60</v>
      </c>
      <c r="B51" s="1">
        <f t="shared" si="13"/>
        <v>2.7521904343497163</v>
      </c>
      <c r="C51" s="5">
        <f t="shared" si="14"/>
        <v>292127.52774202422</v>
      </c>
      <c r="D51" s="5">
        <f t="shared" si="15"/>
        <v>281066.42663234327</v>
      </c>
      <c r="E51" s="5">
        <f t="shared" si="1"/>
        <v>271566.42663234327</v>
      </c>
      <c r="F51" s="5">
        <f t="shared" si="2"/>
        <v>112367.62663807657</v>
      </c>
      <c r="G51" s="5">
        <f t="shared" si="3"/>
        <v>168698.79999426671</v>
      </c>
      <c r="H51" s="22">
        <f t="shared" si="16"/>
        <v>128630.13032923467</v>
      </c>
      <c r="I51" s="5">
        <f t="shared" si="17"/>
        <v>292183.72511033202</v>
      </c>
      <c r="J51" s="26">
        <f t="shared" si="5"/>
        <v>0.27664288183108121</v>
      </c>
      <c r="L51" s="22">
        <f t="shared" si="18"/>
        <v>547861.33364939736</v>
      </c>
      <c r="M51" s="5">
        <f>scrimecost*Meta!O48</f>
        <v>185.09399999999999</v>
      </c>
      <c r="N51" s="5">
        <f>L51-Grade12!L51</f>
        <v>20793.395476900041</v>
      </c>
      <c r="O51" s="5">
        <f>Grade12!M51-M51</f>
        <v>1.4559999999999889</v>
      </c>
      <c r="P51" s="22">
        <f t="shared" si="12"/>
        <v>632.46375273835577</v>
      </c>
      <c r="Q51" s="22"/>
      <c r="R51" s="22"/>
      <c r="S51" s="22">
        <f t="shared" si="19"/>
        <v>14955.17960130354</v>
      </c>
      <c r="T51" s="22">
        <f t="shared" si="20"/>
        <v>2815.9407032843433</v>
      </c>
    </row>
    <row r="52" spans="1:20" x14ac:dyDescent="0.2">
      <c r="A52" s="5">
        <v>61</v>
      </c>
      <c r="B52" s="1">
        <f t="shared" si="13"/>
        <v>2.8209951952084591</v>
      </c>
      <c r="C52" s="5">
        <f t="shared" si="14"/>
        <v>299430.71593557479</v>
      </c>
      <c r="D52" s="5">
        <f t="shared" si="15"/>
        <v>288077.48729815177</v>
      </c>
      <c r="E52" s="5">
        <f t="shared" si="1"/>
        <v>278577.48729815177</v>
      </c>
      <c r="F52" s="5">
        <f t="shared" si="2"/>
        <v>115484.04310402846</v>
      </c>
      <c r="G52" s="5">
        <f t="shared" si="3"/>
        <v>172593.44419412332</v>
      </c>
      <c r="H52" s="22">
        <f t="shared" si="16"/>
        <v>131845.88358746553</v>
      </c>
      <c r="I52" s="5">
        <f t="shared" si="17"/>
        <v>299165.49243809027</v>
      </c>
      <c r="J52" s="26">
        <f t="shared" si="5"/>
        <v>0.27742260620140852</v>
      </c>
      <c r="L52" s="22">
        <f t="shared" si="18"/>
        <v>561557.86699063226</v>
      </c>
      <c r="M52" s="5">
        <f>scrimecost*Meta!O49</f>
        <v>185.09399999999999</v>
      </c>
      <c r="N52" s="5">
        <f>L52-Grade12!L52</f>
        <v>21313.230363822426</v>
      </c>
      <c r="O52" s="5">
        <f>Grade12!M52-M52</f>
        <v>1.4559999999999889</v>
      </c>
      <c r="P52" s="22">
        <f t="shared" si="12"/>
        <v>649.37138797378111</v>
      </c>
      <c r="Q52" s="22"/>
      <c r="R52" s="22"/>
      <c r="S52" s="22">
        <f t="shared" si="19"/>
        <v>15330.01594753557</v>
      </c>
      <c r="T52" s="22">
        <f t="shared" si="20"/>
        <v>2774.0135063645744</v>
      </c>
    </row>
    <row r="53" spans="1:20" x14ac:dyDescent="0.2">
      <c r="A53" s="5">
        <v>62</v>
      </c>
      <c r="B53" s="1">
        <f t="shared" si="13"/>
        <v>2.8915200750886707</v>
      </c>
      <c r="C53" s="5">
        <f t="shared" si="14"/>
        <v>306916.48383396422</v>
      </c>
      <c r="D53" s="5">
        <f t="shared" si="15"/>
        <v>295263.82448060566</v>
      </c>
      <c r="E53" s="5">
        <f t="shared" si="1"/>
        <v>285763.82448060566</v>
      </c>
      <c r="F53" s="5">
        <f t="shared" si="2"/>
        <v>118678.36998162922</v>
      </c>
      <c r="G53" s="5">
        <f t="shared" si="3"/>
        <v>176585.45449897644</v>
      </c>
      <c r="H53" s="22">
        <f t="shared" si="16"/>
        <v>135142.03067715219</v>
      </c>
      <c r="I53" s="5">
        <f t="shared" si="17"/>
        <v>306321.80394904251</v>
      </c>
      <c r="J53" s="26">
        <f t="shared" si="5"/>
        <v>0.27818331290416692</v>
      </c>
      <c r="L53" s="22">
        <f t="shared" si="18"/>
        <v>575596.81366539805</v>
      </c>
      <c r="M53" s="5">
        <f>scrimecost*Meta!O50</f>
        <v>185.09399999999999</v>
      </c>
      <c r="N53" s="5">
        <f>L53-Grade12!L53</f>
        <v>21846.061122918152</v>
      </c>
      <c r="O53" s="5">
        <f>Grade12!M53-M53</f>
        <v>1.4559999999999889</v>
      </c>
      <c r="P53" s="22">
        <f t="shared" si="12"/>
        <v>666.70171409009208</v>
      </c>
      <c r="Q53" s="22"/>
      <c r="R53" s="22"/>
      <c r="S53" s="22">
        <f t="shared" si="19"/>
        <v>15714.223202423595</v>
      </c>
      <c r="T53" s="22">
        <f t="shared" si="20"/>
        <v>2732.7064026607168</v>
      </c>
    </row>
    <row r="54" spans="1:20" x14ac:dyDescent="0.2">
      <c r="A54" s="5">
        <v>63</v>
      </c>
      <c r="B54" s="1">
        <f t="shared" si="13"/>
        <v>2.9638080769658868</v>
      </c>
      <c r="C54" s="5">
        <f t="shared" si="14"/>
        <v>314589.39592981321</v>
      </c>
      <c r="D54" s="5">
        <f t="shared" si="15"/>
        <v>302629.82009262068</v>
      </c>
      <c r="E54" s="5">
        <f t="shared" si="1"/>
        <v>293129.82009262068</v>
      </c>
      <c r="F54" s="5">
        <f t="shared" si="2"/>
        <v>121952.55503116989</v>
      </c>
      <c r="G54" s="5">
        <f t="shared" si="3"/>
        <v>180677.26506145077</v>
      </c>
      <c r="H54" s="22">
        <f t="shared" si="16"/>
        <v>138520.58144408095</v>
      </c>
      <c r="I54" s="5">
        <f t="shared" si="17"/>
        <v>313657.02324776852</v>
      </c>
      <c r="J54" s="26">
        <f t="shared" si="5"/>
        <v>0.27892546578490668</v>
      </c>
      <c r="L54" s="22">
        <f t="shared" si="18"/>
        <v>589986.73400703282</v>
      </c>
      <c r="M54" s="5">
        <f>scrimecost*Meta!O51</f>
        <v>185.09399999999999</v>
      </c>
      <c r="N54" s="5">
        <f>L54-Grade12!L54</f>
        <v>22392.212650990929</v>
      </c>
      <c r="O54" s="5">
        <f>Grade12!M54-M54</f>
        <v>1.4559999999999889</v>
      </c>
      <c r="P54" s="22">
        <f t="shared" si="12"/>
        <v>684.46529835931051</v>
      </c>
      <c r="Q54" s="22"/>
      <c r="R54" s="22"/>
      <c r="S54" s="22">
        <f t="shared" si="19"/>
        <v>16108.035638683583</v>
      </c>
      <c r="T54" s="22">
        <f t="shared" si="20"/>
        <v>2692.0103843675756</v>
      </c>
    </row>
    <row r="55" spans="1:20" x14ac:dyDescent="0.2">
      <c r="A55" s="5">
        <v>64</v>
      </c>
      <c r="B55" s="1">
        <f t="shared" si="13"/>
        <v>3.0379032788900342</v>
      </c>
      <c r="C55" s="5">
        <f t="shared" si="14"/>
        <v>322454.13082805858</v>
      </c>
      <c r="D55" s="5">
        <f t="shared" si="15"/>
        <v>310179.96559493622</v>
      </c>
      <c r="E55" s="5">
        <f t="shared" si="1"/>
        <v>300679.96559493622</v>
      </c>
      <c r="F55" s="5">
        <f t="shared" si="2"/>
        <v>125308.59470694915</v>
      </c>
      <c r="G55" s="5">
        <f t="shared" si="3"/>
        <v>184871.37088798708</v>
      </c>
      <c r="H55" s="22">
        <f t="shared" si="16"/>
        <v>141983.59598018299</v>
      </c>
      <c r="I55" s="5">
        <f t="shared" si="17"/>
        <v>321175.62302896276</v>
      </c>
      <c r="J55" s="26">
        <f t="shared" si="5"/>
        <v>0.2796495173758724</v>
      </c>
      <c r="L55" s="22">
        <f t="shared" si="18"/>
        <v>604736.40235720866</v>
      </c>
      <c r="M55" s="5">
        <f>scrimecost*Meta!O52</f>
        <v>185.09399999999999</v>
      </c>
      <c r="N55" s="5">
        <f>L55-Grade12!L55</f>
        <v>22952.017967265798</v>
      </c>
      <c r="O55" s="5">
        <f>Grade12!M55-M55</f>
        <v>1.4559999999999889</v>
      </c>
      <c r="P55" s="22">
        <f t="shared" si="12"/>
        <v>702.67297223525975</v>
      </c>
      <c r="Q55" s="22"/>
      <c r="R55" s="22"/>
      <c r="S55" s="22">
        <f t="shared" si="19"/>
        <v>16511.69338585026</v>
      </c>
      <c r="T55" s="22">
        <f t="shared" si="20"/>
        <v>2651.916568101135</v>
      </c>
    </row>
    <row r="56" spans="1:20" x14ac:dyDescent="0.2">
      <c r="A56" s="5">
        <v>65</v>
      </c>
      <c r="B56" s="1">
        <f t="shared" si="13"/>
        <v>3.1138508608622844</v>
      </c>
      <c r="C56" s="5">
        <f t="shared" si="14"/>
        <v>330515.48409876</v>
      </c>
      <c r="D56" s="5">
        <f t="shared" si="15"/>
        <v>317918.86473480961</v>
      </c>
      <c r="E56" s="5">
        <f t="shared" si="1"/>
        <v>308418.86473480961</v>
      </c>
      <c r="F56" s="5">
        <f t="shared" si="2"/>
        <v>128748.53537462286</v>
      </c>
      <c r="G56" s="5">
        <f t="shared" si="3"/>
        <v>189170.32936018676</v>
      </c>
      <c r="H56" s="22">
        <f t="shared" si="16"/>
        <v>145533.18587968755</v>
      </c>
      <c r="I56" s="5">
        <f t="shared" si="17"/>
        <v>328882.18780468684</v>
      </c>
      <c r="J56" s="26">
        <f t="shared" si="5"/>
        <v>0.28035590917193653</v>
      </c>
      <c r="L56" s="22">
        <f t="shared" si="18"/>
        <v>619854.81241613883</v>
      </c>
      <c r="M56" s="5">
        <f>scrimecost*Meta!O53</f>
        <v>55.935000000000002</v>
      </c>
      <c r="N56" s="5">
        <f>L56-Grade12!L56</f>
        <v>23525.818416447262</v>
      </c>
      <c r="O56" s="5">
        <f>Grade12!M56-M56</f>
        <v>0.43999999999999773</v>
      </c>
      <c r="P56" s="22">
        <f t="shared" si="12"/>
        <v>721.33583795810773</v>
      </c>
      <c r="Q56" s="22"/>
      <c r="R56" s="22"/>
      <c r="S56" s="22">
        <f t="shared" si="19"/>
        <v>16924.52512869591</v>
      </c>
      <c r="T56" s="22">
        <f t="shared" si="20"/>
        <v>2612.2745867410786</v>
      </c>
    </row>
    <row r="57" spans="1:20" x14ac:dyDescent="0.2">
      <c r="A57" s="5">
        <v>66</v>
      </c>
      <c r="C57" s="5"/>
      <c r="H57" s="21"/>
      <c r="I57" s="5"/>
      <c r="M57" s="5">
        <f>scrimecost*Meta!O54</f>
        <v>55.935000000000002</v>
      </c>
      <c r="N57" s="5">
        <f>L57-Grade12!L57</f>
        <v>0</v>
      </c>
      <c r="O57" s="5">
        <f>Grade12!M57-M57</f>
        <v>0.43999999999999773</v>
      </c>
      <c r="Q57" s="22"/>
      <c r="R57" s="22"/>
      <c r="S57" s="22">
        <f t="shared" si="19"/>
        <v>0.39731999999999795</v>
      </c>
      <c r="T57" s="22">
        <f t="shared" si="20"/>
        <v>5.8935483723857658E-2</v>
      </c>
    </row>
    <row r="58" spans="1:20" x14ac:dyDescent="0.2">
      <c r="A58" s="5">
        <v>67</v>
      </c>
      <c r="C58" s="5"/>
      <c r="H58" s="21"/>
      <c r="I58" s="5"/>
      <c r="M58" s="5">
        <f>scrimecost*Meta!O55</f>
        <v>55.935000000000002</v>
      </c>
      <c r="N58" s="5">
        <f>L58-Grade12!L58</f>
        <v>0</v>
      </c>
      <c r="O58" s="5">
        <f>Grade12!M58-M58</f>
        <v>0.43999999999999773</v>
      </c>
      <c r="Q58" s="22"/>
      <c r="R58" s="22"/>
      <c r="S58" s="22">
        <f t="shared" si="19"/>
        <v>0.39731999999999795</v>
      </c>
      <c r="T58" s="22">
        <f t="shared" si="20"/>
        <v>5.6638395870053274E-2</v>
      </c>
    </row>
    <row r="59" spans="1:20" x14ac:dyDescent="0.2">
      <c r="A59" s="5">
        <v>68</v>
      </c>
      <c r="H59" s="21"/>
      <c r="I59" s="5"/>
      <c r="M59" s="5">
        <f>scrimecost*Meta!O56</f>
        <v>55.935000000000002</v>
      </c>
      <c r="N59" s="5">
        <f>L59-Grade12!L59</f>
        <v>0</v>
      </c>
      <c r="O59" s="5">
        <f>Grade12!M59-M59</f>
        <v>0.43999999999999773</v>
      </c>
      <c r="Q59" s="22"/>
      <c r="R59" s="22"/>
      <c r="S59" s="22">
        <f t="shared" si="19"/>
        <v>0.39731999999999795</v>
      </c>
      <c r="T59" s="22">
        <f t="shared" si="20"/>
        <v>5.4430840031169124E-2</v>
      </c>
    </row>
    <row r="60" spans="1:20" x14ac:dyDescent="0.2">
      <c r="A60" s="5">
        <v>69</v>
      </c>
      <c r="H60" s="21"/>
      <c r="I60" s="5"/>
      <c r="M60" s="5">
        <f>scrimecost*Meta!O57</f>
        <v>55.935000000000002</v>
      </c>
      <c r="N60" s="5">
        <f>L60-Grade12!L60</f>
        <v>0</v>
      </c>
      <c r="O60" s="5">
        <f>Grade12!M60-M60</f>
        <v>0.43999999999999773</v>
      </c>
      <c r="Q60" s="22"/>
      <c r="R60" s="22"/>
      <c r="S60" s="22">
        <f t="shared" si="19"/>
        <v>0.39731999999999795</v>
      </c>
      <c r="T60" s="22">
        <f t="shared" si="20"/>
        <v>5.2309326579378208E-2</v>
      </c>
    </row>
    <row r="61" spans="1:20" x14ac:dyDescent="0.2">
      <c r="A61" s="5">
        <v>70</v>
      </c>
      <c r="H61" s="21"/>
      <c r="I61" s="5"/>
      <c r="M61" s="5">
        <f>scrimecost*Meta!O58</f>
        <v>55.935000000000002</v>
      </c>
      <c r="N61" s="5">
        <f>L61-Grade12!L61</f>
        <v>0</v>
      </c>
      <c r="O61" s="5">
        <f>Grade12!M61-M61</f>
        <v>0.43999999999999773</v>
      </c>
      <c r="Q61" s="22"/>
      <c r="R61" s="22"/>
      <c r="S61" s="22">
        <f t="shared" si="19"/>
        <v>0.39731999999999795</v>
      </c>
      <c r="T61" s="22">
        <f t="shared" si="20"/>
        <v>5.0270501899679604E-2</v>
      </c>
    </row>
    <row r="62" spans="1:20" x14ac:dyDescent="0.2">
      <c r="A62" s="5">
        <v>71</v>
      </c>
      <c r="H62" s="21"/>
      <c r="I62" s="5"/>
      <c r="M62" s="5">
        <f>scrimecost*Meta!O59</f>
        <v>55.935000000000002</v>
      </c>
      <c r="N62" s="5">
        <f>L62-Grade12!L62</f>
        <v>0</v>
      </c>
      <c r="O62" s="5">
        <f>Grade12!M62-M62</f>
        <v>0.43999999999999773</v>
      </c>
      <c r="Q62" s="22"/>
      <c r="R62" s="22"/>
      <c r="S62" s="22">
        <f t="shared" si="19"/>
        <v>0.39731999999999795</v>
      </c>
      <c r="T62" s="22">
        <f t="shared" si="20"/>
        <v>4.8311143088619932E-2</v>
      </c>
    </row>
    <row r="63" spans="1:20" x14ac:dyDescent="0.2">
      <c r="A63" s="5">
        <v>72</v>
      </c>
      <c r="H63" s="21"/>
      <c r="M63" s="5">
        <f>scrimecost*Meta!O60</f>
        <v>55.935000000000002</v>
      </c>
      <c r="N63" s="5">
        <f>L63-Grade12!L63</f>
        <v>0</v>
      </c>
      <c r="O63" s="5">
        <f>Grade12!M63-M63</f>
        <v>0.43999999999999773</v>
      </c>
      <c r="Q63" s="22"/>
      <c r="R63" s="22"/>
      <c r="S63" s="22">
        <f t="shared" si="19"/>
        <v>0.39731999999999795</v>
      </c>
      <c r="T63" s="22">
        <f t="shared" si="20"/>
        <v>4.6428152859639235E-2</v>
      </c>
    </row>
    <row r="64" spans="1:20" x14ac:dyDescent="0.2">
      <c r="A64" s="5">
        <v>73</v>
      </c>
      <c r="H64" s="21"/>
      <c r="M64" s="5">
        <f>scrimecost*Meta!O61</f>
        <v>55.935000000000002</v>
      </c>
      <c r="N64" s="5">
        <f>L64-Grade12!L64</f>
        <v>0</v>
      </c>
      <c r="O64" s="5">
        <f>Grade12!M64-M64</f>
        <v>0.43999999999999773</v>
      </c>
      <c r="Q64" s="22"/>
      <c r="R64" s="22"/>
      <c r="S64" s="22">
        <f t="shared" si="19"/>
        <v>0.39731999999999795</v>
      </c>
      <c r="T64" s="22">
        <f t="shared" si="20"/>
        <v>4.4618554646987628E-2</v>
      </c>
    </row>
    <row r="65" spans="1:20" x14ac:dyDescent="0.2">
      <c r="A65" s="5">
        <v>74</v>
      </c>
      <c r="H65" s="21"/>
      <c r="M65" s="5">
        <f>scrimecost*Meta!O62</f>
        <v>55.935000000000002</v>
      </c>
      <c r="N65" s="5">
        <f>L65-Grade12!L65</f>
        <v>0</v>
      </c>
      <c r="O65" s="5">
        <f>Grade12!M65-M65</f>
        <v>0.43999999999999773</v>
      </c>
      <c r="Q65" s="22"/>
      <c r="R65" s="22"/>
      <c r="S65" s="22">
        <f t="shared" si="19"/>
        <v>0.39731999999999795</v>
      </c>
      <c r="T65" s="22">
        <f t="shared" si="20"/>
        <v>4.2879487900473211E-2</v>
      </c>
    </row>
    <row r="66" spans="1:20" x14ac:dyDescent="0.2">
      <c r="A66" s="5">
        <v>75</v>
      </c>
      <c r="H66" s="21"/>
      <c r="M66" s="5">
        <f>scrimecost*Meta!O63</f>
        <v>55.935000000000002</v>
      </c>
      <c r="N66" s="5">
        <f>L66-Grade12!L66</f>
        <v>0</v>
      </c>
      <c r="O66" s="5">
        <f>Grade12!M66-M66</f>
        <v>0.43999999999999773</v>
      </c>
      <c r="Q66" s="22"/>
      <c r="R66" s="22"/>
      <c r="S66" s="22">
        <f t="shared" si="19"/>
        <v>0.39731999999999795</v>
      </c>
      <c r="T66" s="22">
        <f t="shared" si="20"/>
        <v>4.1208203563603385E-2</v>
      </c>
    </row>
    <row r="67" spans="1:20" x14ac:dyDescent="0.2">
      <c r="A67" s="5">
        <v>76</v>
      </c>
      <c r="H67" s="21"/>
      <c r="M67" s="5">
        <f>scrimecost*Meta!O64</f>
        <v>55.935000000000002</v>
      </c>
      <c r="N67" s="5">
        <f>L67-Grade12!L67</f>
        <v>0</v>
      </c>
      <c r="O67" s="5">
        <f>Grade12!M67-M67</f>
        <v>0.43999999999999773</v>
      </c>
      <c r="Q67" s="22"/>
      <c r="R67" s="22"/>
      <c r="S67" s="22">
        <f t="shared" si="19"/>
        <v>0.39731999999999795</v>
      </c>
      <c r="T67" s="22">
        <f t="shared" si="20"/>
        <v>3.9602059727971595E-2</v>
      </c>
    </row>
    <row r="68" spans="1:20" x14ac:dyDescent="0.2">
      <c r="A68" s="5">
        <v>77</v>
      </c>
      <c r="H68" s="21"/>
      <c r="M68" s="5">
        <f>scrimecost*Meta!O65</f>
        <v>55.935000000000002</v>
      </c>
      <c r="N68" s="5">
        <f>L68-Grade12!L68</f>
        <v>0</v>
      </c>
      <c r="O68" s="5">
        <f>Grade12!M68-M68</f>
        <v>0.43999999999999773</v>
      </c>
      <c r="Q68" s="22"/>
      <c r="R68" s="22"/>
      <c r="S68" s="22">
        <f t="shared" si="19"/>
        <v>0.39731999999999795</v>
      </c>
      <c r="T68" s="22">
        <f t="shared" si="20"/>
        <v>3.8058517457019908E-2</v>
      </c>
    </row>
    <row r="69" spans="1:20" x14ac:dyDescent="0.2">
      <c r="A69" s="5">
        <v>78</v>
      </c>
      <c r="H69" s="21"/>
      <c r="M69" s="5">
        <f>scrimecost*Meta!O66</f>
        <v>55.935000000000002</v>
      </c>
      <c r="N69" s="5">
        <f>L69-Grade12!L69</f>
        <v>0</v>
      </c>
      <c r="O69" s="5">
        <f>Grade12!M69-M69</f>
        <v>0.43999999999999773</v>
      </c>
      <c r="Q69" s="22"/>
      <c r="R69" s="22"/>
      <c r="S69" s="22">
        <f t="shared" si="19"/>
        <v>0.39731999999999795</v>
      </c>
      <c r="T69" s="22">
        <f t="shared" si="20"/>
        <v>3.6575136772576101E-2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4.7534021857531528E-10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O12" sqref="O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Meta!A8+6</f>
        <v>20</v>
      </c>
      <c r="C2" s="7">
        <f>Meta!B8</f>
        <v>207520</v>
      </c>
      <c r="D2" s="7">
        <f>Meta!C8</f>
        <v>90865</v>
      </c>
      <c r="E2" s="1">
        <f>Meta!D8</f>
        <v>3.7999999999999999E-2</v>
      </c>
      <c r="F2" s="1">
        <f>Meta!F8</f>
        <v>0.72299999999999998</v>
      </c>
      <c r="G2" s="1">
        <f>Meta!I8</f>
        <v>1.8381311833585117</v>
      </c>
      <c r="H2" s="1">
        <f>Meta!E8</f>
        <v>0.90300000000000002</v>
      </c>
      <c r="I2" s="13"/>
      <c r="J2" s="1">
        <f>Meta!X7</f>
        <v>0.76600000000000001</v>
      </c>
      <c r="K2" s="1">
        <f>Meta!D7</f>
        <v>0.04</v>
      </c>
      <c r="L2" s="29"/>
      <c r="N2" s="22">
        <f>Meta!T8</f>
        <v>283151</v>
      </c>
      <c r="O2" s="22">
        <f>Meta!U8</f>
        <v>118323</v>
      </c>
      <c r="P2" s="1">
        <f>Meta!V8</f>
        <v>2.8000000000000001E-2</v>
      </c>
      <c r="Q2" s="1">
        <f>Meta!X8</f>
        <v>0.77</v>
      </c>
      <c r="R2" s="22">
        <f>Meta!W8</f>
        <v>1009</v>
      </c>
      <c r="T2" s="12">
        <f>IRR(S5:S69)+1</f>
        <v>1.0414438170796512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B10" s="1">
        <v>1</v>
      </c>
      <c r="C10" s="5">
        <f>0.1*Grade13!C10</f>
        <v>10614.364620122942</v>
      </c>
      <c r="D10" s="5">
        <f t="shared" ref="D10:D36" si="0">IF(A10&lt;startage,1,0)*(C10*(1-initialunempprob))+IF(A10=startage,1,0)*(C10*(1-unempprob))+IF(A10&gt;startage,1,0)*(C10*(1-unempprob)+unempprob*300*52)</f>
        <v>10189.790035318025</v>
      </c>
      <c r="E10" s="5">
        <f t="shared" ref="E10:E56" si="1">IF(D10-9500&gt;0,1,0)*(D10-9500)</f>
        <v>689.79003531802482</v>
      </c>
      <c r="F10" s="5">
        <f t="shared" ref="F10:F56" si="2">IF(E10&lt;=8500,1,0)*(0.1*E10+0.1*E10+0.0765*D10)+IF(AND(E10&gt;8500,E10&lt;=34500),1,0)*(850+0.15*(E10-8500)+0.1*E10+0.0765*D10)+IF(AND(E10&gt;34500,E10&lt;=83600),1,0)*(4750+0.25*(E10-34500)+0.1*E10+0.0765*D10)+IF(AND(E10&gt;83600,E10&lt;=174400,D10&lt;=106800),1,0)*(17025+0.28*(E10-83600)+0.1*E10+0.0765*D10)+IF(AND(E10&gt;83600,E10&lt;=174400,D10&gt;106800),1,0)*(17025+0.28*(E10-83600)+0.1*E10+8170.2+0.0145*(D10-106800))+IF(AND(E10&gt;174400,E10&lt;=379150),1,0)*(42449+0.33*(E10-174400)+0.1*E10+8170.2+0.0145*(D10-106800))+IF(E10&gt;379150,1,0)*(110016.5+0.35*(E10-379150)+0.1*E10+8170.2+0.0145*(D10-106800))</f>
        <v>917.47694476543393</v>
      </c>
      <c r="G10" s="5">
        <f t="shared" ref="G10:G56" si="3">D10-F10</f>
        <v>9272.3130905525904</v>
      </c>
      <c r="H10" s="22">
        <f>0.1*Grade13!H10</f>
        <v>4673.7365526679923</v>
      </c>
      <c r="I10" s="5">
        <f t="shared" ref="I10:I36" si="4">G10+IF(A10&lt;startage,1,0)*(H10*(1-initialunempprob))+IF(A10&gt;=startage,1,0)*(H10*(1-unempprob))</f>
        <v>13759.100181113863</v>
      </c>
      <c r="J10" s="26">
        <f t="shared" ref="J10:J56" si="5">(F10-(IF(A10&gt;startage,1,0)*(unempprob*300*52)))/(IF(A10&lt;startage,1,0)*((C10+H10)*(1-initialunempprob))+IF(A10&gt;=startage,1,0)*((C10+H10)*(1-unempprob)))</f>
        <v>6.2513005375595468E-2</v>
      </c>
      <c r="L10" s="22">
        <f>0.1*Grade13!L10</f>
        <v>19906.374457654318</v>
      </c>
      <c r="M10" s="5">
        <f>scrimecost*Meta!O7</f>
        <v>3554.7070000000003</v>
      </c>
      <c r="N10" s="5">
        <f>L10-Grade13!L10</f>
        <v>-179157.37011888885</v>
      </c>
      <c r="O10" s="5"/>
      <c r="P10" s="22"/>
      <c r="Q10" s="22">
        <f>0.05*feel*Grade13!G10</f>
        <v>915.24312378734862</v>
      </c>
      <c r="R10" s="22">
        <f>coltuition</f>
        <v>8279</v>
      </c>
      <c r="S10" s="22">
        <f t="shared" ref="S10:S41" si="6">IF(A10&lt;startage,1,0)*(N10-Q10-R10)+IF(A10&gt;=startage,1,0)*completionprob*(N10*spart+O10+P10)</f>
        <v>-188351.61324267619</v>
      </c>
      <c r="T10" s="22">
        <f t="shared" ref="T10:T41" si="7">S10/sreturn^(A10-startage+1)</f>
        <v>-188351.61324267619</v>
      </c>
    </row>
    <row r="11" spans="1:20" x14ac:dyDescent="0.2">
      <c r="A11" s="5">
        <v>20</v>
      </c>
      <c r="B11" s="1">
        <f t="shared" ref="B11:B36" si="8">(1+experiencepremium)^(A11-startage)</f>
        <v>1</v>
      </c>
      <c r="C11" s="5">
        <f t="shared" ref="C11:C36" si="9">pretaxincome*B11/expnorm</f>
        <v>112897.27407857429</v>
      </c>
      <c r="D11" s="5">
        <f t="shared" si="0"/>
        <v>108607.17766358846</v>
      </c>
      <c r="E11" s="5">
        <f t="shared" si="1"/>
        <v>99107.17766358846</v>
      </c>
      <c r="F11" s="5">
        <f t="shared" si="2"/>
        <v>39474.131588285643</v>
      </c>
      <c r="G11" s="5">
        <f t="shared" si="3"/>
        <v>69133.046075302816</v>
      </c>
      <c r="H11" s="22">
        <f t="shared" ref="H11:H36" si="10">benefits*B11/expnorm</f>
        <v>49433.359720266257</v>
      </c>
      <c r="I11" s="5">
        <f t="shared" si="4"/>
        <v>116687.93812619895</v>
      </c>
      <c r="J11" s="26">
        <f t="shared" si="5"/>
        <v>0.25277669321658763</v>
      </c>
      <c r="L11" s="22">
        <f t="shared" ref="L11:L36" si="11">(sincome+sbenefits)*(1-sunemp)*B11/expnorm</f>
        <v>212298.62783079094</v>
      </c>
      <c r="M11" s="5">
        <f>scrimecost*Meta!O8</f>
        <v>3404.366</v>
      </c>
      <c r="N11" s="5">
        <f>L11-Grade13!L11</f>
        <v>8258.2896398342273</v>
      </c>
      <c r="O11" s="5">
        <f>Grade13!M11-M11</f>
        <v>26.992000000000189</v>
      </c>
      <c r="P11" s="22">
        <f t="shared" ref="P11:P56" si="12">(spart-initialspart)*(L11*J11+nptrans)</f>
        <v>240.87258046994563</v>
      </c>
      <c r="Q11" s="22"/>
      <c r="R11" s="22"/>
      <c r="S11" s="22">
        <f t="shared" si="6"/>
        <v>5983.9530856374977</v>
      </c>
      <c r="T11" s="22">
        <f t="shared" si="7"/>
        <v>5745.8241985797258</v>
      </c>
    </row>
    <row r="12" spans="1:20" x14ac:dyDescent="0.2">
      <c r="A12" s="5">
        <v>21</v>
      </c>
      <c r="B12" s="1">
        <f t="shared" si="8"/>
        <v>1.0249999999999999</v>
      </c>
      <c r="C12" s="5">
        <f t="shared" si="9"/>
        <v>115719.70593053864</v>
      </c>
      <c r="D12" s="5">
        <f t="shared" si="0"/>
        <v>111915.15710517816</v>
      </c>
      <c r="E12" s="5">
        <f t="shared" si="1"/>
        <v>102415.15710517816</v>
      </c>
      <c r="F12" s="5">
        <f t="shared" si="2"/>
        <v>40779.129477992785</v>
      </c>
      <c r="G12" s="5">
        <f t="shared" si="3"/>
        <v>71136.02762718538</v>
      </c>
      <c r="H12" s="22">
        <f t="shared" si="10"/>
        <v>50669.193713272907</v>
      </c>
      <c r="I12" s="5">
        <f t="shared" si="4"/>
        <v>119879.79197935392</v>
      </c>
      <c r="J12" s="26">
        <f t="shared" si="5"/>
        <v>0.25106080607257891</v>
      </c>
      <c r="L12" s="22">
        <f t="shared" si="11"/>
        <v>217606.0935265607</v>
      </c>
      <c r="M12" s="5">
        <f>scrimecost*Meta!O9</f>
        <v>3091.576</v>
      </c>
      <c r="N12" s="5">
        <f>L12-Grade13!L12</f>
        <v>8464.7468808300619</v>
      </c>
      <c r="O12" s="5">
        <f>Grade13!M12-M12</f>
        <v>24.512000000000171</v>
      </c>
      <c r="P12" s="22">
        <f t="shared" si="12"/>
        <v>244.74544498833353</v>
      </c>
      <c r="Q12" s="22"/>
      <c r="R12" s="22"/>
      <c r="S12" s="22">
        <f t="shared" si="6"/>
        <v>6128.7626265344161</v>
      </c>
      <c r="T12" s="22">
        <f t="shared" si="7"/>
        <v>5650.6851434641658</v>
      </c>
    </row>
    <row r="13" spans="1:20" x14ac:dyDescent="0.2">
      <c r="A13" s="5">
        <v>22</v>
      </c>
      <c r="B13" s="1">
        <f t="shared" si="8"/>
        <v>1.0506249999999999</v>
      </c>
      <c r="C13" s="5">
        <f t="shared" si="9"/>
        <v>118612.69857880211</v>
      </c>
      <c r="D13" s="5">
        <f t="shared" si="0"/>
        <v>114698.21603280763</v>
      </c>
      <c r="E13" s="5">
        <f t="shared" si="1"/>
        <v>105198.21603280763</v>
      </c>
      <c r="F13" s="5">
        <f t="shared" si="2"/>
        <v>41877.046224942605</v>
      </c>
      <c r="G13" s="5">
        <f t="shared" si="3"/>
        <v>72821.169807865022</v>
      </c>
      <c r="H13" s="22">
        <f t="shared" si="10"/>
        <v>51935.923556104732</v>
      </c>
      <c r="I13" s="5">
        <f t="shared" si="4"/>
        <v>122783.52826883778</v>
      </c>
      <c r="J13" s="26">
        <f t="shared" si="5"/>
        <v>0.25162922062130877</v>
      </c>
      <c r="L13" s="22">
        <f t="shared" si="11"/>
        <v>223046.24586472471</v>
      </c>
      <c r="M13" s="5">
        <f>scrimecost*Meta!O10</f>
        <v>2833.2719999999999</v>
      </c>
      <c r="N13" s="5">
        <f>L13-Grade13!L13</f>
        <v>8676.3655528508243</v>
      </c>
      <c r="O13" s="5">
        <f>Grade13!M13-M13</f>
        <v>22.463999999999942</v>
      </c>
      <c r="P13" s="22">
        <f t="shared" si="12"/>
        <v>250.7158120377982</v>
      </c>
      <c r="Q13" s="22"/>
      <c r="R13" s="22"/>
      <c r="S13" s="22">
        <f t="shared" si="6"/>
        <v>6279.4451028228386</v>
      </c>
      <c r="T13" s="22">
        <f t="shared" si="7"/>
        <v>5559.218323416816</v>
      </c>
    </row>
    <row r="14" spans="1:20" x14ac:dyDescent="0.2">
      <c r="A14" s="5">
        <v>23</v>
      </c>
      <c r="B14" s="1">
        <f t="shared" si="8"/>
        <v>1.0768906249999999</v>
      </c>
      <c r="C14" s="5">
        <f t="shared" si="9"/>
        <v>121578.01604327216</v>
      </c>
      <c r="D14" s="5">
        <f t="shared" si="0"/>
        <v>117550.85143362782</v>
      </c>
      <c r="E14" s="5">
        <f t="shared" si="1"/>
        <v>108050.85143362782</v>
      </c>
      <c r="F14" s="5">
        <f t="shared" si="2"/>
        <v>43002.410890566171</v>
      </c>
      <c r="G14" s="5">
        <f t="shared" si="3"/>
        <v>74548.440543061646</v>
      </c>
      <c r="H14" s="22">
        <f t="shared" si="10"/>
        <v>53234.321645007345</v>
      </c>
      <c r="I14" s="5">
        <f t="shared" si="4"/>
        <v>125759.85796555871</v>
      </c>
      <c r="J14" s="26">
        <f t="shared" si="5"/>
        <v>0.25218377140055748</v>
      </c>
      <c r="L14" s="22">
        <f t="shared" si="11"/>
        <v>228622.40201134284</v>
      </c>
      <c r="M14" s="5">
        <f>scrimecost*Meta!O11</f>
        <v>2647.616</v>
      </c>
      <c r="N14" s="5">
        <f>L14-Grade13!L14</f>
        <v>8893.2746916720935</v>
      </c>
      <c r="O14" s="5">
        <f>Grade13!M14-M14</f>
        <v>20.992000000000189</v>
      </c>
      <c r="P14" s="22">
        <f t="shared" si="12"/>
        <v>256.83543826349955</v>
      </c>
      <c r="Q14" s="22"/>
      <c r="R14" s="22"/>
      <c r="S14" s="22">
        <f t="shared" si="6"/>
        <v>6434.4610026184646</v>
      </c>
      <c r="T14" s="22">
        <f t="shared" si="7"/>
        <v>5469.7665273991306</v>
      </c>
    </row>
    <row r="15" spans="1:20" x14ac:dyDescent="0.2">
      <c r="A15" s="5">
        <v>24</v>
      </c>
      <c r="B15" s="1">
        <f t="shared" si="8"/>
        <v>1.1038128906249998</v>
      </c>
      <c r="C15" s="5">
        <f t="shared" si="9"/>
        <v>124617.46644435395</v>
      </c>
      <c r="D15" s="5">
        <f t="shared" si="0"/>
        <v>120474.8027194685</v>
      </c>
      <c r="E15" s="5">
        <f t="shared" si="1"/>
        <v>110974.8027194685</v>
      </c>
      <c r="F15" s="5">
        <f t="shared" si="2"/>
        <v>44155.909672830319</v>
      </c>
      <c r="G15" s="5">
        <f t="shared" si="3"/>
        <v>76318.893046638172</v>
      </c>
      <c r="H15" s="22">
        <f t="shared" si="10"/>
        <v>54565.179686132527</v>
      </c>
      <c r="I15" s="5">
        <f t="shared" si="4"/>
        <v>128810.59590469766</v>
      </c>
      <c r="J15" s="26">
        <f t="shared" si="5"/>
        <v>0.25272479655104396</v>
      </c>
      <c r="L15" s="22">
        <f t="shared" si="11"/>
        <v>234337.96206162637</v>
      </c>
      <c r="M15" s="5">
        <f>scrimecost*Meta!O12</f>
        <v>2529.5630000000001</v>
      </c>
      <c r="N15" s="5">
        <f>L15-Grade13!L15</f>
        <v>9115.6065589638893</v>
      </c>
      <c r="O15" s="5">
        <f>Grade13!M15-M15</f>
        <v>20.05600000000004</v>
      </c>
      <c r="P15" s="22">
        <f t="shared" si="12"/>
        <v>263.10805514484338</v>
      </c>
      <c r="Q15" s="22"/>
      <c r="R15" s="22"/>
      <c r="S15" s="22">
        <f t="shared" si="6"/>
        <v>6593.8695383089762</v>
      </c>
      <c r="T15" s="22">
        <f t="shared" si="7"/>
        <v>5382.2159683517029</v>
      </c>
    </row>
    <row r="16" spans="1:20" x14ac:dyDescent="0.2">
      <c r="A16" s="5">
        <v>25</v>
      </c>
      <c r="B16" s="1">
        <f t="shared" si="8"/>
        <v>1.1314082128906247</v>
      </c>
      <c r="C16" s="5">
        <f t="shared" si="9"/>
        <v>127732.90310546278</v>
      </c>
      <c r="D16" s="5">
        <f t="shared" si="0"/>
        <v>123471.85278745519</v>
      </c>
      <c r="E16" s="5">
        <f t="shared" si="1"/>
        <v>113971.85278745519</v>
      </c>
      <c r="F16" s="5">
        <f t="shared" si="2"/>
        <v>45338.245924651077</v>
      </c>
      <c r="G16" s="5">
        <f t="shared" si="3"/>
        <v>78133.606862804125</v>
      </c>
      <c r="H16" s="22">
        <f t="shared" si="10"/>
        <v>55929.309178285832</v>
      </c>
      <c r="I16" s="5">
        <f t="shared" si="4"/>
        <v>131937.6022923151</v>
      </c>
      <c r="J16" s="26">
        <f t="shared" si="5"/>
        <v>0.25325262596615283</v>
      </c>
      <c r="L16" s="22">
        <f t="shared" si="11"/>
        <v>240196.41111316701</v>
      </c>
      <c r="M16" s="5">
        <f>scrimecost*Meta!O13</f>
        <v>2123.9450000000002</v>
      </c>
      <c r="N16" s="5">
        <f>L16-Grade13!L16</f>
        <v>9343.4967229379981</v>
      </c>
      <c r="O16" s="5">
        <f>Grade13!M16-M16</f>
        <v>16.839999999999691</v>
      </c>
      <c r="P16" s="22">
        <f t="shared" si="12"/>
        <v>269.53748744822087</v>
      </c>
      <c r="Q16" s="22"/>
      <c r="R16" s="22"/>
      <c r="S16" s="22">
        <f t="shared" si="6"/>
        <v>6755.2255775917629</v>
      </c>
      <c r="T16" s="22">
        <f t="shared" si="7"/>
        <v>5294.4978978555846</v>
      </c>
    </row>
    <row r="17" spans="1:20" x14ac:dyDescent="0.2">
      <c r="A17" s="5">
        <v>26</v>
      </c>
      <c r="B17" s="1">
        <f t="shared" si="8"/>
        <v>1.1596934182128902</v>
      </c>
      <c r="C17" s="5">
        <f t="shared" si="9"/>
        <v>130926.22568309934</v>
      </c>
      <c r="D17" s="5">
        <f t="shared" si="0"/>
        <v>126543.82910714157</v>
      </c>
      <c r="E17" s="5">
        <f t="shared" si="1"/>
        <v>117043.82910714157</v>
      </c>
      <c r="F17" s="5">
        <f t="shared" si="2"/>
        <v>46550.140582767344</v>
      </c>
      <c r="G17" s="5">
        <f t="shared" si="3"/>
        <v>79993.688524374229</v>
      </c>
      <c r="H17" s="22">
        <f t="shared" si="10"/>
        <v>57327.541907742976</v>
      </c>
      <c r="I17" s="5">
        <f t="shared" si="4"/>
        <v>135142.78383962298</v>
      </c>
      <c r="J17" s="26">
        <f t="shared" si="5"/>
        <v>0.2537675814930882</v>
      </c>
      <c r="L17" s="22">
        <f t="shared" si="11"/>
        <v>246201.32139099616</v>
      </c>
      <c r="M17" s="5">
        <f>scrimecost*Meta!O14</f>
        <v>2123.9450000000002</v>
      </c>
      <c r="N17" s="5">
        <f>L17-Grade13!L17</f>
        <v>9577.0841410114081</v>
      </c>
      <c r="O17" s="5">
        <f>Grade13!M17-M17</f>
        <v>16.839999999999691</v>
      </c>
      <c r="P17" s="22">
        <f t="shared" si="12"/>
        <v>276.12765555918276</v>
      </c>
      <c r="Q17" s="22"/>
      <c r="R17" s="22"/>
      <c r="S17" s="22">
        <f t="shared" si="6"/>
        <v>6923.5921670565849</v>
      </c>
      <c r="T17" s="22">
        <f t="shared" si="7"/>
        <v>5210.5138681539411</v>
      </c>
    </row>
    <row r="18" spans="1:20" x14ac:dyDescent="0.2">
      <c r="A18" s="5">
        <v>27</v>
      </c>
      <c r="B18" s="1">
        <f t="shared" si="8"/>
        <v>1.1886857536682125</v>
      </c>
      <c r="C18" s="5">
        <f t="shared" si="9"/>
        <v>134199.38132517683</v>
      </c>
      <c r="D18" s="5">
        <f t="shared" si="0"/>
        <v>129692.60483482011</v>
      </c>
      <c r="E18" s="5">
        <f t="shared" si="1"/>
        <v>120192.60483482011</v>
      </c>
      <c r="F18" s="5">
        <f t="shared" si="2"/>
        <v>47792.332607336539</v>
      </c>
      <c r="G18" s="5">
        <f t="shared" si="3"/>
        <v>81900.272227483569</v>
      </c>
      <c r="H18" s="22">
        <f t="shared" si="10"/>
        <v>58760.730455436555</v>
      </c>
      <c r="I18" s="5">
        <f t="shared" si="4"/>
        <v>138428.09492561355</v>
      </c>
      <c r="J18" s="26">
        <f t="shared" si="5"/>
        <v>0.2542699771291228</v>
      </c>
      <c r="L18" s="22">
        <f t="shared" si="11"/>
        <v>252356.35442577107</v>
      </c>
      <c r="M18" s="5">
        <f>scrimecost*Meta!O15</f>
        <v>2123.9450000000002</v>
      </c>
      <c r="N18" s="5">
        <f>L18-Grade13!L18</f>
        <v>9816.5112445367267</v>
      </c>
      <c r="O18" s="5">
        <f>Grade13!M18-M18</f>
        <v>16.839999999999691</v>
      </c>
      <c r="P18" s="22">
        <f t="shared" si="12"/>
        <v>282.88257787291872</v>
      </c>
      <c r="Q18" s="22"/>
      <c r="R18" s="22"/>
      <c r="S18" s="22">
        <f t="shared" si="6"/>
        <v>7096.1679212580775</v>
      </c>
      <c r="T18" s="22">
        <f t="shared" si="7"/>
        <v>5127.8712943965575</v>
      </c>
    </row>
    <row r="19" spans="1:20" x14ac:dyDescent="0.2">
      <c r="A19" s="5">
        <v>28</v>
      </c>
      <c r="B19" s="1">
        <f t="shared" si="8"/>
        <v>1.2184028975099177</v>
      </c>
      <c r="C19" s="5">
        <f t="shared" si="9"/>
        <v>137554.36585830624</v>
      </c>
      <c r="D19" s="5">
        <f t="shared" si="0"/>
        <v>132920.09995569059</v>
      </c>
      <c r="E19" s="5">
        <f t="shared" si="1"/>
        <v>123420.09995569059</v>
      </c>
      <c r="F19" s="5">
        <f t="shared" si="2"/>
        <v>49065.579432519931</v>
      </c>
      <c r="G19" s="5">
        <f t="shared" si="3"/>
        <v>83854.52052317065</v>
      </c>
      <c r="H19" s="22">
        <f t="shared" si="10"/>
        <v>60229.748716822469</v>
      </c>
      <c r="I19" s="5">
        <f t="shared" si="4"/>
        <v>141795.53878875385</v>
      </c>
      <c r="J19" s="26">
        <f t="shared" si="5"/>
        <v>0.25476011921305886</v>
      </c>
      <c r="L19" s="22">
        <f t="shared" si="11"/>
        <v>258665.26328641534</v>
      </c>
      <c r="M19" s="5">
        <f>scrimecost*Meta!O16</f>
        <v>2123.9450000000002</v>
      </c>
      <c r="N19" s="5">
        <f>L19-Grade13!L19</f>
        <v>10061.924025650165</v>
      </c>
      <c r="O19" s="5">
        <f>Grade13!M19-M19</f>
        <v>16.839999999999691</v>
      </c>
      <c r="P19" s="22">
        <f t="shared" si="12"/>
        <v>289.80637324449793</v>
      </c>
      <c r="Q19" s="22"/>
      <c r="R19" s="22"/>
      <c r="S19" s="22">
        <f t="shared" si="6"/>
        <v>7273.0580693145976</v>
      </c>
      <c r="T19" s="22">
        <f t="shared" si="7"/>
        <v>5046.5483831065385</v>
      </c>
    </row>
    <row r="20" spans="1:20" x14ac:dyDescent="0.2">
      <c r="A20" s="5">
        <v>29</v>
      </c>
      <c r="B20" s="1">
        <f t="shared" si="8"/>
        <v>1.2488629699476654</v>
      </c>
      <c r="C20" s="5">
        <f t="shared" si="9"/>
        <v>140993.22500476387</v>
      </c>
      <c r="D20" s="5">
        <f t="shared" si="0"/>
        <v>136228.28245458283</v>
      </c>
      <c r="E20" s="5">
        <f t="shared" si="1"/>
        <v>126728.28245458283</v>
      </c>
      <c r="F20" s="5">
        <f t="shared" si="2"/>
        <v>50370.657428332925</v>
      </c>
      <c r="G20" s="5">
        <f t="shared" si="3"/>
        <v>85857.625026249909</v>
      </c>
      <c r="H20" s="22">
        <f t="shared" si="10"/>
        <v>61735.492434743013</v>
      </c>
      <c r="I20" s="5">
        <f t="shared" si="4"/>
        <v>145247.1687484727</v>
      </c>
      <c r="J20" s="26">
        <f t="shared" si="5"/>
        <v>0.25523830661202096</v>
      </c>
      <c r="L20" s="22">
        <f t="shared" si="11"/>
        <v>265131.89486857568</v>
      </c>
      <c r="M20" s="5">
        <f>scrimecost*Meta!O17</f>
        <v>2123.9450000000002</v>
      </c>
      <c r="N20" s="5">
        <f>L20-Grade13!L20</f>
        <v>10313.472126291366</v>
      </c>
      <c r="O20" s="5">
        <f>Grade13!M20-M20</f>
        <v>16.839999999999691</v>
      </c>
      <c r="P20" s="22">
        <f t="shared" si="12"/>
        <v>296.90326350036673</v>
      </c>
      <c r="Q20" s="22"/>
      <c r="R20" s="22"/>
      <c r="S20" s="22">
        <f t="shared" si="6"/>
        <v>7454.3704710724805</v>
      </c>
      <c r="T20" s="22">
        <f t="shared" si="7"/>
        <v>4966.5237092934294</v>
      </c>
    </row>
    <row r="21" spans="1:20" x14ac:dyDescent="0.2">
      <c r="A21" s="5">
        <v>30</v>
      </c>
      <c r="B21" s="1">
        <f t="shared" si="8"/>
        <v>1.2800845441963571</v>
      </c>
      <c r="C21" s="5">
        <f t="shared" si="9"/>
        <v>144518.05562988299</v>
      </c>
      <c r="D21" s="5">
        <f t="shared" si="0"/>
        <v>139619.16951594743</v>
      </c>
      <c r="E21" s="5">
        <f t="shared" si="1"/>
        <v>130119.16951594743</v>
      </c>
      <c r="F21" s="5">
        <f t="shared" si="2"/>
        <v>51708.362374041259</v>
      </c>
      <c r="G21" s="5">
        <f t="shared" si="3"/>
        <v>87910.807141906174</v>
      </c>
      <c r="H21" s="22">
        <f t="shared" si="10"/>
        <v>63278.879745611586</v>
      </c>
      <c r="I21" s="5">
        <f t="shared" si="4"/>
        <v>148785.08945718451</v>
      </c>
      <c r="J21" s="26">
        <f t="shared" si="5"/>
        <v>0.25570483090369128</v>
      </c>
      <c r="L21" s="22">
        <f t="shared" si="11"/>
        <v>271760.19224029005</v>
      </c>
      <c r="M21" s="5">
        <f>scrimecost*Meta!O18</f>
        <v>1712.2730000000001</v>
      </c>
      <c r="N21" s="5">
        <f>L21-Grade13!L21</f>
        <v>10571.308929448656</v>
      </c>
      <c r="O21" s="5">
        <f>Grade13!M21-M21</f>
        <v>13.576000000000022</v>
      </c>
      <c r="P21" s="22">
        <f t="shared" si="12"/>
        <v>304.17757601263224</v>
      </c>
      <c r="Q21" s="22"/>
      <c r="R21" s="22"/>
      <c r="S21" s="22">
        <f t="shared" si="6"/>
        <v>7637.2682908743527</v>
      </c>
      <c r="T21" s="22">
        <f t="shared" si="7"/>
        <v>4885.890635605735</v>
      </c>
    </row>
    <row r="22" spans="1:20" x14ac:dyDescent="0.2">
      <c r="A22" s="5">
        <v>31</v>
      </c>
      <c r="B22" s="1">
        <f t="shared" si="8"/>
        <v>1.312086657801266</v>
      </c>
      <c r="C22" s="5">
        <f t="shared" si="9"/>
        <v>148131.00702063006</v>
      </c>
      <c r="D22" s="5">
        <f t="shared" si="0"/>
        <v>143094.82875384609</v>
      </c>
      <c r="E22" s="5">
        <f t="shared" si="1"/>
        <v>133594.82875384609</v>
      </c>
      <c r="F22" s="5">
        <f t="shared" si="2"/>
        <v>53079.509943392281</v>
      </c>
      <c r="G22" s="5">
        <f t="shared" si="3"/>
        <v>90015.318810453813</v>
      </c>
      <c r="H22" s="22">
        <f t="shared" si="10"/>
        <v>64860.851739251884</v>
      </c>
      <c r="I22" s="5">
        <f t="shared" si="4"/>
        <v>152411.45818361413</v>
      </c>
      <c r="J22" s="26">
        <f t="shared" si="5"/>
        <v>0.25615997655410133</v>
      </c>
      <c r="L22" s="22">
        <f t="shared" si="11"/>
        <v>278554.19704629731</v>
      </c>
      <c r="M22" s="5">
        <f>scrimecost*Meta!O19</f>
        <v>1712.2730000000001</v>
      </c>
      <c r="N22" s="5">
        <f>L22-Grade13!L22</f>
        <v>10835.591652684903</v>
      </c>
      <c r="O22" s="5">
        <f>Grade13!M22-M22</f>
        <v>13.576000000000022</v>
      </c>
      <c r="P22" s="22">
        <f t="shared" si="12"/>
        <v>311.63374633770445</v>
      </c>
      <c r="Q22" s="22"/>
      <c r="R22" s="22"/>
      <c r="S22" s="22">
        <f t="shared" si="6"/>
        <v>7827.7596329712878</v>
      </c>
      <c r="T22" s="22">
        <f t="shared" si="7"/>
        <v>4808.4746375486211</v>
      </c>
    </row>
    <row r="23" spans="1:20" x14ac:dyDescent="0.2">
      <c r="A23" s="5">
        <v>32</v>
      </c>
      <c r="B23" s="1">
        <f t="shared" si="8"/>
        <v>1.3448888242462975</v>
      </c>
      <c r="C23" s="5">
        <f t="shared" si="9"/>
        <v>151834.28219614577</v>
      </c>
      <c r="D23" s="5">
        <f t="shared" si="0"/>
        <v>146657.37947269221</v>
      </c>
      <c r="E23" s="5">
        <f t="shared" si="1"/>
        <v>137157.37947269221</v>
      </c>
      <c r="F23" s="5">
        <f t="shared" si="2"/>
        <v>54484.936201977071</v>
      </c>
      <c r="G23" s="5">
        <f t="shared" si="3"/>
        <v>92172.443270715128</v>
      </c>
      <c r="H23" s="22">
        <f t="shared" si="10"/>
        <v>66482.373032733172</v>
      </c>
      <c r="I23" s="5">
        <f t="shared" si="4"/>
        <v>156128.48612820444</v>
      </c>
      <c r="J23" s="26">
        <f t="shared" si="5"/>
        <v>0.25660402109108676</v>
      </c>
      <c r="L23" s="22">
        <f t="shared" si="11"/>
        <v>285518.0519724547</v>
      </c>
      <c r="M23" s="5">
        <f>scrimecost*Meta!O20</f>
        <v>1712.2730000000001</v>
      </c>
      <c r="N23" s="5">
        <f>L23-Grade13!L23</f>
        <v>11106.481444002013</v>
      </c>
      <c r="O23" s="5">
        <f>Grade13!M23-M23</f>
        <v>13.576000000000022</v>
      </c>
      <c r="P23" s="22">
        <f t="shared" si="12"/>
        <v>319.2763209209034</v>
      </c>
      <c r="Q23" s="22"/>
      <c r="R23" s="22"/>
      <c r="S23" s="22">
        <f t="shared" si="6"/>
        <v>8023.0132586206173</v>
      </c>
      <c r="T23" s="22">
        <f t="shared" si="7"/>
        <v>4732.2917597461192</v>
      </c>
    </row>
    <row r="24" spans="1:20" x14ac:dyDescent="0.2">
      <c r="A24" s="5">
        <v>33</v>
      </c>
      <c r="B24" s="1">
        <f t="shared" si="8"/>
        <v>1.3785110448524549</v>
      </c>
      <c r="C24" s="5">
        <f t="shared" si="9"/>
        <v>155630.13925104943</v>
      </c>
      <c r="D24" s="5">
        <f t="shared" si="0"/>
        <v>150308.99395950953</v>
      </c>
      <c r="E24" s="5">
        <f t="shared" si="1"/>
        <v>140808.99395950953</v>
      </c>
      <c r="F24" s="5">
        <f t="shared" si="2"/>
        <v>55925.498117026509</v>
      </c>
      <c r="G24" s="5">
        <f t="shared" si="3"/>
        <v>94383.495842483026</v>
      </c>
      <c r="H24" s="22">
        <f t="shared" si="10"/>
        <v>68144.432358551494</v>
      </c>
      <c r="I24" s="5">
        <f t="shared" si="4"/>
        <v>159938.43977140955</v>
      </c>
      <c r="J24" s="26">
        <f t="shared" si="5"/>
        <v>0.25703723527351163</v>
      </c>
      <c r="L24" s="22">
        <f t="shared" si="11"/>
        <v>292656.00327176607</v>
      </c>
      <c r="M24" s="5">
        <f>scrimecost*Meta!O21</f>
        <v>1712.2730000000001</v>
      </c>
      <c r="N24" s="5">
        <f>L24-Grade13!L24</f>
        <v>11384.143480102066</v>
      </c>
      <c r="O24" s="5">
        <f>Grade13!M24-M24</f>
        <v>13.576000000000022</v>
      </c>
      <c r="P24" s="22">
        <f t="shared" si="12"/>
        <v>327.10995986868238</v>
      </c>
      <c r="Q24" s="22"/>
      <c r="R24" s="22"/>
      <c r="S24" s="22">
        <f t="shared" si="6"/>
        <v>8223.1482249111887</v>
      </c>
      <c r="T24" s="22">
        <f t="shared" si="7"/>
        <v>4657.3221035357064</v>
      </c>
    </row>
    <row r="25" spans="1:20" x14ac:dyDescent="0.2">
      <c r="A25" s="5">
        <v>34</v>
      </c>
      <c r="B25" s="1">
        <f t="shared" si="8"/>
        <v>1.4129738209737661</v>
      </c>
      <c r="C25" s="5">
        <f t="shared" si="9"/>
        <v>159520.89273232565</v>
      </c>
      <c r="D25" s="5">
        <f t="shared" si="0"/>
        <v>154051.89880849727</v>
      </c>
      <c r="E25" s="5">
        <f t="shared" si="1"/>
        <v>144551.89880849727</v>
      </c>
      <c r="F25" s="5">
        <f t="shared" si="2"/>
        <v>57402.074079952166</v>
      </c>
      <c r="G25" s="5">
        <f t="shared" si="3"/>
        <v>96649.824728545093</v>
      </c>
      <c r="H25" s="22">
        <f t="shared" si="10"/>
        <v>69848.043167515265</v>
      </c>
      <c r="I25" s="5">
        <f t="shared" si="4"/>
        <v>163843.64225569478</v>
      </c>
      <c r="J25" s="26">
        <f t="shared" si="5"/>
        <v>0.25745988325636515</v>
      </c>
      <c r="L25" s="22">
        <f t="shared" si="11"/>
        <v>299972.40335356019</v>
      </c>
      <c r="M25" s="5">
        <f>scrimecost*Meta!O22</f>
        <v>1712.2730000000001</v>
      </c>
      <c r="N25" s="5">
        <f>L25-Grade13!L25</f>
        <v>11668.747067104559</v>
      </c>
      <c r="O25" s="5">
        <f>Grade13!M25-M25</f>
        <v>13.576000000000022</v>
      </c>
      <c r="P25" s="22">
        <f t="shared" si="12"/>
        <v>335.13943979015585</v>
      </c>
      <c r="Q25" s="22"/>
      <c r="R25" s="22"/>
      <c r="S25" s="22">
        <f t="shared" si="6"/>
        <v>8428.2865653589852</v>
      </c>
      <c r="T25" s="22">
        <f t="shared" si="7"/>
        <v>4583.5461014908487</v>
      </c>
    </row>
    <row r="26" spans="1:20" x14ac:dyDescent="0.2">
      <c r="A26" s="5">
        <v>35</v>
      </c>
      <c r="B26" s="1">
        <f t="shared" si="8"/>
        <v>1.4482981664981105</v>
      </c>
      <c r="C26" s="5">
        <f t="shared" si="9"/>
        <v>163508.91505063383</v>
      </c>
      <c r="D26" s="5">
        <f t="shared" si="0"/>
        <v>157888.37627870974</v>
      </c>
      <c r="E26" s="5">
        <f t="shared" si="1"/>
        <v>148388.37627870974</v>
      </c>
      <c r="F26" s="5">
        <f t="shared" si="2"/>
        <v>58915.564441950984</v>
      </c>
      <c r="G26" s="5">
        <f t="shared" si="3"/>
        <v>98972.811836758745</v>
      </c>
      <c r="H26" s="22">
        <f t="shared" si="10"/>
        <v>71594.244246703165</v>
      </c>
      <c r="I26" s="5">
        <f t="shared" si="4"/>
        <v>167846.47480208718</v>
      </c>
      <c r="J26" s="26">
        <f t="shared" si="5"/>
        <v>0.25787222275183191</v>
      </c>
      <c r="L26" s="22">
        <f t="shared" si="11"/>
        <v>307471.71343739924</v>
      </c>
      <c r="M26" s="5">
        <f>scrimecost*Meta!O23</f>
        <v>1328.8529999999998</v>
      </c>
      <c r="N26" s="5">
        <f>L26-Grade13!L26</f>
        <v>11960.465743782232</v>
      </c>
      <c r="O26" s="5">
        <f>Grade13!M26-M26</f>
        <v>10.536000000000058</v>
      </c>
      <c r="P26" s="22">
        <f t="shared" si="12"/>
        <v>343.36965670966606</v>
      </c>
      <c r="Q26" s="22"/>
      <c r="R26" s="22"/>
      <c r="S26" s="22">
        <f t="shared" si="6"/>
        <v>8635.8082443180538</v>
      </c>
      <c r="T26" s="22">
        <f t="shared" si="7"/>
        <v>4509.5110441860525</v>
      </c>
    </row>
    <row r="27" spans="1:20" x14ac:dyDescent="0.2">
      <c r="A27" s="5">
        <v>36</v>
      </c>
      <c r="B27" s="1">
        <f t="shared" si="8"/>
        <v>1.4845056206605631</v>
      </c>
      <c r="C27" s="5">
        <f t="shared" si="9"/>
        <v>167596.63792689965</v>
      </c>
      <c r="D27" s="5">
        <f t="shared" si="0"/>
        <v>161820.76568567744</v>
      </c>
      <c r="E27" s="5">
        <f t="shared" si="1"/>
        <v>152320.76568567744</v>
      </c>
      <c r="F27" s="5">
        <f t="shared" si="2"/>
        <v>60466.892062999752</v>
      </c>
      <c r="G27" s="5">
        <f t="shared" si="3"/>
        <v>101353.8736226777</v>
      </c>
      <c r="H27" s="22">
        <f t="shared" si="10"/>
        <v>73384.100352870737</v>
      </c>
      <c r="I27" s="5">
        <f t="shared" si="4"/>
        <v>171949.37816213933</v>
      </c>
      <c r="J27" s="26">
        <f t="shared" si="5"/>
        <v>0.25827450518643369</v>
      </c>
      <c r="L27" s="22">
        <f t="shared" si="11"/>
        <v>315158.50627333421</v>
      </c>
      <c r="M27" s="5">
        <f>scrimecost*Meta!O24</f>
        <v>1328.8529999999998</v>
      </c>
      <c r="N27" s="5">
        <f>L27-Grade13!L27</f>
        <v>12259.477387376828</v>
      </c>
      <c r="O27" s="5">
        <f>Grade13!M27-M27</f>
        <v>10.536000000000058</v>
      </c>
      <c r="P27" s="22">
        <f t="shared" si="12"/>
        <v>351.80562905216414</v>
      </c>
      <c r="Q27" s="22"/>
      <c r="R27" s="22"/>
      <c r="S27" s="22">
        <f t="shared" si="6"/>
        <v>8851.3317132510874</v>
      </c>
      <c r="T27" s="22">
        <f t="shared" si="7"/>
        <v>4438.1219879423734</v>
      </c>
    </row>
    <row r="28" spans="1:20" x14ac:dyDescent="0.2">
      <c r="A28" s="5">
        <v>37</v>
      </c>
      <c r="B28" s="1">
        <f t="shared" si="8"/>
        <v>1.521618261177077</v>
      </c>
      <c r="C28" s="5">
        <f t="shared" si="9"/>
        <v>171786.5538750721</v>
      </c>
      <c r="D28" s="5">
        <f t="shared" si="0"/>
        <v>165851.46482781935</v>
      </c>
      <c r="E28" s="5">
        <f t="shared" si="1"/>
        <v>156351.46482781935</v>
      </c>
      <c r="F28" s="5">
        <f t="shared" si="2"/>
        <v>62057.002874574733</v>
      </c>
      <c r="G28" s="5">
        <f t="shared" si="3"/>
        <v>103794.46195324461</v>
      </c>
      <c r="H28" s="22">
        <f t="shared" si="10"/>
        <v>75218.702861692509</v>
      </c>
      <c r="I28" s="5">
        <f t="shared" si="4"/>
        <v>176154.8541061928</v>
      </c>
      <c r="J28" s="26">
        <f t="shared" si="5"/>
        <v>0.25866697585433784</v>
      </c>
      <c r="L28" s="22">
        <f t="shared" si="11"/>
        <v>323037.46893016755</v>
      </c>
      <c r="M28" s="5">
        <f>scrimecost*Meta!O25</f>
        <v>1328.8529999999998</v>
      </c>
      <c r="N28" s="5">
        <f>L28-Grade13!L28</f>
        <v>12565.96432206122</v>
      </c>
      <c r="O28" s="5">
        <f>Grade13!M28-M28</f>
        <v>10.536000000000058</v>
      </c>
      <c r="P28" s="22">
        <f t="shared" si="12"/>
        <v>360.45250070322459</v>
      </c>
      <c r="Q28" s="22"/>
      <c r="R28" s="22"/>
      <c r="S28" s="22">
        <f t="shared" si="6"/>
        <v>9072.2432689073994</v>
      </c>
      <c r="T28" s="22">
        <f t="shared" si="7"/>
        <v>4367.8675424642961</v>
      </c>
    </row>
    <row r="29" spans="1:20" x14ac:dyDescent="0.2">
      <c r="A29" s="5">
        <v>38</v>
      </c>
      <c r="B29" s="1">
        <f t="shared" si="8"/>
        <v>1.559658717706504</v>
      </c>
      <c r="C29" s="5">
        <f t="shared" si="9"/>
        <v>176081.21772194892</v>
      </c>
      <c r="D29" s="5">
        <f t="shared" si="0"/>
        <v>169982.93144851484</v>
      </c>
      <c r="E29" s="5">
        <f t="shared" si="1"/>
        <v>160482.93144851484</v>
      </c>
      <c r="F29" s="5">
        <f t="shared" si="2"/>
        <v>63686.8664564391</v>
      </c>
      <c r="G29" s="5">
        <f t="shared" si="3"/>
        <v>106296.06499207573</v>
      </c>
      <c r="H29" s="22">
        <f t="shared" si="10"/>
        <v>77099.170433234816</v>
      </c>
      <c r="I29" s="5">
        <f t="shared" si="4"/>
        <v>180465.46694884764</v>
      </c>
      <c r="J29" s="26">
        <f t="shared" si="5"/>
        <v>0.25904987406692725</v>
      </c>
      <c r="L29" s="22">
        <f t="shared" si="11"/>
        <v>331113.40565342177</v>
      </c>
      <c r="M29" s="5">
        <f>scrimecost*Meta!O26</f>
        <v>1328.8529999999998</v>
      </c>
      <c r="N29" s="5">
        <f>L29-Grade13!L29</f>
        <v>12880.113430112775</v>
      </c>
      <c r="O29" s="5">
        <f>Grade13!M29-M29</f>
        <v>10.536000000000058</v>
      </c>
      <c r="P29" s="22">
        <f t="shared" si="12"/>
        <v>369.31554414556155</v>
      </c>
      <c r="Q29" s="22"/>
      <c r="R29" s="22"/>
      <c r="S29" s="22">
        <f t="shared" si="6"/>
        <v>9298.6776134551565</v>
      </c>
      <c r="T29" s="22">
        <f t="shared" si="7"/>
        <v>4298.7294977091233</v>
      </c>
    </row>
    <row r="30" spans="1:20" x14ac:dyDescent="0.2">
      <c r="A30" s="5">
        <v>39</v>
      </c>
      <c r="B30" s="1">
        <f t="shared" si="8"/>
        <v>1.5986501856491666</v>
      </c>
      <c r="C30" s="5">
        <f t="shared" si="9"/>
        <v>180483.24816499764</v>
      </c>
      <c r="D30" s="5">
        <f t="shared" si="0"/>
        <v>174217.68473472772</v>
      </c>
      <c r="E30" s="5">
        <f t="shared" si="1"/>
        <v>164717.68473472772</v>
      </c>
      <c r="F30" s="5">
        <f t="shared" si="2"/>
        <v>65357.476627850083</v>
      </c>
      <c r="G30" s="5">
        <f t="shared" si="3"/>
        <v>108860.20810687763</v>
      </c>
      <c r="H30" s="22">
        <f t="shared" si="10"/>
        <v>79026.64969406568</v>
      </c>
      <c r="I30" s="5">
        <f t="shared" si="4"/>
        <v>184883.84511256882</v>
      </c>
      <c r="J30" s="26">
        <f t="shared" si="5"/>
        <v>0.25942343329872186</v>
      </c>
      <c r="L30" s="22">
        <f t="shared" si="11"/>
        <v>339391.24079475726</v>
      </c>
      <c r="M30" s="5">
        <f>scrimecost*Meta!O27</f>
        <v>1328.8529999999998</v>
      </c>
      <c r="N30" s="5">
        <f>L30-Grade13!L30</f>
        <v>13202.116265865567</v>
      </c>
      <c r="O30" s="5">
        <f>Grade13!M30-M30</f>
        <v>10.536000000000058</v>
      </c>
      <c r="P30" s="22">
        <f t="shared" si="12"/>
        <v>378.40016367395697</v>
      </c>
      <c r="Q30" s="22"/>
      <c r="R30" s="22"/>
      <c r="S30" s="22">
        <f t="shared" si="6"/>
        <v>9530.7728166165725</v>
      </c>
      <c r="T30" s="22">
        <f t="shared" si="7"/>
        <v>4230.6899429067289</v>
      </c>
    </row>
    <row r="31" spans="1:20" x14ac:dyDescent="0.2">
      <c r="A31" s="5">
        <v>40</v>
      </c>
      <c r="B31" s="1">
        <f t="shared" si="8"/>
        <v>1.6386164402903955</v>
      </c>
      <c r="C31" s="5">
        <f t="shared" si="9"/>
        <v>184995.32936912257</v>
      </c>
      <c r="D31" s="5">
        <f t="shared" si="0"/>
        <v>178558.30685309588</v>
      </c>
      <c r="E31" s="5">
        <f t="shared" si="1"/>
        <v>169058.30685309588</v>
      </c>
      <c r="F31" s="5">
        <f t="shared" si="2"/>
        <v>67069.852053546318</v>
      </c>
      <c r="G31" s="5">
        <f t="shared" si="3"/>
        <v>111488.45479954957</v>
      </c>
      <c r="H31" s="22">
        <f t="shared" si="10"/>
        <v>81002.315936417319</v>
      </c>
      <c r="I31" s="5">
        <f t="shared" si="4"/>
        <v>189412.68273038301</v>
      </c>
      <c r="J31" s="26">
        <f t="shared" si="5"/>
        <v>0.2597878813297409</v>
      </c>
      <c r="L31" s="22">
        <f t="shared" si="11"/>
        <v>347876.02181462618</v>
      </c>
      <c r="M31" s="5">
        <f>scrimecost*Meta!O28</f>
        <v>1162.3679999999999</v>
      </c>
      <c r="N31" s="5">
        <f>L31-Grade13!L31</f>
        <v>13532.169172512251</v>
      </c>
      <c r="O31" s="5">
        <f>Grade13!M31-M31</f>
        <v>9.2159999999998945</v>
      </c>
      <c r="P31" s="22">
        <f t="shared" si="12"/>
        <v>387.71189869056218</v>
      </c>
      <c r="Q31" s="22"/>
      <c r="R31" s="22"/>
      <c r="S31" s="22">
        <f t="shared" si="6"/>
        <v>9767.4784398570719</v>
      </c>
      <c r="T31" s="22">
        <f t="shared" si="7"/>
        <v>4163.22320848857</v>
      </c>
    </row>
    <row r="32" spans="1:20" x14ac:dyDescent="0.2">
      <c r="A32" s="5">
        <v>41</v>
      </c>
      <c r="B32" s="1">
        <f t="shared" si="8"/>
        <v>1.6795818512976552</v>
      </c>
      <c r="C32" s="5">
        <f t="shared" si="9"/>
        <v>189620.21260335061</v>
      </c>
      <c r="D32" s="5">
        <f t="shared" si="0"/>
        <v>183007.44452442328</v>
      </c>
      <c r="E32" s="5">
        <f t="shared" si="1"/>
        <v>173507.44452442328</v>
      </c>
      <c r="F32" s="5">
        <f t="shared" si="2"/>
        <v>68825.036864884998</v>
      </c>
      <c r="G32" s="5">
        <f t="shared" si="3"/>
        <v>114182.40765953828</v>
      </c>
      <c r="H32" s="22">
        <f t="shared" si="10"/>
        <v>83027.37383482774</v>
      </c>
      <c r="I32" s="5">
        <f t="shared" si="4"/>
        <v>194054.74128864257</v>
      </c>
      <c r="J32" s="26">
        <f t="shared" si="5"/>
        <v>0.2601434403843938</v>
      </c>
      <c r="L32" s="22">
        <f t="shared" si="11"/>
        <v>356572.92235999176</v>
      </c>
      <c r="M32" s="5">
        <f>scrimecost*Meta!O29</f>
        <v>1162.3679999999999</v>
      </c>
      <c r="N32" s="5">
        <f>L32-Grade13!L32</f>
        <v>13870.473401825002</v>
      </c>
      <c r="O32" s="5">
        <f>Grade13!M32-M32</f>
        <v>9.2159999999998945</v>
      </c>
      <c r="P32" s="22">
        <f t="shared" si="12"/>
        <v>397.25642708258272</v>
      </c>
      <c r="Q32" s="22"/>
      <c r="R32" s="22"/>
      <c r="S32" s="22">
        <f t="shared" si="6"/>
        <v>10011.323462678514</v>
      </c>
      <c r="T32" s="22">
        <f t="shared" si="7"/>
        <v>4097.3482902585638</v>
      </c>
    </row>
    <row r="33" spans="1:20" x14ac:dyDescent="0.2">
      <c r="A33" s="5">
        <v>42</v>
      </c>
      <c r="B33" s="1">
        <f t="shared" si="8"/>
        <v>1.7215713975800966</v>
      </c>
      <c r="C33" s="5">
        <f t="shared" si="9"/>
        <v>194360.71791843435</v>
      </c>
      <c r="D33" s="5">
        <f t="shared" si="0"/>
        <v>187567.81063753384</v>
      </c>
      <c r="E33" s="5">
        <f t="shared" si="1"/>
        <v>178067.81063753384</v>
      </c>
      <c r="F33" s="5">
        <f t="shared" si="2"/>
        <v>70807.491828383791</v>
      </c>
      <c r="G33" s="5">
        <f t="shared" si="3"/>
        <v>116760.31880915005</v>
      </c>
      <c r="H33" s="22">
        <f t="shared" si="10"/>
        <v>85103.058180698426</v>
      </c>
      <c r="I33" s="5">
        <f t="shared" si="4"/>
        <v>198629.46077898191</v>
      </c>
      <c r="J33" s="26">
        <f t="shared" si="5"/>
        <v>0.26117247166215679</v>
      </c>
      <c r="L33" s="22">
        <f t="shared" si="11"/>
        <v>365487.24541899154</v>
      </c>
      <c r="M33" s="5">
        <f>scrimecost*Meta!O30</f>
        <v>1162.3679999999999</v>
      </c>
      <c r="N33" s="5">
        <f>L33-Grade13!L33</f>
        <v>14217.235236870591</v>
      </c>
      <c r="O33" s="5">
        <f>Grade13!M33-M33</f>
        <v>9.2159999999998945</v>
      </c>
      <c r="P33" s="22">
        <f t="shared" si="12"/>
        <v>408.03682898828561</v>
      </c>
      <c r="Q33" s="22"/>
      <c r="R33" s="22"/>
      <c r="S33" s="22">
        <f t="shared" si="6"/>
        <v>10262.165137124914</v>
      </c>
      <c r="T33" s="22">
        <f t="shared" si="7"/>
        <v>4032.8729622030378</v>
      </c>
    </row>
    <row r="34" spans="1:20" x14ac:dyDescent="0.2">
      <c r="A34" s="5">
        <v>43</v>
      </c>
      <c r="B34" s="1">
        <f t="shared" si="8"/>
        <v>1.7646106825195991</v>
      </c>
      <c r="C34" s="5">
        <f t="shared" si="9"/>
        <v>199219.73586639526</v>
      </c>
      <c r="D34" s="5">
        <f t="shared" si="0"/>
        <v>192242.18590347221</v>
      </c>
      <c r="E34" s="5">
        <f t="shared" si="1"/>
        <v>182742.18590347221</v>
      </c>
      <c r="F34" s="5">
        <f t="shared" si="2"/>
        <v>72885.251634093394</v>
      </c>
      <c r="G34" s="5">
        <f t="shared" si="3"/>
        <v>119356.93426937882</v>
      </c>
      <c r="H34" s="22">
        <f t="shared" si="10"/>
        <v>87230.634635215902</v>
      </c>
      <c r="I34" s="5">
        <f t="shared" si="4"/>
        <v>203272.80478845653</v>
      </c>
      <c r="J34" s="26">
        <f t="shared" si="5"/>
        <v>0.2623424032935438</v>
      </c>
      <c r="L34" s="22">
        <f t="shared" si="11"/>
        <v>374624.42655446636</v>
      </c>
      <c r="M34" s="5">
        <f>scrimecost*Meta!O31</f>
        <v>1162.3679999999999</v>
      </c>
      <c r="N34" s="5">
        <f>L34-Grade13!L34</f>
        <v>14572.666117792367</v>
      </c>
      <c r="O34" s="5">
        <f>Grade13!M34-M34</f>
        <v>9.2159999999998945</v>
      </c>
      <c r="P34" s="22">
        <f t="shared" si="12"/>
        <v>419.33548957905793</v>
      </c>
      <c r="Q34" s="22"/>
      <c r="R34" s="22"/>
      <c r="S34" s="22">
        <f t="shared" si="6"/>
        <v>10519.502473452101</v>
      </c>
      <c r="T34" s="22">
        <f t="shared" si="7"/>
        <v>3969.4916875122722</v>
      </c>
    </row>
    <row r="35" spans="1:20" x14ac:dyDescent="0.2">
      <c r="A35" s="5">
        <v>44</v>
      </c>
      <c r="B35" s="1">
        <f t="shared" si="8"/>
        <v>1.8087259495825889</v>
      </c>
      <c r="C35" s="5">
        <f t="shared" si="9"/>
        <v>204200.22926305511</v>
      </c>
      <c r="D35" s="5">
        <f t="shared" si="0"/>
        <v>197033.42055105901</v>
      </c>
      <c r="E35" s="5">
        <f t="shared" si="1"/>
        <v>187533.42055105901</v>
      </c>
      <c r="F35" s="5">
        <f t="shared" si="2"/>
        <v>75014.955434945732</v>
      </c>
      <c r="G35" s="5">
        <f t="shared" si="3"/>
        <v>122018.46511611328</v>
      </c>
      <c r="H35" s="22">
        <f t="shared" si="10"/>
        <v>89411.400501096286</v>
      </c>
      <c r="I35" s="5">
        <f t="shared" si="4"/>
        <v>208032.23239816789</v>
      </c>
      <c r="J35" s="26">
        <f t="shared" si="5"/>
        <v>0.26348380000709204</v>
      </c>
      <c r="L35" s="22">
        <f t="shared" si="11"/>
        <v>383990.03721832798</v>
      </c>
      <c r="M35" s="5">
        <f>scrimecost*Meta!O32</f>
        <v>1162.3679999999999</v>
      </c>
      <c r="N35" s="5">
        <f>L35-Grade13!L35</f>
        <v>14936.982770737202</v>
      </c>
      <c r="O35" s="5">
        <f>Grade13!M35-M35</f>
        <v>9.2159999999998945</v>
      </c>
      <c r="P35" s="22">
        <f t="shared" si="12"/>
        <v>430.91661668459943</v>
      </c>
      <c r="Q35" s="22"/>
      <c r="R35" s="22"/>
      <c r="S35" s="22">
        <f t="shared" si="6"/>
        <v>10783.273243187477</v>
      </c>
      <c r="T35" s="22">
        <f t="shared" si="7"/>
        <v>3907.0994068997052</v>
      </c>
    </row>
    <row r="36" spans="1:20" x14ac:dyDescent="0.2">
      <c r="A36" s="5">
        <v>45</v>
      </c>
      <c r="B36" s="1">
        <f t="shared" si="8"/>
        <v>1.8539440983221533</v>
      </c>
      <c r="C36" s="5">
        <f t="shared" si="9"/>
        <v>209305.23499463144</v>
      </c>
      <c r="D36" s="5">
        <f t="shared" si="0"/>
        <v>201944.43606483543</v>
      </c>
      <c r="E36" s="5">
        <f t="shared" si="1"/>
        <v>192444.43606483543</v>
      </c>
      <c r="F36" s="5">
        <f t="shared" si="2"/>
        <v>77197.901830819348</v>
      </c>
      <c r="G36" s="5">
        <f t="shared" si="3"/>
        <v>124746.53423401609</v>
      </c>
      <c r="H36" s="22">
        <f t="shared" si="10"/>
        <v>91646.685513623685</v>
      </c>
      <c r="I36" s="5">
        <f t="shared" si="4"/>
        <v>212910.64569812207</v>
      </c>
      <c r="J36" s="26">
        <f t="shared" si="5"/>
        <v>0.26459735777640736</v>
      </c>
      <c r="L36" s="22">
        <f t="shared" si="11"/>
        <v>393589.78814878612</v>
      </c>
      <c r="M36" s="5">
        <f>scrimecost*Meta!O33</f>
        <v>939.37900000000002</v>
      </c>
      <c r="N36" s="5">
        <f>L36-Grade13!L36</f>
        <v>15310.407340005622</v>
      </c>
      <c r="O36" s="5">
        <f>Grade13!M36-M36</f>
        <v>7.4479999999999791</v>
      </c>
      <c r="P36" s="22">
        <f t="shared" si="12"/>
        <v>442.78727196777936</v>
      </c>
      <c r="Q36" s="22"/>
      <c r="R36" s="22"/>
      <c r="S36" s="22">
        <f t="shared" si="6"/>
        <v>11052.041778166214</v>
      </c>
      <c r="T36" s="22">
        <f t="shared" si="7"/>
        <v>3845.1255316160778</v>
      </c>
    </row>
    <row r="37" spans="1:20" x14ac:dyDescent="0.2">
      <c r="A37" s="5">
        <v>46</v>
      </c>
      <c r="B37" s="1">
        <f t="shared" ref="B37:B56" si="13">(1+experiencepremium)^(A37-startage)</f>
        <v>1.9002927007802071</v>
      </c>
      <c r="C37" s="5">
        <f t="shared" ref="C37:C56" si="14">pretaxincome*B37/expnorm</f>
        <v>214537.86586949721</v>
      </c>
      <c r="D37" s="5">
        <f t="shared" ref="D37:D56" si="15">IF(A37&lt;startage,1,0)*(C37*(1-initialunempprob))+IF(A37=startage,1,0)*(C37*(1-unempprob))+IF(A37&gt;startage,1,0)*(C37*(1-unempprob)+unempprob*300*52)</f>
        <v>206978.22696645631</v>
      </c>
      <c r="E37" s="5">
        <f t="shared" si="1"/>
        <v>197478.22696645631</v>
      </c>
      <c r="F37" s="5">
        <f t="shared" si="2"/>
        <v>79435.421886589829</v>
      </c>
      <c r="G37" s="5">
        <f t="shared" si="3"/>
        <v>127542.80507986648</v>
      </c>
      <c r="H37" s="22">
        <f t="shared" ref="H37:H56" si="16">benefits*B37/expnorm</f>
        <v>93937.852651464258</v>
      </c>
      <c r="I37" s="5">
        <f t="shared" ref="I37:I56" si="17">G37+IF(A37&lt;startage,1,0)*(H37*(1-initialunempprob))+IF(A37&gt;=startage,1,0)*(H37*(1-unempprob))</f>
        <v>217911.01933057507</v>
      </c>
      <c r="J37" s="26">
        <f t="shared" si="5"/>
        <v>0.26568375560012969</v>
      </c>
      <c r="L37" s="22">
        <f t="shared" ref="L37:L56" si="18">(sincome+sbenefits)*(1-sunemp)*B37/expnorm</f>
        <v>403429.53285250574</v>
      </c>
      <c r="M37" s="5">
        <f>scrimecost*Meta!O34</f>
        <v>939.37900000000002</v>
      </c>
      <c r="N37" s="5">
        <f>L37-Grade13!L37</f>
        <v>15693.167523505748</v>
      </c>
      <c r="O37" s="5">
        <f>Grade13!M37-M37</f>
        <v>7.4479999999999791</v>
      </c>
      <c r="P37" s="22">
        <f t="shared" si="12"/>
        <v>454.95469363303891</v>
      </c>
      <c r="Q37" s="22"/>
      <c r="R37" s="22"/>
      <c r="S37" s="22">
        <f t="shared" si="6"/>
        <v>11329.165943119417</v>
      </c>
      <c r="T37" s="22">
        <f t="shared" si="7"/>
        <v>3784.688120317996</v>
      </c>
    </row>
    <row r="38" spans="1:20" x14ac:dyDescent="0.2">
      <c r="A38" s="5">
        <v>47</v>
      </c>
      <c r="B38" s="1">
        <f t="shared" si="13"/>
        <v>1.9478000182997122</v>
      </c>
      <c r="C38" s="5">
        <f t="shared" si="14"/>
        <v>219901.31251623464</v>
      </c>
      <c r="D38" s="5">
        <f t="shared" si="15"/>
        <v>212137.86264061771</v>
      </c>
      <c r="E38" s="5">
        <f t="shared" si="1"/>
        <v>202637.86264061771</v>
      </c>
      <c r="F38" s="5">
        <f t="shared" si="2"/>
        <v>81728.879943754568</v>
      </c>
      <c r="G38" s="5">
        <f t="shared" si="3"/>
        <v>130408.98269686314</v>
      </c>
      <c r="H38" s="22">
        <f t="shared" si="16"/>
        <v>96286.298967750874</v>
      </c>
      <c r="I38" s="5">
        <f t="shared" si="17"/>
        <v>223036.40230383948</v>
      </c>
      <c r="J38" s="26">
        <f t="shared" si="5"/>
        <v>0.26674365591595633</v>
      </c>
      <c r="L38" s="22">
        <f t="shared" si="18"/>
        <v>413515.27117381839</v>
      </c>
      <c r="M38" s="5">
        <f>scrimecost*Meta!O35</f>
        <v>939.37900000000002</v>
      </c>
      <c r="N38" s="5">
        <f>L38-Grade13!L38</f>
        <v>16085.496711593412</v>
      </c>
      <c r="O38" s="5">
        <f>Grade13!M38-M38</f>
        <v>7.4479999999999791</v>
      </c>
      <c r="P38" s="22">
        <f t="shared" si="12"/>
        <v>467.42630083992998</v>
      </c>
      <c r="Q38" s="22"/>
      <c r="R38" s="22"/>
      <c r="S38" s="22">
        <f t="shared" si="6"/>
        <v>11613.218212196474</v>
      </c>
      <c r="T38" s="22">
        <f t="shared" si="7"/>
        <v>3725.1940394659468</v>
      </c>
    </row>
    <row r="39" spans="1:20" x14ac:dyDescent="0.2">
      <c r="A39" s="5">
        <v>48</v>
      </c>
      <c r="B39" s="1">
        <f t="shared" si="13"/>
        <v>1.9964950187572048</v>
      </c>
      <c r="C39" s="5">
        <f t="shared" si="14"/>
        <v>225398.84532914049</v>
      </c>
      <c r="D39" s="5">
        <f t="shared" si="15"/>
        <v>217426.48920663312</v>
      </c>
      <c r="E39" s="5">
        <f t="shared" si="1"/>
        <v>207926.48920663312</v>
      </c>
      <c r="F39" s="5">
        <f t="shared" si="2"/>
        <v>84079.674452348423</v>
      </c>
      <c r="G39" s="5">
        <f t="shared" si="3"/>
        <v>133346.81475428469</v>
      </c>
      <c r="H39" s="22">
        <f t="shared" si="16"/>
        <v>98693.456441944625</v>
      </c>
      <c r="I39" s="5">
        <f t="shared" si="17"/>
        <v>228289.91985143541</v>
      </c>
      <c r="J39" s="26">
        <f t="shared" si="5"/>
        <v>0.26777770500456771</v>
      </c>
      <c r="L39" s="22">
        <f t="shared" si="18"/>
        <v>423853.15295316378</v>
      </c>
      <c r="M39" s="5">
        <f>scrimecost*Meta!O36</f>
        <v>939.37900000000002</v>
      </c>
      <c r="N39" s="5">
        <f>L39-Grade13!L39</f>
        <v>16487.634129383136</v>
      </c>
      <c r="O39" s="5">
        <f>Grade13!M39-M39</f>
        <v>7.4479999999999791</v>
      </c>
      <c r="P39" s="22">
        <f t="shared" si="12"/>
        <v>480.20969822699328</v>
      </c>
      <c r="Q39" s="22"/>
      <c r="R39" s="22"/>
      <c r="S39" s="22">
        <f t="shared" si="6"/>
        <v>11904.371788000364</v>
      </c>
      <c r="T39" s="22">
        <f t="shared" si="7"/>
        <v>3666.6288298533268</v>
      </c>
    </row>
    <row r="40" spans="1:20" x14ac:dyDescent="0.2">
      <c r="A40" s="5">
        <v>49</v>
      </c>
      <c r="B40" s="1">
        <f t="shared" si="13"/>
        <v>2.0464073942261352</v>
      </c>
      <c r="C40" s="5">
        <f t="shared" si="14"/>
        <v>231033.81646236902</v>
      </c>
      <c r="D40" s="5">
        <f t="shared" si="15"/>
        <v>222847.331436799</v>
      </c>
      <c r="E40" s="5">
        <f t="shared" si="1"/>
        <v>213347.331436799</v>
      </c>
      <c r="F40" s="5">
        <f t="shared" si="2"/>
        <v>86489.238823657157</v>
      </c>
      <c r="G40" s="5">
        <f t="shared" si="3"/>
        <v>136358.09261314184</v>
      </c>
      <c r="H40" s="22">
        <f t="shared" si="16"/>
        <v>101160.79285299327</v>
      </c>
      <c r="I40" s="5">
        <f t="shared" si="17"/>
        <v>233674.77533772134</v>
      </c>
      <c r="J40" s="26">
        <f t="shared" si="5"/>
        <v>0.26878653338370079</v>
      </c>
      <c r="L40" s="22">
        <f t="shared" si="18"/>
        <v>434449.48177699291</v>
      </c>
      <c r="M40" s="5">
        <f>scrimecost*Meta!O37</f>
        <v>939.37900000000002</v>
      </c>
      <c r="N40" s="5">
        <f>L40-Grade13!L40</f>
        <v>16899.824982617865</v>
      </c>
      <c r="O40" s="5">
        <f>Grade13!M40-M40</f>
        <v>7.4479999999999791</v>
      </c>
      <c r="P40" s="22">
        <f t="shared" si="12"/>
        <v>493.31268054873328</v>
      </c>
      <c r="Q40" s="22"/>
      <c r="R40" s="22"/>
      <c r="S40" s="22">
        <f t="shared" si="6"/>
        <v>12202.804203199536</v>
      </c>
      <c r="T40" s="22">
        <f t="shared" si="7"/>
        <v>3608.97824324771</v>
      </c>
    </row>
    <row r="41" spans="1:20" x14ac:dyDescent="0.2">
      <c r="A41" s="5">
        <v>50</v>
      </c>
      <c r="B41" s="1">
        <f t="shared" si="13"/>
        <v>2.097567579081788</v>
      </c>
      <c r="C41" s="5">
        <f t="shared" si="14"/>
        <v>236809.66187392818</v>
      </c>
      <c r="D41" s="5">
        <f t="shared" si="15"/>
        <v>228403.69472271888</v>
      </c>
      <c r="E41" s="5">
        <f t="shared" si="1"/>
        <v>218903.69472271888</v>
      </c>
      <c r="F41" s="5">
        <f t="shared" si="2"/>
        <v>88959.042304248534</v>
      </c>
      <c r="G41" s="5">
        <f t="shared" si="3"/>
        <v>139444.65241847036</v>
      </c>
      <c r="H41" s="22">
        <f t="shared" si="16"/>
        <v>103689.81267431808</v>
      </c>
      <c r="I41" s="5">
        <f t="shared" si="17"/>
        <v>239194.25221116433</v>
      </c>
      <c r="J41" s="26">
        <f t="shared" si="5"/>
        <v>0.26977075619261098</v>
      </c>
      <c r="L41" s="22">
        <f t="shared" si="18"/>
        <v>445310.71882141766</v>
      </c>
      <c r="M41" s="5">
        <f>scrimecost*Meta!O38</f>
        <v>627.59799999999996</v>
      </c>
      <c r="N41" s="5">
        <f>L41-Grade13!L41</f>
        <v>17322.320607183094</v>
      </c>
      <c r="O41" s="5">
        <f>Grade13!M41-M41</f>
        <v>4.9759999999999991</v>
      </c>
      <c r="P41" s="22">
        <f t="shared" si="12"/>
        <v>506.74323742851647</v>
      </c>
      <c r="Q41" s="22"/>
      <c r="R41" s="22"/>
      <c r="S41" s="22">
        <f t="shared" si="6"/>
        <v>12506.465212778427</v>
      </c>
      <c r="T41" s="22">
        <f t="shared" si="7"/>
        <v>3551.5943335602601</v>
      </c>
    </row>
    <row r="42" spans="1:20" x14ac:dyDescent="0.2">
      <c r="A42" s="5">
        <v>51</v>
      </c>
      <c r="B42" s="1">
        <f t="shared" si="13"/>
        <v>2.1500067685588333</v>
      </c>
      <c r="C42" s="5">
        <f t="shared" si="14"/>
        <v>242729.90342077645</v>
      </c>
      <c r="D42" s="5">
        <f t="shared" si="15"/>
        <v>234098.96709078693</v>
      </c>
      <c r="E42" s="5">
        <f t="shared" si="1"/>
        <v>224598.96709078693</v>
      </c>
      <c r="F42" s="5">
        <f t="shared" si="2"/>
        <v>91490.590871854787</v>
      </c>
      <c r="G42" s="5">
        <f t="shared" si="3"/>
        <v>142608.37621893216</v>
      </c>
      <c r="H42" s="22">
        <f t="shared" si="16"/>
        <v>106282.05799117604</v>
      </c>
      <c r="I42" s="5">
        <f t="shared" si="17"/>
        <v>244851.71600644349</v>
      </c>
      <c r="J42" s="26">
        <f t="shared" si="5"/>
        <v>0.27073097356715764</v>
      </c>
      <c r="L42" s="22">
        <f t="shared" si="18"/>
        <v>456443.48679195321</v>
      </c>
      <c r="M42" s="5">
        <f>scrimecost*Meta!O39</f>
        <v>627.59799999999996</v>
      </c>
      <c r="N42" s="5">
        <f>L42-Grade13!L42</f>
        <v>17755.378622362914</v>
      </c>
      <c r="O42" s="5">
        <f>Grade13!M42-M42</f>
        <v>4.9759999999999991</v>
      </c>
      <c r="P42" s="22">
        <f t="shared" si="12"/>
        <v>520.50955823029472</v>
      </c>
      <c r="Q42" s="22"/>
      <c r="R42" s="22"/>
      <c r="S42" s="22">
        <f t="shared" ref="S42:S69" si="19">IF(A42&lt;startage,1,0)*(N42-Q42-R42)+IF(A42&gt;=startage,1,0)*completionprob*(N42*spart+O42+P42)</f>
        <v>12820.005768997116</v>
      </c>
      <c r="T42" s="22">
        <f t="shared" ref="T42:T69" si="20">S42/sreturn^(A42-startage+1)</f>
        <v>3495.7563050028421</v>
      </c>
    </row>
    <row r="43" spans="1:20" x14ac:dyDescent="0.2">
      <c r="A43" s="5">
        <v>52</v>
      </c>
      <c r="B43" s="1">
        <f t="shared" si="13"/>
        <v>2.2037569377728037</v>
      </c>
      <c r="C43" s="5">
        <f t="shared" si="14"/>
        <v>248798.15100629581</v>
      </c>
      <c r="D43" s="5">
        <f t="shared" si="15"/>
        <v>239936.62126805654</v>
      </c>
      <c r="E43" s="5">
        <f t="shared" si="1"/>
        <v>230436.62126805654</v>
      </c>
      <c r="F43" s="5">
        <f t="shared" si="2"/>
        <v>94085.428153651141</v>
      </c>
      <c r="G43" s="5">
        <f t="shared" si="3"/>
        <v>145851.19311440538</v>
      </c>
      <c r="H43" s="22">
        <f t="shared" si="16"/>
        <v>108939.10944095542</v>
      </c>
      <c r="I43" s="5">
        <f t="shared" si="17"/>
        <v>250650.61639660451</v>
      </c>
      <c r="J43" s="26">
        <f t="shared" si="5"/>
        <v>0.27166777100573969</v>
      </c>
      <c r="L43" s="22">
        <f t="shared" si="18"/>
        <v>467854.573961752</v>
      </c>
      <c r="M43" s="5">
        <f>scrimecost*Meta!O40</f>
        <v>627.59799999999996</v>
      </c>
      <c r="N43" s="5">
        <f>L43-Grade13!L43</f>
        <v>18199.263087922009</v>
      </c>
      <c r="O43" s="5">
        <f>Grade13!M43-M43</f>
        <v>4.9759999999999991</v>
      </c>
      <c r="P43" s="22">
        <f t="shared" si="12"/>
        <v>534.62003705211703</v>
      </c>
      <c r="Q43" s="22"/>
      <c r="R43" s="22"/>
      <c r="S43" s="22">
        <f t="shared" si="19"/>
        <v>13141.384839121114</v>
      </c>
      <c r="T43" s="22">
        <f t="shared" si="20"/>
        <v>3440.7903903964275</v>
      </c>
    </row>
    <row r="44" spans="1:20" x14ac:dyDescent="0.2">
      <c r="A44" s="5">
        <v>53</v>
      </c>
      <c r="B44" s="1">
        <f t="shared" si="13"/>
        <v>2.2588508612171236</v>
      </c>
      <c r="C44" s="5">
        <f t="shared" si="14"/>
        <v>255018.10478145321</v>
      </c>
      <c r="D44" s="5">
        <f t="shared" si="15"/>
        <v>245920.21679975797</v>
      </c>
      <c r="E44" s="5">
        <f t="shared" si="1"/>
        <v>236420.21679975797</v>
      </c>
      <c r="F44" s="5">
        <f t="shared" si="2"/>
        <v>96745.136367492421</v>
      </c>
      <c r="G44" s="5">
        <f t="shared" si="3"/>
        <v>149175.08043226553</v>
      </c>
      <c r="H44" s="22">
        <f t="shared" si="16"/>
        <v>111662.58717697932</v>
      </c>
      <c r="I44" s="5">
        <f t="shared" si="17"/>
        <v>256594.48929651963</v>
      </c>
      <c r="J44" s="26">
        <f t="shared" si="5"/>
        <v>0.27258171972630757</v>
      </c>
      <c r="L44" s="22">
        <f t="shared" si="18"/>
        <v>479550.93831079575</v>
      </c>
      <c r="M44" s="5">
        <f>scrimecost*Meta!O41</f>
        <v>627.59799999999996</v>
      </c>
      <c r="N44" s="5">
        <f>L44-Grade13!L44</f>
        <v>18654.244665119972</v>
      </c>
      <c r="O44" s="5">
        <f>Grade13!M44-M44</f>
        <v>4.9759999999999991</v>
      </c>
      <c r="P44" s="22">
        <f t="shared" si="12"/>
        <v>549.083277844485</v>
      </c>
      <c r="Q44" s="22"/>
      <c r="R44" s="22"/>
      <c r="S44" s="22">
        <f t="shared" si="19"/>
        <v>13470.798385998138</v>
      </c>
      <c r="T44" s="22">
        <f t="shared" si="20"/>
        <v>3386.6831990841315</v>
      </c>
    </row>
    <row r="45" spans="1:20" x14ac:dyDescent="0.2">
      <c r="A45" s="5">
        <v>54</v>
      </c>
      <c r="B45" s="1">
        <f t="shared" si="13"/>
        <v>2.3153221327475517</v>
      </c>
      <c r="C45" s="5">
        <f t="shared" si="14"/>
        <v>261393.55740098955</v>
      </c>
      <c r="D45" s="5">
        <f t="shared" si="15"/>
        <v>252053.40221975194</v>
      </c>
      <c r="E45" s="5">
        <f t="shared" si="1"/>
        <v>242553.40221975194</v>
      </c>
      <c r="F45" s="5">
        <f t="shared" si="2"/>
        <v>99471.337286679729</v>
      </c>
      <c r="G45" s="5">
        <f t="shared" si="3"/>
        <v>152582.06493307219</v>
      </c>
      <c r="H45" s="22">
        <f t="shared" si="16"/>
        <v>114454.15185640378</v>
      </c>
      <c r="I45" s="5">
        <f t="shared" si="17"/>
        <v>262686.95901893266</v>
      </c>
      <c r="J45" s="26">
        <f t="shared" si="5"/>
        <v>0.27347337701466645</v>
      </c>
      <c r="L45" s="22">
        <f t="shared" si="18"/>
        <v>491539.71176856558</v>
      </c>
      <c r="M45" s="5">
        <f>scrimecost*Meta!O42</f>
        <v>627.59799999999996</v>
      </c>
      <c r="N45" s="5">
        <f>L45-Grade13!L45</f>
        <v>19120.600781747897</v>
      </c>
      <c r="O45" s="5">
        <f>Grade13!M45-M45</f>
        <v>4.9759999999999991</v>
      </c>
      <c r="P45" s="22">
        <f t="shared" si="12"/>
        <v>563.9080996566621</v>
      </c>
      <c r="Q45" s="22"/>
      <c r="R45" s="22"/>
      <c r="S45" s="22">
        <f t="shared" si="19"/>
        <v>13808.447271547098</v>
      </c>
      <c r="T45" s="22">
        <f t="shared" si="20"/>
        <v>3333.4215367365969</v>
      </c>
    </row>
    <row r="46" spans="1:20" x14ac:dyDescent="0.2">
      <c r="A46" s="5">
        <v>55</v>
      </c>
      <c r="B46" s="1">
        <f t="shared" si="13"/>
        <v>2.3732051860662402</v>
      </c>
      <c r="C46" s="5">
        <f t="shared" si="14"/>
        <v>267928.39633601421</v>
      </c>
      <c r="D46" s="5">
        <f t="shared" si="15"/>
        <v>258339.91727524565</v>
      </c>
      <c r="E46" s="5">
        <f t="shared" si="1"/>
        <v>248839.91727524565</v>
      </c>
      <c r="F46" s="5">
        <f t="shared" si="2"/>
        <v>102265.69322884669</v>
      </c>
      <c r="G46" s="5">
        <f t="shared" si="3"/>
        <v>156074.22404639894</v>
      </c>
      <c r="H46" s="22">
        <f t="shared" si="16"/>
        <v>117315.50565281387</v>
      </c>
      <c r="I46" s="5">
        <f t="shared" si="17"/>
        <v>268931.74048440589</v>
      </c>
      <c r="J46" s="26">
        <f t="shared" si="5"/>
        <v>0.27434328656428486</v>
      </c>
      <c r="L46" s="22">
        <f t="shared" si="18"/>
        <v>503828.20456277969</v>
      </c>
      <c r="M46" s="5">
        <f>scrimecost*Meta!O43</f>
        <v>348.10499999999996</v>
      </c>
      <c r="N46" s="5">
        <f>L46-Grade13!L46</f>
        <v>19598.615801291598</v>
      </c>
      <c r="O46" s="5">
        <f>Grade13!M46-M46</f>
        <v>2.7599999999999909</v>
      </c>
      <c r="P46" s="22">
        <f t="shared" si="12"/>
        <v>579.10354201414373</v>
      </c>
      <c r="Q46" s="22"/>
      <c r="R46" s="22"/>
      <c r="S46" s="22">
        <f t="shared" si="19"/>
        <v>14152.536331234835</v>
      </c>
      <c r="T46" s="22">
        <f t="shared" si="20"/>
        <v>3280.5285640776146</v>
      </c>
    </row>
    <row r="47" spans="1:20" x14ac:dyDescent="0.2">
      <c r="A47" s="5">
        <v>56</v>
      </c>
      <c r="B47" s="1">
        <f t="shared" si="13"/>
        <v>2.4325353157178964</v>
      </c>
      <c r="C47" s="5">
        <f t="shared" si="14"/>
        <v>274626.60624441464</v>
      </c>
      <c r="D47" s="5">
        <f t="shared" si="15"/>
        <v>264783.59520712687</v>
      </c>
      <c r="E47" s="5">
        <f t="shared" si="1"/>
        <v>255283.59520712687</v>
      </c>
      <c r="F47" s="5">
        <f t="shared" si="2"/>
        <v>105129.9080695679</v>
      </c>
      <c r="G47" s="5">
        <f t="shared" si="3"/>
        <v>159653.68713755897</v>
      </c>
      <c r="H47" s="22">
        <f t="shared" si="16"/>
        <v>120248.39329413422</v>
      </c>
      <c r="I47" s="5">
        <f t="shared" si="17"/>
        <v>275332.64148651611</v>
      </c>
      <c r="J47" s="26">
        <f t="shared" si="5"/>
        <v>0.2751919788078151</v>
      </c>
      <c r="L47" s="22">
        <f t="shared" si="18"/>
        <v>516423.90967684926</v>
      </c>
      <c r="M47" s="5">
        <f>scrimecost*Meta!O44</f>
        <v>348.10499999999996</v>
      </c>
      <c r="N47" s="5">
        <f>L47-Grade13!L47</f>
        <v>20088.581196323968</v>
      </c>
      <c r="O47" s="5">
        <f>Grade13!M47-M47</f>
        <v>2.7599999999999909</v>
      </c>
      <c r="P47" s="22">
        <f t="shared" si="12"/>
        <v>594.6788704305626</v>
      </c>
      <c r="Q47" s="22"/>
      <c r="R47" s="22"/>
      <c r="S47" s="22">
        <f t="shared" si="19"/>
        <v>14507.278691614816</v>
      </c>
      <c r="T47" s="22">
        <f t="shared" si="20"/>
        <v>3228.9376077710735</v>
      </c>
    </row>
    <row r="48" spans="1:20" x14ac:dyDescent="0.2">
      <c r="A48" s="5">
        <v>57</v>
      </c>
      <c r="B48" s="1">
        <f t="shared" si="13"/>
        <v>2.4933486986108435</v>
      </c>
      <c r="C48" s="5">
        <f t="shared" si="14"/>
        <v>281492.27140052494</v>
      </c>
      <c r="D48" s="5">
        <f t="shared" si="15"/>
        <v>271388.36508730496</v>
      </c>
      <c r="E48" s="5">
        <f t="shared" si="1"/>
        <v>261888.36508730496</v>
      </c>
      <c r="F48" s="5">
        <f t="shared" si="2"/>
        <v>108065.72828130705</v>
      </c>
      <c r="G48" s="5">
        <f t="shared" si="3"/>
        <v>163322.63680599793</v>
      </c>
      <c r="H48" s="22">
        <f t="shared" si="16"/>
        <v>123254.60312648756</v>
      </c>
      <c r="I48" s="5">
        <f t="shared" si="17"/>
        <v>281893.56501367898</v>
      </c>
      <c r="J48" s="26">
        <f t="shared" si="5"/>
        <v>0.27601997124052741</v>
      </c>
      <c r="L48" s="22">
        <f t="shared" si="18"/>
        <v>529334.50741877034</v>
      </c>
      <c r="M48" s="5">
        <f>scrimecost*Meta!O45</f>
        <v>348.10499999999996</v>
      </c>
      <c r="N48" s="5">
        <f>L48-Grade13!L48</f>
        <v>20590.795726232114</v>
      </c>
      <c r="O48" s="5">
        <f>Grade13!M48-M48</f>
        <v>2.7599999999999909</v>
      </c>
      <c r="P48" s="22">
        <f t="shared" si="12"/>
        <v>610.64358205739154</v>
      </c>
      <c r="Q48" s="22"/>
      <c r="R48" s="22"/>
      <c r="S48" s="22">
        <f t="shared" si="19"/>
        <v>14870.889611004277</v>
      </c>
      <c r="T48" s="22">
        <f t="shared" si="20"/>
        <v>3178.1530159570621</v>
      </c>
    </row>
    <row r="49" spans="1:20" x14ac:dyDescent="0.2">
      <c r="A49" s="5">
        <v>58</v>
      </c>
      <c r="B49" s="1">
        <f t="shared" si="13"/>
        <v>2.555682416076114</v>
      </c>
      <c r="C49" s="5">
        <f t="shared" si="14"/>
        <v>288529.578185538</v>
      </c>
      <c r="D49" s="5">
        <f t="shared" si="15"/>
        <v>278158.25421448756</v>
      </c>
      <c r="E49" s="5">
        <f t="shared" si="1"/>
        <v>268658.25421448756</v>
      </c>
      <c r="F49" s="5">
        <f t="shared" si="2"/>
        <v>111074.94399833972</v>
      </c>
      <c r="G49" s="5">
        <f t="shared" si="3"/>
        <v>167083.31021614786</v>
      </c>
      <c r="H49" s="22">
        <f t="shared" si="16"/>
        <v>126335.96820464972</v>
      </c>
      <c r="I49" s="5">
        <f t="shared" si="17"/>
        <v>288618.51162902091</v>
      </c>
      <c r="J49" s="26">
        <f t="shared" si="5"/>
        <v>0.27682776873585657</v>
      </c>
      <c r="L49" s="22">
        <f t="shared" si="18"/>
        <v>542567.87010423956</v>
      </c>
      <c r="M49" s="5">
        <f>scrimecost*Meta!O46</f>
        <v>348.10499999999996</v>
      </c>
      <c r="N49" s="5">
        <f>L49-Grade13!L49</f>
        <v>21105.56561938778</v>
      </c>
      <c r="O49" s="5">
        <f>Grade13!M49-M49</f>
        <v>2.7599999999999909</v>
      </c>
      <c r="P49" s="22">
        <f t="shared" si="12"/>
        <v>627.00741147489134</v>
      </c>
      <c r="Q49" s="22"/>
      <c r="R49" s="22"/>
      <c r="S49" s="22">
        <f t="shared" si="19"/>
        <v>15243.590803378343</v>
      </c>
      <c r="T49" s="22">
        <f t="shared" si="20"/>
        <v>3128.1623840171656</v>
      </c>
    </row>
    <row r="50" spans="1:20" x14ac:dyDescent="0.2">
      <c r="A50" s="5">
        <v>59</v>
      </c>
      <c r="B50" s="1">
        <f t="shared" si="13"/>
        <v>2.6195744764780171</v>
      </c>
      <c r="C50" s="5">
        <f t="shared" si="14"/>
        <v>295742.81764017645</v>
      </c>
      <c r="D50" s="5">
        <f t="shared" si="15"/>
        <v>285097.3905698497</v>
      </c>
      <c r="E50" s="5">
        <f t="shared" si="1"/>
        <v>275597.3905698497</v>
      </c>
      <c r="F50" s="5">
        <f t="shared" si="2"/>
        <v>114159.39010829818</v>
      </c>
      <c r="G50" s="5">
        <f t="shared" si="3"/>
        <v>170938.00046155154</v>
      </c>
      <c r="H50" s="22">
        <f t="shared" si="16"/>
        <v>129494.36740976598</v>
      </c>
      <c r="I50" s="5">
        <f t="shared" si="17"/>
        <v>295511.5819097464</v>
      </c>
      <c r="J50" s="26">
        <f t="shared" si="5"/>
        <v>0.27761586385325077</v>
      </c>
      <c r="L50" s="22">
        <f t="shared" si="18"/>
        <v>556132.06685684563</v>
      </c>
      <c r="M50" s="5">
        <f>scrimecost*Meta!O47</f>
        <v>348.10499999999996</v>
      </c>
      <c r="N50" s="5">
        <f>L50-Grade13!L50</f>
        <v>21633.204759872635</v>
      </c>
      <c r="O50" s="5">
        <f>Grade13!M50-M50</f>
        <v>2.7599999999999909</v>
      </c>
      <c r="P50" s="22">
        <f t="shared" si="12"/>
        <v>643.78033662782866</v>
      </c>
      <c r="Q50" s="22"/>
      <c r="R50" s="22"/>
      <c r="S50" s="22">
        <f t="shared" si="19"/>
        <v>15625.609525561968</v>
      </c>
      <c r="T50" s="22">
        <f t="shared" si="20"/>
        <v>3078.9534901652387</v>
      </c>
    </row>
    <row r="51" spans="1:20" x14ac:dyDescent="0.2">
      <c r="A51" s="5">
        <v>60</v>
      </c>
      <c r="B51" s="1">
        <f t="shared" si="13"/>
        <v>2.6850638383899672</v>
      </c>
      <c r="C51" s="5">
        <f t="shared" si="14"/>
        <v>303136.38808118086</v>
      </c>
      <c r="D51" s="5">
        <f t="shared" si="15"/>
        <v>292210.00533409597</v>
      </c>
      <c r="E51" s="5">
        <f t="shared" si="1"/>
        <v>282710.00533409597</v>
      </c>
      <c r="F51" s="5">
        <f t="shared" si="2"/>
        <v>117320.94737100565</v>
      </c>
      <c r="G51" s="5">
        <f t="shared" si="3"/>
        <v>174889.05796309031</v>
      </c>
      <c r="H51" s="22">
        <f t="shared" si="16"/>
        <v>132731.72659501011</v>
      </c>
      <c r="I51" s="5">
        <f t="shared" si="17"/>
        <v>302576.97894749005</v>
      </c>
      <c r="J51" s="26">
        <f t="shared" si="5"/>
        <v>0.27838473713851353</v>
      </c>
      <c r="L51" s="22">
        <f t="shared" si="18"/>
        <v>570035.36852826655</v>
      </c>
      <c r="M51" s="5">
        <f>scrimecost*Meta!O48</f>
        <v>183.63800000000001</v>
      </c>
      <c r="N51" s="5">
        <f>L51-Grade13!L51</f>
        <v>22174.034878869192</v>
      </c>
      <c r="O51" s="5">
        <f>Grade13!M51-M51</f>
        <v>1.4559999999999889</v>
      </c>
      <c r="P51" s="22">
        <f t="shared" si="12"/>
        <v>660.97258490958927</v>
      </c>
      <c r="Q51" s="22"/>
      <c r="R51" s="22"/>
      <c r="S51" s="22">
        <f t="shared" si="19"/>
        <v>16016.001203799893</v>
      </c>
      <c r="T51" s="22">
        <f t="shared" si="20"/>
        <v>3030.2915030975655</v>
      </c>
    </row>
    <row r="52" spans="1:20" x14ac:dyDescent="0.2">
      <c r="A52" s="5">
        <v>61</v>
      </c>
      <c r="B52" s="1">
        <f t="shared" si="13"/>
        <v>2.7521904343497163</v>
      </c>
      <c r="C52" s="5">
        <f t="shared" si="14"/>
        <v>310714.79778321041</v>
      </c>
      <c r="D52" s="5">
        <f t="shared" si="15"/>
        <v>299500.43546744838</v>
      </c>
      <c r="E52" s="5">
        <f t="shared" si="1"/>
        <v>290000.43546744838</v>
      </c>
      <c r="F52" s="5">
        <f t="shared" si="2"/>
        <v>120561.54356528081</v>
      </c>
      <c r="G52" s="5">
        <f t="shared" si="3"/>
        <v>178938.89190216758</v>
      </c>
      <c r="H52" s="22">
        <f t="shared" si="16"/>
        <v>136050.01975988536</v>
      </c>
      <c r="I52" s="5">
        <f t="shared" si="17"/>
        <v>309819.01091117726</v>
      </c>
      <c r="J52" s="26">
        <f t="shared" si="5"/>
        <v>0.27913485741681865</v>
      </c>
      <c r="L52" s="22">
        <f t="shared" si="18"/>
        <v>584286.25274147326</v>
      </c>
      <c r="M52" s="5">
        <f>scrimecost*Meta!O49</f>
        <v>183.63800000000001</v>
      </c>
      <c r="N52" s="5">
        <f>L52-Grade13!L52</f>
        <v>22728.385750841</v>
      </c>
      <c r="O52" s="5">
        <f>Grade13!M52-M52</f>
        <v>1.4559999999999889</v>
      </c>
      <c r="P52" s="22">
        <f t="shared" si="12"/>
        <v>678.59463939839418</v>
      </c>
      <c r="Q52" s="22"/>
      <c r="R52" s="22"/>
      <c r="S52" s="22">
        <f t="shared" si="19"/>
        <v>16417.359623794004</v>
      </c>
      <c r="T52" s="22">
        <f t="shared" si="20"/>
        <v>2982.6190054000635</v>
      </c>
    </row>
    <row r="53" spans="1:20" x14ac:dyDescent="0.2">
      <c r="A53" s="5">
        <v>62</v>
      </c>
      <c r="B53" s="1">
        <f t="shared" si="13"/>
        <v>2.8209951952084591</v>
      </c>
      <c r="C53" s="5">
        <f t="shared" si="14"/>
        <v>318482.6677277906</v>
      </c>
      <c r="D53" s="5">
        <f t="shared" si="15"/>
        <v>306973.12635413453</v>
      </c>
      <c r="E53" s="5">
        <f t="shared" si="1"/>
        <v>297473.12635413453</v>
      </c>
      <c r="F53" s="5">
        <f t="shared" si="2"/>
        <v>123883.1546644128</v>
      </c>
      <c r="G53" s="5">
        <f t="shared" si="3"/>
        <v>183089.97168972174</v>
      </c>
      <c r="H53" s="22">
        <f t="shared" si="16"/>
        <v>139451.27025388248</v>
      </c>
      <c r="I53" s="5">
        <f t="shared" si="17"/>
        <v>317242.0936739567</v>
      </c>
      <c r="J53" s="26">
        <f t="shared" si="5"/>
        <v>0.27986668207857973</v>
      </c>
      <c r="L53" s="22">
        <f t="shared" si="18"/>
        <v>598893.4090600101</v>
      </c>
      <c r="M53" s="5">
        <f>scrimecost*Meta!O50</f>
        <v>183.63800000000001</v>
      </c>
      <c r="N53" s="5">
        <f>L53-Grade13!L53</f>
        <v>23296.595394612057</v>
      </c>
      <c r="O53" s="5">
        <f>Grade13!M53-M53</f>
        <v>1.4559999999999889</v>
      </c>
      <c r="P53" s="22">
        <f t="shared" si="12"/>
        <v>696.65724524941925</v>
      </c>
      <c r="Q53" s="22"/>
      <c r="R53" s="22"/>
      <c r="S53" s="22">
        <f t="shared" si="19"/>
        <v>16828.752004287933</v>
      </c>
      <c r="T53" s="22">
        <f t="shared" si="20"/>
        <v>2935.6923010141536</v>
      </c>
    </row>
    <row r="54" spans="1:20" x14ac:dyDescent="0.2">
      <c r="A54" s="5">
        <v>63</v>
      </c>
      <c r="B54" s="1">
        <f t="shared" si="13"/>
        <v>2.8915200750886707</v>
      </c>
      <c r="C54" s="5">
        <f t="shared" si="14"/>
        <v>326444.73442098539</v>
      </c>
      <c r="D54" s="5">
        <f t="shared" si="15"/>
        <v>314632.63451298792</v>
      </c>
      <c r="E54" s="5">
        <f t="shared" si="1"/>
        <v>305132.63451298792</v>
      </c>
      <c r="F54" s="5">
        <f t="shared" si="2"/>
        <v>127287.80604102314</v>
      </c>
      <c r="G54" s="5">
        <f t="shared" si="3"/>
        <v>187344.82847196478</v>
      </c>
      <c r="H54" s="22">
        <f t="shared" si="16"/>
        <v>142937.55201022956</v>
      </c>
      <c r="I54" s="5">
        <f t="shared" si="17"/>
        <v>324850.75350580562</v>
      </c>
      <c r="J54" s="26">
        <f t="shared" si="5"/>
        <v>0.28058065735834664</v>
      </c>
      <c r="L54" s="22">
        <f t="shared" si="18"/>
        <v>613865.74428651028</v>
      </c>
      <c r="M54" s="5">
        <f>scrimecost*Meta!O51</f>
        <v>183.63800000000001</v>
      </c>
      <c r="N54" s="5">
        <f>L54-Grade13!L54</f>
        <v>23879.010279477458</v>
      </c>
      <c r="O54" s="5">
        <f>Grade13!M54-M54</f>
        <v>1.4559999999999889</v>
      </c>
      <c r="P54" s="22">
        <f t="shared" si="12"/>
        <v>715.17141624671967</v>
      </c>
      <c r="Q54" s="22"/>
      <c r="R54" s="22"/>
      <c r="S54" s="22">
        <f t="shared" si="19"/>
        <v>17250.429194294262</v>
      </c>
      <c r="T54" s="22">
        <f t="shared" si="20"/>
        <v>2889.4998900096793</v>
      </c>
    </row>
    <row r="55" spans="1:20" x14ac:dyDescent="0.2">
      <c r="A55" s="5">
        <v>64</v>
      </c>
      <c r="B55" s="1">
        <f t="shared" si="13"/>
        <v>2.9638080769658868</v>
      </c>
      <c r="C55" s="5">
        <f t="shared" si="14"/>
        <v>334605.85278150992</v>
      </c>
      <c r="D55" s="5">
        <f t="shared" si="15"/>
        <v>322483.63037581253</v>
      </c>
      <c r="E55" s="5">
        <f t="shared" si="1"/>
        <v>312983.63037581253</v>
      </c>
      <c r="F55" s="5">
        <f t="shared" si="2"/>
        <v>130777.57370204867</v>
      </c>
      <c r="G55" s="5">
        <f t="shared" si="3"/>
        <v>191706.05667376384</v>
      </c>
      <c r="H55" s="22">
        <f t="shared" si="16"/>
        <v>146510.99081048527</v>
      </c>
      <c r="I55" s="5">
        <f t="shared" si="17"/>
        <v>332649.62983345066</v>
      </c>
      <c r="J55" s="26">
        <f t="shared" si="5"/>
        <v>0.28127721860689969</v>
      </c>
      <c r="L55" s="22">
        <f t="shared" si="18"/>
        <v>629212.38789367292</v>
      </c>
      <c r="M55" s="5">
        <f>scrimecost*Meta!O52</f>
        <v>183.63800000000001</v>
      </c>
      <c r="N55" s="5">
        <f>L55-Grade13!L55</f>
        <v>24475.985536464257</v>
      </c>
      <c r="O55" s="5">
        <f>Grade13!M55-M55</f>
        <v>1.4559999999999889</v>
      </c>
      <c r="P55" s="22">
        <f t="shared" si="12"/>
        <v>734.14844151895272</v>
      </c>
      <c r="Q55" s="22"/>
      <c r="R55" s="22"/>
      <c r="S55" s="22">
        <f t="shared" si="19"/>
        <v>17682.648314050573</v>
      </c>
      <c r="T55" s="22">
        <f t="shared" si="20"/>
        <v>2844.0304430613455</v>
      </c>
    </row>
    <row r="56" spans="1:20" x14ac:dyDescent="0.2">
      <c r="A56" s="5">
        <v>65</v>
      </c>
      <c r="B56" s="1">
        <f t="shared" si="13"/>
        <v>3.0379032788900342</v>
      </c>
      <c r="C56" s="5">
        <f t="shared" si="14"/>
        <v>342970.9991010477</v>
      </c>
      <c r="D56" s="5">
        <f t="shared" si="15"/>
        <v>330530.90113520785</v>
      </c>
      <c r="E56" s="5">
        <f t="shared" si="1"/>
        <v>321030.90113520785</v>
      </c>
      <c r="F56" s="5">
        <f t="shared" si="2"/>
        <v>134354.58555459988</v>
      </c>
      <c r="G56" s="5">
        <f t="shared" si="3"/>
        <v>196176.31558060797</v>
      </c>
      <c r="H56" s="22">
        <f t="shared" si="16"/>
        <v>150173.76558074742</v>
      </c>
      <c r="I56" s="5">
        <f t="shared" si="17"/>
        <v>340643.47806928703</v>
      </c>
      <c r="J56" s="26">
        <f t="shared" si="5"/>
        <v>0.28195679055670753</v>
      </c>
      <c r="L56" s="22">
        <f t="shared" si="18"/>
        <v>644942.6975910149</v>
      </c>
      <c r="M56" s="5">
        <f>scrimecost*Meta!O53</f>
        <v>55.494999999999997</v>
      </c>
      <c r="N56" s="5">
        <f>L56-Grade13!L56</f>
        <v>25087.885174876079</v>
      </c>
      <c r="O56" s="5">
        <f>Grade13!M56-M56</f>
        <v>0.44000000000000483</v>
      </c>
      <c r="P56" s="22">
        <f t="shared" si="12"/>
        <v>753.59989242299162</v>
      </c>
      <c r="Q56" s="22"/>
      <c r="R56" s="22"/>
      <c r="S56" s="22">
        <f t="shared" si="19"/>
        <v>18124.755463801048</v>
      </c>
      <c r="T56" s="22">
        <f t="shared" si="20"/>
        <v>2799.1311113634843</v>
      </c>
    </row>
    <row r="57" spans="1:20" x14ac:dyDescent="0.2">
      <c r="A57" s="5">
        <v>66</v>
      </c>
      <c r="C57" s="5"/>
      <c r="H57" s="21"/>
      <c r="I57" s="5"/>
      <c r="M57" s="5">
        <f>scrimecost*Meta!O54</f>
        <v>55.494999999999997</v>
      </c>
      <c r="N57" s="5">
        <f>L57-Grade13!L57</f>
        <v>0</v>
      </c>
      <c r="O57" s="5">
        <f>Grade13!M57-M57</f>
        <v>0.44000000000000483</v>
      </c>
      <c r="Q57" s="22"/>
      <c r="R57" s="22"/>
      <c r="S57" s="22">
        <f t="shared" si="19"/>
        <v>0.39732000000000439</v>
      </c>
      <c r="T57" s="22">
        <f t="shared" si="20"/>
        <v>5.891904057684498E-2</v>
      </c>
    </row>
    <row r="58" spans="1:20" x14ac:dyDescent="0.2">
      <c r="A58" s="5">
        <v>67</v>
      </c>
      <c r="C58" s="5"/>
      <c r="H58" s="21"/>
      <c r="I58" s="5"/>
      <c r="M58" s="5">
        <f>scrimecost*Meta!O55</f>
        <v>55.494999999999997</v>
      </c>
      <c r="N58" s="5">
        <f>L58-Grade13!L58</f>
        <v>0</v>
      </c>
      <c r="O58" s="5">
        <f>Grade13!M58-M58</f>
        <v>0.44000000000000483</v>
      </c>
      <c r="Q58" s="22"/>
      <c r="R58" s="22"/>
      <c r="S58" s="22">
        <f t="shared" si="19"/>
        <v>0.39732000000000439</v>
      </c>
      <c r="T58" s="22">
        <f t="shared" si="20"/>
        <v>5.6574382228377809E-2</v>
      </c>
    </row>
    <row r="59" spans="1:20" x14ac:dyDescent="0.2">
      <c r="A59" s="5">
        <v>68</v>
      </c>
      <c r="H59" s="21"/>
      <c r="I59" s="5"/>
      <c r="M59" s="5">
        <f>scrimecost*Meta!O56</f>
        <v>55.494999999999997</v>
      </c>
      <c r="N59" s="5">
        <f>L59-Grade13!L59</f>
        <v>0</v>
      </c>
      <c r="O59" s="5">
        <f>Grade13!M59-M59</f>
        <v>0.44000000000000483</v>
      </c>
      <c r="Q59" s="22"/>
      <c r="R59" s="22"/>
      <c r="S59" s="22">
        <f t="shared" si="19"/>
        <v>0.39732000000000439</v>
      </c>
      <c r="T59" s="22">
        <f t="shared" si="20"/>
        <v>5.4323028569145483E-2</v>
      </c>
    </row>
    <row r="60" spans="1:20" x14ac:dyDescent="0.2">
      <c r="A60" s="5">
        <v>69</v>
      </c>
      <c r="H60" s="21"/>
      <c r="I60" s="5"/>
      <c r="M60" s="5">
        <f>scrimecost*Meta!O57</f>
        <v>55.494999999999997</v>
      </c>
      <c r="N60" s="5">
        <f>L60-Grade13!L60</f>
        <v>0</v>
      </c>
      <c r="O60" s="5">
        <f>Grade13!M60-M60</f>
        <v>0.44000000000000483</v>
      </c>
      <c r="Q60" s="22"/>
      <c r="R60" s="22"/>
      <c r="S60" s="22">
        <f t="shared" si="19"/>
        <v>0.39732000000000439</v>
      </c>
      <c r="T60" s="22">
        <f t="shared" si="20"/>
        <v>5.2161266578426263E-2</v>
      </c>
    </row>
    <row r="61" spans="1:20" x14ac:dyDescent="0.2">
      <c r="A61" s="5">
        <v>70</v>
      </c>
      <c r="H61" s="21"/>
      <c r="I61" s="5"/>
      <c r="M61" s="5">
        <f>scrimecost*Meta!O58</f>
        <v>55.494999999999997</v>
      </c>
      <c r="N61" s="5">
        <f>L61-Grade13!L61</f>
        <v>0</v>
      </c>
      <c r="O61" s="5">
        <f>Grade13!M61-M61</f>
        <v>0.44000000000000483</v>
      </c>
      <c r="Q61" s="22"/>
      <c r="R61" s="22"/>
      <c r="S61" s="22">
        <f t="shared" si="19"/>
        <v>0.39732000000000439</v>
      </c>
      <c r="T61" s="22">
        <f t="shared" si="20"/>
        <v>5.0085530993590706E-2</v>
      </c>
    </row>
    <row r="62" spans="1:20" x14ac:dyDescent="0.2">
      <c r="A62" s="5">
        <v>71</v>
      </c>
      <c r="H62" s="21"/>
      <c r="I62" s="5"/>
      <c r="M62" s="5">
        <f>scrimecost*Meta!O59</f>
        <v>55.494999999999997</v>
      </c>
      <c r="N62" s="5">
        <f>L62-Grade13!L62</f>
        <v>0</v>
      </c>
      <c r="O62" s="5">
        <f>Grade13!M62-M62</f>
        <v>0.44000000000000483</v>
      </c>
      <c r="Q62" s="22"/>
      <c r="R62" s="22"/>
      <c r="S62" s="22">
        <f t="shared" si="19"/>
        <v>0.39732000000000439</v>
      </c>
      <c r="T62" s="22">
        <f t="shared" si="20"/>
        <v>4.8092398430130655E-2</v>
      </c>
    </row>
    <row r="63" spans="1:20" x14ac:dyDescent="0.2">
      <c r="A63" s="5">
        <v>72</v>
      </c>
      <c r="H63" s="21"/>
      <c r="M63" s="5">
        <f>scrimecost*Meta!O60</f>
        <v>55.494999999999997</v>
      </c>
      <c r="N63" s="5">
        <f>L63-Grade13!L63</f>
        <v>0</v>
      </c>
      <c r="O63" s="5">
        <f>Grade13!M63-M63</f>
        <v>0.44000000000000483</v>
      </c>
      <c r="Q63" s="22"/>
      <c r="R63" s="22"/>
      <c r="S63" s="22">
        <f t="shared" si="19"/>
        <v>0.39732000000000439</v>
      </c>
      <c r="T63" s="22">
        <f t="shared" si="20"/>
        <v>4.6178581735679444E-2</v>
      </c>
    </row>
    <row r="64" spans="1:20" x14ac:dyDescent="0.2">
      <c r="A64" s="5">
        <v>73</v>
      </c>
      <c r="H64" s="21"/>
      <c r="M64" s="5">
        <f>scrimecost*Meta!O61</f>
        <v>55.494999999999997</v>
      </c>
      <c r="N64" s="5">
        <f>L64-Grade13!L64</f>
        <v>0</v>
      </c>
      <c r="O64" s="5">
        <f>Grade13!M64-M64</f>
        <v>0.44000000000000483</v>
      </c>
      <c r="Q64" s="22"/>
      <c r="R64" s="22"/>
      <c r="S64" s="22">
        <f t="shared" si="19"/>
        <v>0.39732000000000439</v>
      </c>
      <c r="T64" s="22">
        <f t="shared" si="20"/>
        <v>4.4340924568711165E-2</v>
      </c>
    </row>
    <row r="65" spans="1:20" x14ac:dyDescent="0.2">
      <c r="A65" s="5">
        <v>74</v>
      </c>
      <c r="H65" s="21"/>
      <c r="M65" s="5">
        <f>scrimecost*Meta!O62</f>
        <v>55.494999999999997</v>
      </c>
      <c r="N65" s="5">
        <f>L65-Grade13!L65</f>
        <v>0</v>
      </c>
      <c r="O65" s="5">
        <f>Grade13!M65-M65</f>
        <v>0.44000000000000483</v>
      </c>
      <c r="Q65" s="22"/>
      <c r="R65" s="22"/>
      <c r="S65" s="22">
        <f t="shared" si="19"/>
        <v>0.39732000000000439</v>
      </c>
      <c r="T65" s="22">
        <f t="shared" si="20"/>
        <v>4.2576396192978608E-2</v>
      </c>
    </row>
    <row r="66" spans="1:20" x14ac:dyDescent="0.2">
      <c r="A66" s="5">
        <v>75</v>
      </c>
      <c r="H66" s="21"/>
      <c r="M66" s="5">
        <f>scrimecost*Meta!O63</f>
        <v>55.494999999999997</v>
      </c>
      <c r="N66" s="5">
        <f>L66-Grade13!L66</f>
        <v>0</v>
      </c>
      <c r="O66" s="5">
        <f>Grade13!M66-M66</f>
        <v>0.44000000000000483</v>
      </c>
      <c r="Q66" s="22"/>
      <c r="R66" s="22"/>
      <c r="S66" s="22">
        <f t="shared" si="19"/>
        <v>0.39732000000000439</v>
      </c>
      <c r="T66" s="22">
        <f t="shared" si="20"/>
        <v>4.0882086479104136E-2</v>
      </c>
    </row>
    <row r="67" spans="1:20" x14ac:dyDescent="0.2">
      <c r="A67" s="5">
        <v>76</v>
      </c>
      <c r="H67" s="21"/>
      <c r="M67" s="5">
        <f>scrimecost*Meta!O64</f>
        <v>55.494999999999997</v>
      </c>
      <c r="N67" s="5">
        <f>L67-Grade13!L67</f>
        <v>0</v>
      </c>
      <c r="O67" s="5">
        <f>Grade13!M67-M67</f>
        <v>0.44000000000000483</v>
      </c>
      <c r="Q67" s="22"/>
      <c r="R67" s="22"/>
      <c r="S67" s="22">
        <f t="shared" si="19"/>
        <v>0.39732000000000439</v>
      </c>
      <c r="T67" s="22">
        <f t="shared" si="20"/>
        <v>3.9255201105080267E-2</v>
      </c>
    </row>
    <row r="68" spans="1:20" x14ac:dyDescent="0.2">
      <c r="A68" s="5">
        <v>77</v>
      </c>
      <c r="H68" s="21"/>
      <c r="M68" s="5">
        <f>scrimecost*Meta!O65</f>
        <v>55.494999999999997</v>
      </c>
      <c r="N68" s="5">
        <f>L68-Grade13!L68</f>
        <v>0</v>
      </c>
      <c r="O68" s="5">
        <f>Grade13!M68-M68</f>
        <v>0.44000000000000483</v>
      </c>
      <c r="Q68" s="22"/>
      <c r="R68" s="22"/>
      <c r="S68" s="22">
        <f t="shared" si="19"/>
        <v>0.39732000000000439</v>
      </c>
      <c r="T68" s="22">
        <f t="shared" si="20"/>
        <v>3.7693056947764252E-2</v>
      </c>
    </row>
    <row r="69" spans="1:20" x14ac:dyDescent="0.2">
      <c r="A69" s="5">
        <v>78</v>
      </c>
      <c r="H69" s="21"/>
      <c r="M69" s="5">
        <f>scrimecost*Meta!O66</f>
        <v>55.494999999999997</v>
      </c>
      <c r="N69" s="5">
        <f>L69-Grade13!L69</f>
        <v>0</v>
      </c>
      <c r="O69" s="5">
        <f>Grade13!M69-M69</f>
        <v>0.44000000000000483</v>
      </c>
      <c r="Q69" s="22"/>
      <c r="R69" s="22"/>
      <c r="S69" s="22">
        <f t="shared" si="19"/>
        <v>0.39732000000000439</v>
      </c>
      <c r="T69" s="22">
        <f t="shared" si="20"/>
        <v>3.6193077657766186E-2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2.6983137738079144E-8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272</vt:i4>
      </vt:variant>
    </vt:vector>
  </HeadingPairs>
  <TitlesOfParts>
    <vt:vector size="285" baseType="lpstr">
      <vt:lpstr>Meta</vt:lpstr>
      <vt:lpstr>Output</vt:lpstr>
      <vt:lpstr>Grade8</vt:lpstr>
      <vt:lpstr>Grade9</vt:lpstr>
      <vt:lpstr>Grade10</vt:lpstr>
      <vt:lpstr>Grade11</vt:lpstr>
      <vt:lpstr>Grade12</vt:lpstr>
      <vt:lpstr>Grade13</vt:lpstr>
      <vt:lpstr>Grade14</vt:lpstr>
      <vt:lpstr>Grade15</vt:lpstr>
      <vt:lpstr>Grade16</vt:lpstr>
      <vt:lpstr>Grade17</vt:lpstr>
      <vt:lpstr>Grade18</vt:lpstr>
      <vt:lpstr>Meta!_edn1</vt:lpstr>
      <vt:lpstr>Output!_edn1</vt:lpstr>
      <vt:lpstr>Meta!_ednref1</vt:lpstr>
      <vt:lpstr>Output!_ednref1</vt:lpstr>
      <vt:lpstr>Meta!baseincome</vt:lpstr>
      <vt:lpstr>Grade10!benefits</vt:lpstr>
      <vt:lpstr>Grade11!benefits</vt:lpstr>
      <vt:lpstr>Grade12!benefits</vt:lpstr>
      <vt:lpstr>Grade13!benefits</vt:lpstr>
      <vt:lpstr>Grade14!benefits</vt:lpstr>
      <vt:lpstr>Grade15!benefits</vt:lpstr>
      <vt:lpstr>Grade16!benefits</vt:lpstr>
      <vt:lpstr>Grade17!benefits</vt:lpstr>
      <vt:lpstr>Grade18!benefits</vt:lpstr>
      <vt:lpstr>Grade9!benefits</vt:lpstr>
      <vt:lpstr>benefits</vt:lpstr>
      <vt:lpstr>Grade10!benrat</vt:lpstr>
      <vt:lpstr>Grade11!benrat</vt:lpstr>
      <vt:lpstr>Grade12!benrat</vt:lpstr>
      <vt:lpstr>Grade13!benrat</vt:lpstr>
      <vt:lpstr>Grade14!benrat</vt:lpstr>
      <vt:lpstr>Grade15!benrat</vt:lpstr>
      <vt:lpstr>Grade16!benrat</vt:lpstr>
      <vt:lpstr>Grade17!benrat</vt:lpstr>
      <vt:lpstr>Grade18!benrat</vt:lpstr>
      <vt:lpstr>Grade9!benrat</vt:lpstr>
      <vt:lpstr>benrat</vt:lpstr>
      <vt:lpstr>coltuition</vt:lpstr>
      <vt:lpstr>Grade10!completionprob</vt:lpstr>
      <vt:lpstr>Grade11!completionprob</vt:lpstr>
      <vt:lpstr>Grade12!completionprob</vt:lpstr>
      <vt:lpstr>Grade13!completionprob</vt:lpstr>
      <vt:lpstr>Grade14!completionprob</vt:lpstr>
      <vt:lpstr>Grade15!completionprob</vt:lpstr>
      <vt:lpstr>Grade16!completionprob</vt:lpstr>
      <vt:lpstr>Grade17!completionprob</vt:lpstr>
      <vt:lpstr>Grade18!completionprob</vt:lpstr>
      <vt:lpstr>completionprob</vt:lpstr>
      <vt:lpstr>Grade10!comprat</vt:lpstr>
      <vt:lpstr>Grade11!comprat</vt:lpstr>
      <vt:lpstr>Grade12!comprat</vt:lpstr>
      <vt:lpstr>Grade13!comprat</vt:lpstr>
      <vt:lpstr>Grade14!comprat</vt:lpstr>
      <vt:lpstr>Grade15!comprat</vt:lpstr>
      <vt:lpstr>Grade16!comprat</vt:lpstr>
      <vt:lpstr>Grade17!comprat</vt:lpstr>
      <vt:lpstr>Grade18!comprat</vt:lpstr>
      <vt:lpstr>Grade9!comprat</vt:lpstr>
      <vt:lpstr>comprat</vt:lpstr>
      <vt:lpstr>experiencepremium</vt:lpstr>
      <vt:lpstr>Grade10!expnorm</vt:lpstr>
      <vt:lpstr>Grade11!expnorm</vt:lpstr>
      <vt:lpstr>Grade12!expnorm</vt:lpstr>
      <vt:lpstr>Grade13!expnorm</vt:lpstr>
      <vt:lpstr>Grade14!expnorm</vt:lpstr>
      <vt:lpstr>Grade15!expnorm</vt:lpstr>
      <vt:lpstr>Grade16!expnorm</vt:lpstr>
      <vt:lpstr>Grade17!expnorm</vt:lpstr>
      <vt:lpstr>Grade18!expnorm</vt:lpstr>
      <vt:lpstr>Grade9!expnorm</vt:lpstr>
      <vt:lpstr>expnorm</vt:lpstr>
      <vt:lpstr>Grade10!expnorm8</vt:lpstr>
      <vt:lpstr>Grade11!expnorm8</vt:lpstr>
      <vt:lpstr>Grade12!expnorm8</vt:lpstr>
      <vt:lpstr>Grade13!expnorm8</vt:lpstr>
      <vt:lpstr>Grade14!expnorm8</vt:lpstr>
      <vt:lpstr>Grade15!expnorm8</vt:lpstr>
      <vt:lpstr>Grade16!expnorm8</vt:lpstr>
      <vt:lpstr>Grade17!expnorm8</vt:lpstr>
      <vt:lpstr>Grade18!expnorm8</vt:lpstr>
      <vt:lpstr>Grade9!expnorm8</vt:lpstr>
      <vt:lpstr>expnorm8</vt:lpstr>
      <vt:lpstr>feel</vt:lpstr>
      <vt:lpstr>hstuition</vt:lpstr>
      <vt:lpstr>Meta!incomeindex</vt:lpstr>
      <vt:lpstr>Grade10!initialbenrat</vt:lpstr>
      <vt:lpstr>Grade11!initialbenrat</vt:lpstr>
      <vt:lpstr>Grade12!initialbenrat</vt:lpstr>
      <vt:lpstr>Grade13!initialbenrat</vt:lpstr>
      <vt:lpstr>Grade14!initialbenrat</vt:lpstr>
      <vt:lpstr>Grade15!initialbenrat</vt:lpstr>
      <vt:lpstr>Grade16!initialbenrat</vt:lpstr>
      <vt:lpstr>Grade17!initialbenrat</vt:lpstr>
      <vt:lpstr>Grade18!initialbenrat</vt:lpstr>
      <vt:lpstr>Grade9!initialbenrat</vt:lpstr>
      <vt:lpstr>initialbenrat</vt:lpstr>
      <vt:lpstr>Grade10!initialpart</vt:lpstr>
      <vt:lpstr>Grade11!initialpart</vt:lpstr>
      <vt:lpstr>Grade12!initialpart</vt:lpstr>
      <vt:lpstr>Grade13!initialpart</vt:lpstr>
      <vt:lpstr>Grade14!initialpart</vt:lpstr>
      <vt:lpstr>Grade15!initialpart</vt:lpstr>
      <vt:lpstr>Grade16!initialpart</vt:lpstr>
      <vt:lpstr>Grade17!initialpart</vt:lpstr>
      <vt:lpstr>Grade18!initialpart</vt:lpstr>
      <vt:lpstr>initialpart</vt:lpstr>
      <vt:lpstr>Grade10!initialspart</vt:lpstr>
      <vt:lpstr>Grade11!initialspart</vt:lpstr>
      <vt:lpstr>Grade12!initialspart</vt:lpstr>
      <vt:lpstr>Grade13!initialspart</vt:lpstr>
      <vt:lpstr>Grade14!initialspart</vt:lpstr>
      <vt:lpstr>Grade15!initialspart</vt:lpstr>
      <vt:lpstr>Grade16!initialspart</vt:lpstr>
      <vt:lpstr>Grade17!initialspart</vt:lpstr>
      <vt:lpstr>Grade18!initialspart</vt:lpstr>
      <vt:lpstr>initialspart</vt:lpstr>
      <vt:lpstr>Grade10!initialunempprob</vt:lpstr>
      <vt:lpstr>Grade11!initialunempprob</vt:lpstr>
      <vt:lpstr>Grade12!initialunempprob</vt:lpstr>
      <vt:lpstr>Grade13!initialunempprob</vt:lpstr>
      <vt:lpstr>Grade14!initialunempprob</vt:lpstr>
      <vt:lpstr>Grade15!initialunempprob</vt:lpstr>
      <vt:lpstr>Grade16!initialunempprob</vt:lpstr>
      <vt:lpstr>Grade17!initialunempprob</vt:lpstr>
      <vt:lpstr>Grade18!initialunempprob</vt:lpstr>
      <vt:lpstr>Grade9!initialunempprob</vt:lpstr>
      <vt:lpstr>initialunempprob</vt:lpstr>
      <vt:lpstr>nptrans</vt:lpstr>
      <vt:lpstr>part10</vt:lpstr>
      <vt:lpstr>part11</vt:lpstr>
      <vt:lpstr>part12</vt:lpstr>
      <vt:lpstr>part13</vt:lpstr>
      <vt:lpstr>part14</vt:lpstr>
      <vt:lpstr>part15</vt:lpstr>
      <vt:lpstr>part16</vt:lpstr>
      <vt:lpstr>part17</vt:lpstr>
      <vt:lpstr>part18</vt:lpstr>
      <vt:lpstr>part8</vt:lpstr>
      <vt:lpstr>part9</vt:lpstr>
      <vt:lpstr>Grade10!pretaxincome</vt:lpstr>
      <vt:lpstr>Grade11!pretaxincome</vt:lpstr>
      <vt:lpstr>Grade12!pretaxincome</vt:lpstr>
      <vt:lpstr>Grade13!pretaxincome</vt:lpstr>
      <vt:lpstr>Grade14!pretaxincome</vt:lpstr>
      <vt:lpstr>Grade15!pretaxincome</vt:lpstr>
      <vt:lpstr>Grade16!pretaxincome</vt:lpstr>
      <vt:lpstr>Grade17!pretaxincome</vt:lpstr>
      <vt:lpstr>Grade18!pretaxincome</vt:lpstr>
      <vt:lpstr>Grade9!pretaxincome</vt:lpstr>
      <vt:lpstr>pretaxincome</vt:lpstr>
      <vt:lpstr>Grade10!pretaxincome8</vt:lpstr>
      <vt:lpstr>Grade11!pretaxincome8</vt:lpstr>
      <vt:lpstr>Grade12!pretaxincome8</vt:lpstr>
      <vt:lpstr>Grade13!pretaxincome8</vt:lpstr>
      <vt:lpstr>Grade14!pretaxincome8</vt:lpstr>
      <vt:lpstr>Grade15!pretaxincome8</vt:lpstr>
      <vt:lpstr>Grade16!pretaxincome8</vt:lpstr>
      <vt:lpstr>Grade17!pretaxincome8</vt:lpstr>
      <vt:lpstr>Grade18!pretaxincome8</vt:lpstr>
      <vt:lpstr>Grade9!pretaxincome8</vt:lpstr>
      <vt:lpstr>pretaxincome8</vt:lpstr>
      <vt:lpstr>Grade10!pretaxincomey8</vt:lpstr>
      <vt:lpstr>Grade11!pretaxincomey8</vt:lpstr>
      <vt:lpstr>Grade12!pretaxincomey8</vt:lpstr>
      <vt:lpstr>Grade13!pretaxincomey8</vt:lpstr>
      <vt:lpstr>Grade14!pretaxincomey8</vt:lpstr>
      <vt:lpstr>Grade15!pretaxincomey8</vt:lpstr>
      <vt:lpstr>Grade16!pretaxincomey8</vt:lpstr>
      <vt:lpstr>Grade17!pretaxincomey8</vt:lpstr>
      <vt:lpstr>Grade18!pretaxincomey8</vt:lpstr>
      <vt:lpstr>Grade9!pretaxincomey8</vt:lpstr>
      <vt:lpstr>pretaxincomey8</vt:lpstr>
      <vt:lpstr>returntoexperience</vt:lpstr>
      <vt:lpstr>Grade10!sbenefits</vt:lpstr>
      <vt:lpstr>Grade11!sbenefits</vt:lpstr>
      <vt:lpstr>Grade12!sbenefits</vt:lpstr>
      <vt:lpstr>Grade13!sbenefits</vt:lpstr>
      <vt:lpstr>Grade14!sbenefits</vt:lpstr>
      <vt:lpstr>Grade15!sbenefits</vt:lpstr>
      <vt:lpstr>Grade16!sbenefits</vt:lpstr>
      <vt:lpstr>Grade17!sbenefits</vt:lpstr>
      <vt:lpstr>Grade18!sbenefits</vt:lpstr>
      <vt:lpstr>Grade9!sbenefits</vt:lpstr>
      <vt:lpstr>sbenefits</vt:lpstr>
      <vt:lpstr>Grade10!scrimecost</vt:lpstr>
      <vt:lpstr>Grade11!scrimecost</vt:lpstr>
      <vt:lpstr>Grade12!scrimecost</vt:lpstr>
      <vt:lpstr>Grade13!scrimecost</vt:lpstr>
      <vt:lpstr>Grade14!scrimecost</vt:lpstr>
      <vt:lpstr>Grade15!scrimecost</vt:lpstr>
      <vt:lpstr>Grade16!scrimecost</vt:lpstr>
      <vt:lpstr>Grade17!scrimecost</vt:lpstr>
      <vt:lpstr>Grade18!scrimecost</vt:lpstr>
      <vt:lpstr>Grade9!scrimecost</vt:lpstr>
      <vt:lpstr>scrimecost</vt:lpstr>
      <vt:lpstr>Grade10!sincome</vt:lpstr>
      <vt:lpstr>Grade11!sincome</vt:lpstr>
      <vt:lpstr>Grade12!sincome</vt:lpstr>
      <vt:lpstr>Grade13!sincome</vt:lpstr>
      <vt:lpstr>Grade14!sincome</vt:lpstr>
      <vt:lpstr>Grade15!sincome</vt:lpstr>
      <vt:lpstr>Grade16!sincome</vt:lpstr>
      <vt:lpstr>Grade17!sincome</vt:lpstr>
      <vt:lpstr>Grade18!sincome</vt:lpstr>
      <vt:lpstr>Grade9!sincome</vt:lpstr>
      <vt:lpstr>sincome</vt:lpstr>
      <vt:lpstr>Grade10!spart</vt:lpstr>
      <vt:lpstr>Grade11!spart</vt:lpstr>
      <vt:lpstr>Grade12!spart</vt:lpstr>
      <vt:lpstr>Grade13!spart</vt:lpstr>
      <vt:lpstr>Grade14!spart</vt:lpstr>
      <vt:lpstr>Grade15!spart</vt:lpstr>
      <vt:lpstr>Grade16!spart</vt:lpstr>
      <vt:lpstr>Grade17!spart</vt:lpstr>
      <vt:lpstr>Grade18!spart</vt:lpstr>
      <vt:lpstr>Grade9!spart</vt:lpstr>
      <vt:lpstr>spart</vt:lpstr>
      <vt:lpstr>Grade10!sreturn</vt:lpstr>
      <vt:lpstr>Grade11!sreturn</vt:lpstr>
      <vt:lpstr>Grade12!sreturn</vt:lpstr>
      <vt:lpstr>Grade13!sreturn</vt:lpstr>
      <vt:lpstr>Grade14!sreturn</vt:lpstr>
      <vt:lpstr>Grade15!sreturn</vt:lpstr>
      <vt:lpstr>Grade16!sreturn</vt:lpstr>
      <vt:lpstr>Grade17!sreturn</vt:lpstr>
      <vt:lpstr>Grade18!sreturn</vt:lpstr>
      <vt:lpstr>sreturn</vt:lpstr>
      <vt:lpstr>Grade10!startage</vt:lpstr>
      <vt:lpstr>Grade11!startage</vt:lpstr>
      <vt:lpstr>Grade12!startage</vt:lpstr>
      <vt:lpstr>Grade13!startage</vt:lpstr>
      <vt:lpstr>Grade14!startage</vt:lpstr>
      <vt:lpstr>Grade15!startage</vt:lpstr>
      <vt:lpstr>Grade16!startage</vt:lpstr>
      <vt:lpstr>Grade17!startage</vt:lpstr>
      <vt:lpstr>Grade18!startage</vt:lpstr>
      <vt:lpstr>Grade9!startage</vt:lpstr>
      <vt:lpstr>startage</vt:lpstr>
      <vt:lpstr>Grade10!sunemp</vt:lpstr>
      <vt:lpstr>Grade11!sunemp</vt:lpstr>
      <vt:lpstr>Grade12!sunemp</vt:lpstr>
      <vt:lpstr>Grade13!sunemp</vt:lpstr>
      <vt:lpstr>Grade14!sunemp</vt:lpstr>
      <vt:lpstr>Grade15!sunemp</vt:lpstr>
      <vt:lpstr>Grade16!sunemp</vt:lpstr>
      <vt:lpstr>Grade17!sunemp</vt:lpstr>
      <vt:lpstr>Grade18!sunemp</vt:lpstr>
      <vt:lpstr>Grade9!sunemp</vt:lpstr>
      <vt:lpstr>sunemp</vt:lpstr>
      <vt:lpstr>Grade10!unempprob</vt:lpstr>
      <vt:lpstr>Grade11!unempprob</vt:lpstr>
      <vt:lpstr>Grade12!unempprob</vt:lpstr>
      <vt:lpstr>Grade13!unempprob</vt:lpstr>
      <vt:lpstr>Grade14!unempprob</vt:lpstr>
      <vt:lpstr>Grade15!unempprob</vt:lpstr>
      <vt:lpstr>Grade16!unempprob</vt:lpstr>
      <vt:lpstr>Grade17!unempprob</vt:lpstr>
      <vt:lpstr>Grade18!unempprob</vt:lpstr>
      <vt:lpstr>Grade9!unempprob</vt:lpstr>
      <vt:lpstr>unempprob</vt:lpstr>
      <vt:lpstr>Grade10!unempprob8</vt:lpstr>
      <vt:lpstr>Grade11!unempprob8</vt:lpstr>
      <vt:lpstr>Grade12!unempprob8</vt:lpstr>
      <vt:lpstr>Grade13!unempprob8</vt:lpstr>
      <vt:lpstr>Grade14!unempprob8</vt:lpstr>
      <vt:lpstr>Grade15!unempprob8</vt:lpstr>
      <vt:lpstr>Grade16!unempprob8</vt:lpstr>
      <vt:lpstr>Grade17!unempprob8</vt:lpstr>
      <vt:lpstr>Grade18!unempprob8</vt:lpstr>
      <vt:lpstr>Grade9!unempprob8</vt:lpstr>
      <vt:lpstr>unempprob8</vt:lpstr>
      <vt:lpstr>Grade10!unempproby8</vt:lpstr>
      <vt:lpstr>Grade11!unempproby8</vt:lpstr>
      <vt:lpstr>Grade12!unempproby8</vt:lpstr>
      <vt:lpstr>Grade13!unempproby8</vt:lpstr>
      <vt:lpstr>Grade14!unempproby8</vt:lpstr>
      <vt:lpstr>Grade15!unempproby8</vt:lpstr>
      <vt:lpstr>Grade16!unempproby8</vt:lpstr>
      <vt:lpstr>Grade17!unempproby8</vt:lpstr>
      <vt:lpstr>Grade18!unempproby8</vt:lpstr>
      <vt:lpstr>Grade9!unempproby8</vt:lpstr>
      <vt:lpstr>unempproby8</vt:lpstr>
    </vt:vector>
  </TitlesOfParts>
  <Company>GMU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root</cp:lastModifiedBy>
  <dcterms:created xsi:type="dcterms:W3CDTF">2014-05-28T17:05:58Z</dcterms:created>
  <dcterms:modified xsi:type="dcterms:W3CDTF">2017-09-08T19:15:36Z</dcterms:modified>
</cp:coreProperties>
</file>