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research\edubook2014oct\social return - cut\"/>
    </mc:Choice>
  </mc:AlternateContent>
  <bookViews>
    <workbookView xWindow="480" yWindow="45" windowWidth="15180" windowHeight="11760"/>
  </bookViews>
  <sheets>
    <sheet name="Meta" sheetId="4" r:id="rId1"/>
    <sheet name="Output" sheetId="50" r:id="rId2"/>
    <sheet name="Grade8" sheetId="1" r:id="rId3"/>
    <sheet name="Grade9" sheetId="52" r:id="rId4"/>
    <sheet name="Grade10" sheetId="53" r:id="rId5"/>
    <sheet name="Grade11" sheetId="54" r:id="rId6"/>
    <sheet name="Grade12" sheetId="55" r:id="rId7"/>
    <sheet name="Grade13" sheetId="56" r:id="rId8"/>
    <sheet name="Grade14" sheetId="57" r:id="rId9"/>
    <sheet name="Grade15" sheetId="58" r:id="rId10"/>
    <sheet name="Grade16" sheetId="59" r:id="rId11"/>
    <sheet name="Grade17" sheetId="60" r:id="rId12"/>
    <sheet name="Grade18" sheetId="61" r:id="rId13"/>
  </sheets>
  <definedNames>
    <definedName name="_edn1" localSheetId="0">Meta!$E$10</definedName>
    <definedName name="_edn1" localSheetId="1">Output!$B$10</definedName>
    <definedName name="_ednref1" localSheetId="0">Meta!$E$7</definedName>
    <definedName name="_ednref1" localSheetId="1">Output!$B$7</definedName>
    <definedName name="baseincome" localSheetId="0">Meta!$B$2</definedName>
    <definedName name="benefits" localSheetId="4">Grade10!$D$2</definedName>
    <definedName name="benefits" localSheetId="5">Grade11!$D$2</definedName>
    <definedName name="benefits" localSheetId="6">Grade12!$D$2</definedName>
    <definedName name="benefits" localSheetId="7">Grade13!$D$2</definedName>
    <definedName name="benefits" localSheetId="8">Grade14!$D$2</definedName>
    <definedName name="benefits" localSheetId="9">Grade15!$D$2</definedName>
    <definedName name="benefits" localSheetId="10">Grade16!$D$2</definedName>
    <definedName name="benefits" localSheetId="11">Grade17!$D$2</definedName>
    <definedName name="benefits" localSheetId="12">Grade18!$D$2</definedName>
    <definedName name="benefits" localSheetId="3">Grade9!$D$2</definedName>
    <definedName name="benefits">Grade8!$D$2</definedName>
    <definedName name="benrat" localSheetId="4">Grade10!$I$2</definedName>
    <definedName name="benrat" localSheetId="5">Grade11!$I$2</definedName>
    <definedName name="benrat" localSheetId="6">Grade12!$I$2</definedName>
    <definedName name="benrat" localSheetId="7">Grade13!$I$2</definedName>
    <definedName name="benrat" localSheetId="8">Grade14!$I$2</definedName>
    <definedName name="benrat" localSheetId="9">Grade15!$I$2</definedName>
    <definedName name="benrat" localSheetId="10">Grade16!$I$2</definedName>
    <definedName name="benrat" localSheetId="11">Grade17!$I$2</definedName>
    <definedName name="benrat" localSheetId="12">Grade18!$I$2</definedName>
    <definedName name="benrat" localSheetId="3">Grade9!$I$2</definedName>
    <definedName name="benrat">Grade8!$I$2</definedName>
    <definedName name="coltuition">Meta!$Q$2</definedName>
    <definedName name="compensationratio">#REF!</definedName>
    <definedName name="completionprob" localSheetId="4">Grade10!$H$2</definedName>
    <definedName name="completionprob" localSheetId="5">Grade11!$H$2</definedName>
    <definedName name="completionprob" localSheetId="6">Grade12!$H$2</definedName>
    <definedName name="completionprob" localSheetId="7">Grade13!$H$2</definedName>
    <definedName name="completionprob" localSheetId="8">Grade14!$H$2</definedName>
    <definedName name="completionprob" localSheetId="9">Grade15!$H$2</definedName>
    <definedName name="completionprob" localSheetId="10">Grade16!$H$2</definedName>
    <definedName name="completionprob" localSheetId="11">Grade17!$H$2</definedName>
    <definedName name="completionprob" localSheetId="12">Grade18!$H$2</definedName>
    <definedName name="completionprob">Grade9!$H$2</definedName>
    <definedName name="comprat" localSheetId="4">Grade10!$I$2</definedName>
    <definedName name="comprat" localSheetId="5">Grade11!$I$2</definedName>
    <definedName name="comprat" localSheetId="6">Grade12!$I$2</definedName>
    <definedName name="comprat" localSheetId="7">Grade13!$I$2</definedName>
    <definedName name="comprat" localSheetId="8">Grade14!$I$2</definedName>
    <definedName name="comprat" localSheetId="9">Grade15!$I$2</definedName>
    <definedName name="comprat" localSheetId="10">Grade16!$I$2</definedName>
    <definedName name="comprat" localSheetId="11">Grade17!$I$2</definedName>
    <definedName name="comprat" localSheetId="12">Grade18!$I$2</definedName>
    <definedName name="comprat" localSheetId="3">Grade9!$I$2</definedName>
    <definedName name="comprat">Grade8!$I$2</definedName>
    <definedName name="experiencepremium" localSheetId="1">Output!#REF!</definedName>
    <definedName name="experiencepremium">Meta!$H$2</definedName>
    <definedName name="expnorm" localSheetId="4">Grade10!$G$2</definedName>
    <definedName name="expnorm" localSheetId="5">Grade11!$G$2</definedName>
    <definedName name="expnorm" localSheetId="6">Grade12!$G$2</definedName>
    <definedName name="expnorm" localSheetId="7">Grade13!$G$2</definedName>
    <definedName name="expnorm" localSheetId="8">Grade14!$G$2</definedName>
    <definedName name="expnorm" localSheetId="9">Grade15!$G$2</definedName>
    <definedName name="expnorm" localSheetId="10">Grade16!$G$2</definedName>
    <definedName name="expnorm" localSheetId="11">Grade17!$G$2</definedName>
    <definedName name="expnorm" localSheetId="12">Grade18!$G$2</definedName>
    <definedName name="expnorm" localSheetId="3">Grade9!$G$2</definedName>
    <definedName name="expnorm">Grade8!$G$2</definedName>
    <definedName name="expnorm8" localSheetId="4">Grade10!$G$2</definedName>
    <definedName name="expnorm8" localSheetId="5">Grade11!$G$2</definedName>
    <definedName name="expnorm8" localSheetId="6">Grade12!$G$2</definedName>
    <definedName name="expnorm8" localSheetId="7">Grade13!$G$2</definedName>
    <definedName name="expnorm8" localSheetId="8">Grade14!$G$2</definedName>
    <definedName name="expnorm8" localSheetId="9">Grade15!$G$2</definedName>
    <definedName name="expnorm8" localSheetId="10">Grade16!$G$2</definedName>
    <definedName name="expnorm8" localSheetId="11">Grade17!$G$2</definedName>
    <definedName name="expnorm8" localSheetId="12">Grade18!$G$2</definedName>
    <definedName name="expnorm8" localSheetId="3">Grade9!$G$2</definedName>
    <definedName name="expnorm8">Grade8!$G$2</definedName>
    <definedName name="feel">Meta!$R$2</definedName>
    <definedName name="hstuition">Meta!$P$2</definedName>
    <definedName name="incomeindex" localSheetId="0">Meta!$E$2</definedName>
    <definedName name="initialbenrat" localSheetId="4">Grade10!$L$2</definedName>
    <definedName name="initialbenrat" localSheetId="5">Grade11!$L$2</definedName>
    <definedName name="initialbenrat" localSheetId="6">Grade12!$L$2</definedName>
    <definedName name="initialbenrat" localSheetId="7">Grade13!$L$2</definedName>
    <definedName name="initialbenrat" localSheetId="8">Grade14!$L$2</definedName>
    <definedName name="initialbenrat" localSheetId="9">Grade15!$L$2</definedName>
    <definedName name="initialbenrat" localSheetId="10">Grade16!$L$2</definedName>
    <definedName name="initialbenrat" localSheetId="11">Grade17!$L$2</definedName>
    <definedName name="initialbenrat" localSheetId="12">Grade18!$L$2</definedName>
    <definedName name="initialbenrat" localSheetId="3">Grade9!$L$2</definedName>
    <definedName name="initialbenrat">Grade8!$L$2</definedName>
    <definedName name="initialcompensationratio">#REF!</definedName>
    <definedName name="initialcomprat">#REF!</definedName>
    <definedName name="initialpart" localSheetId="4">Grade10!$L$2</definedName>
    <definedName name="initialpart" localSheetId="5">Grade11!$L$2</definedName>
    <definedName name="initialpart" localSheetId="6">Grade12!$L$2</definedName>
    <definedName name="initialpart" localSheetId="7">Grade13!$L$2</definedName>
    <definedName name="initialpart" localSheetId="8">Grade14!$L$2</definedName>
    <definedName name="initialpart" localSheetId="9">Grade15!$L$2</definedName>
    <definedName name="initialpart" localSheetId="10">Grade16!$L$2</definedName>
    <definedName name="initialpart" localSheetId="11">Grade17!$L$2</definedName>
    <definedName name="initialpart" localSheetId="12">Grade18!$L$2</definedName>
    <definedName name="initialpart">Grade9!$L$2</definedName>
    <definedName name="initialspart" localSheetId="4">Grade10!$J$2</definedName>
    <definedName name="initialspart" localSheetId="5">Grade11!$J$2</definedName>
    <definedName name="initialspart" localSheetId="6">Grade12!$J$2</definedName>
    <definedName name="initialspart" localSheetId="7">Grade13!$J$2</definedName>
    <definedName name="initialspart" localSheetId="8">Grade14!$J$2</definedName>
    <definedName name="initialspart" localSheetId="9">Grade15!$J$2</definedName>
    <definedName name="initialspart" localSheetId="10">Grade16!$J$2</definedName>
    <definedName name="initialspart" localSheetId="11">Grade17!$J$2</definedName>
    <definedName name="initialspart" localSheetId="12">Grade18!$J$2</definedName>
    <definedName name="initialspart">Grade9!$J$2</definedName>
    <definedName name="initialunempprob" localSheetId="4">Grade10!$K$2</definedName>
    <definedName name="initialunempprob" localSheetId="5">Grade11!$K$2</definedName>
    <definedName name="initialunempprob" localSheetId="6">Grade12!$K$2</definedName>
    <definedName name="initialunempprob" localSheetId="7">Grade13!$K$2</definedName>
    <definedName name="initialunempprob" localSheetId="8">Grade14!$K$2</definedName>
    <definedName name="initialunempprob" localSheetId="9">Grade15!$K$2</definedName>
    <definedName name="initialunempprob" localSheetId="10">Grade16!$K$2</definedName>
    <definedName name="initialunempprob" localSheetId="11">Grade17!$K$2</definedName>
    <definedName name="initialunempprob" localSheetId="12">Grade18!$K$2</definedName>
    <definedName name="initialunempprob" localSheetId="3">Grade9!$K$2</definedName>
    <definedName name="initialunempprob">Grade8!$K$2</definedName>
    <definedName name="nptrans">Meta!$S$2</definedName>
    <definedName name="part10">Meta!$F$4</definedName>
    <definedName name="part11">Meta!$F$5</definedName>
    <definedName name="part12">Meta!$F$6</definedName>
    <definedName name="part13">Meta!$F$7</definedName>
    <definedName name="part14">Meta!$F$8</definedName>
    <definedName name="part15">Meta!$F$9</definedName>
    <definedName name="part16">Meta!$F$10</definedName>
    <definedName name="part17">Meta!$F$11</definedName>
    <definedName name="part18">Meta!$F$12</definedName>
    <definedName name="part8">Meta!$F$2</definedName>
    <definedName name="part9">Meta!$F$3</definedName>
    <definedName name="pecuniaryreturn">#REF!</definedName>
    <definedName name="pretaxincome" localSheetId="4">Grade10!$C$2</definedName>
    <definedName name="pretaxincome" localSheetId="5">Grade11!$C$2</definedName>
    <definedName name="pretaxincome" localSheetId="6">Grade12!$C$2</definedName>
    <definedName name="pretaxincome" localSheetId="7">Grade13!$C$2</definedName>
    <definedName name="pretaxincome" localSheetId="8">Grade14!$C$2</definedName>
    <definedName name="pretaxincome" localSheetId="9">Grade15!$C$2</definedName>
    <definedName name="pretaxincome" localSheetId="10">Grade16!$C$2</definedName>
    <definedName name="pretaxincome" localSheetId="11">Grade17!$C$2</definedName>
    <definedName name="pretaxincome" localSheetId="12">Grade18!$C$2</definedName>
    <definedName name="pretaxincome" localSheetId="3">Grade9!$C$2</definedName>
    <definedName name="pretaxincome">Grade8!$C$2</definedName>
    <definedName name="pretaxincome8" localSheetId="4">Grade10!$C$2</definedName>
    <definedName name="pretaxincome8" localSheetId="5">Grade11!$C$2</definedName>
    <definedName name="pretaxincome8" localSheetId="6">Grade12!$C$2</definedName>
    <definedName name="pretaxincome8" localSheetId="7">Grade13!$C$2</definedName>
    <definedName name="pretaxincome8" localSheetId="8">Grade14!$C$2</definedName>
    <definedName name="pretaxincome8" localSheetId="9">Grade15!$C$2</definedName>
    <definedName name="pretaxincome8" localSheetId="10">Grade16!$C$2</definedName>
    <definedName name="pretaxincome8" localSheetId="11">Grade17!$C$2</definedName>
    <definedName name="pretaxincome8" localSheetId="12">Grade18!$C$2</definedName>
    <definedName name="pretaxincome8" localSheetId="3">Grade9!$C$2</definedName>
    <definedName name="pretaxincome8">Grade8!$C$2</definedName>
    <definedName name="pretaxincomey8" localSheetId="4">Grade10!$C$2</definedName>
    <definedName name="pretaxincomey8" localSheetId="5">Grade11!$C$2</definedName>
    <definedName name="pretaxincomey8" localSheetId="6">Grade12!$C$2</definedName>
    <definedName name="pretaxincomey8" localSheetId="7">Grade13!$C$2</definedName>
    <definedName name="pretaxincomey8" localSheetId="8">Grade14!$C$2</definedName>
    <definedName name="pretaxincomey8" localSheetId="9">Grade15!$C$2</definedName>
    <definedName name="pretaxincomey8" localSheetId="10">Grade16!$C$2</definedName>
    <definedName name="pretaxincomey8" localSheetId="11">Grade17!$C$2</definedName>
    <definedName name="pretaxincomey8" localSheetId="12">Grade18!$C$2</definedName>
    <definedName name="pretaxincomey8" localSheetId="3">Grade9!$C$2</definedName>
    <definedName name="pretaxincomey8">Grade8!$C$2</definedName>
    <definedName name="return">#REF!</definedName>
    <definedName name="returntoeducation">#REF!</definedName>
    <definedName name="returntoexperience" localSheetId="1">Output!#REF!</definedName>
    <definedName name="returntoexperience">Meta!$H$2</definedName>
    <definedName name="sbenefits" localSheetId="4">Grade10!$O$2</definedName>
    <definedName name="sbenefits" localSheetId="5">Grade11!$O$2</definedName>
    <definedName name="sbenefits" localSheetId="6">Grade12!$O$2</definedName>
    <definedName name="sbenefits" localSheetId="7">Grade13!$O$2</definedName>
    <definedName name="sbenefits" localSheetId="8">Grade14!$O$2</definedName>
    <definedName name="sbenefits" localSheetId="9">Grade15!$O$2</definedName>
    <definedName name="sbenefits" localSheetId="10">Grade16!$O$2</definedName>
    <definedName name="sbenefits" localSheetId="11">Grade17!$O$2</definedName>
    <definedName name="sbenefits" localSheetId="12">Grade18!$O$2</definedName>
    <definedName name="sbenefits" localSheetId="3">Grade9!$O$2</definedName>
    <definedName name="sbenefits">Grade8!$O$2</definedName>
    <definedName name="scrimecost" localSheetId="4">Grade10!$R$2</definedName>
    <definedName name="scrimecost" localSheetId="5">Grade11!$R$2</definedName>
    <definedName name="scrimecost" localSheetId="6">Grade12!$R$2</definedName>
    <definedName name="scrimecost" localSheetId="7">Grade13!$R$2</definedName>
    <definedName name="scrimecost" localSheetId="8">Grade14!$R$2</definedName>
    <definedName name="scrimecost" localSheetId="9">Grade15!$R$2</definedName>
    <definedName name="scrimecost" localSheetId="10">Grade16!$R$2</definedName>
    <definedName name="scrimecost" localSheetId="11">Grade17!$R$2</definedName>
    <definedName name="scrimecost" localSheetId="12">Grade18!$R$2</definedName>
    <definedName name="scrimecost" localSheetId="3">Grade9!$R$2</definedName>
    <definedName name="scrimecost">Grade8!$R$2</definedName>
    <definedName name="sincome" localSheetId="4">Grade10!$N$2</definedName>
    <definedName name="sincome" localSheetId="5">Grade11!$N$2</definedName>
    <definedName name="sincome" localSheetId="6">Grade12!$N$2</definedName>
    <definedName name="sincome" localSheetId="7">Grade13!$N$2</definedName>
    <definedName name="sincome" localSheetId="8">Grade14!$N$2</definedName>
    <definedName name="sincome" localSheetId="9">Grade15!$N$2</definedName>
    <definedName name="sincome" localSheetId="10">Grade16!$N$2</definedName>
    <definedName name="sincome" localSheetId="11">Grade17!$N$2</definedName>
    <definedName name="sincome" localSheetId="12">Grade18!$N$2</definedName>
    <definedName name="sincome" localSheetId="3">Grade9!$N$2</definedName>
    <definedName name="sincome">Grade8!$N$2</definedName>
    <definedName name="spart" localSheetId="4">Grade10!$Q$2</definedName>
    <definedName name="spart" localSheetId="5">Grade11!$Q$2</definedName>
    <definedName name="spart" localSheetId="6">Grade12!$Q$2</definedName>
    <definedName name="spart" localSheetId="7">Grade13!$Q$2</definedName>
    <definedName name="spart" localSheetId="8">Grade14!$Q$2</definedName>
    <definedName name="spart" localSheetId="9">Grade15!$Q$2</definedName>
    <definedName name="spart" localSheetId="10">Grade16!$Q$2</definedName>
    <definedName name="spart" localSheetId="11">Grade17!$Q$2</definedName>
    <definedName name="spart" localSheetId="12">Grade18!$Q$2</definedName>
    <definedName name="spart" localSheetId="3">Grade9!$Q$2</definedName>
    <definedName name="spart">Grade8!$Q$2</definedName>
    <definedName name="sreturn" localSheetId="4">Grade10!$T$2</definedName>
    <definedName name="sreturn" localSheetId="5">Grade11!$T$2</definedName>
    <definedName name="sreturn" localSheetId="6">Grade12!$T$2</definedName>
    <definedName name="sreturn" localSheetId="7">Grade13!$T$2</definedName>
    <definedName name="sreturn" localSheetId="8">Grade14!$T$2</definedName>
    <definedName name="sreturn" localSheetId="9">Grade15!$T$2</definedName>
    <definedName name="sreturn" localSheetId="10">Grade16!$T$2</definedName>
    <definedName name="sreturn" localSheetId="11">Grade17!$T$2</definedName>
    <definedName name="sreturn" localSheetId="12">Grade18!$T$2</definedName>
    <definedName name="sreturn">Grade9!$T$2</definedName>
    <definedName name="startage" localSheetId="4">Grade10!$B$2</definedName>
    <definedName name="startage" localSheetId="5">Grade11!$B$2</definedName>
    <definedName name="startage" localSheetId="6">Grade12!$B$2</definedName>
    <definedName name="startage" localSheetId="7">Grade13!$B$2</definedName>
    <definedName name="startage" localSheetId="8">Grade14!$B$2</definedName>
    <definedName name="startage" localSheetId="9">Grade15!$B$2</definedName>
    <definedName name="startage" localSheetId="10">Grade16!$B$2</definedName>
    <definedName name="startage" localSheetId="11">Grade17!$B$2</definedName>
    <definedName name="startage" localSheetId="12">Grade18!$B$2</definedName>
    <definedName name="startage" localSheetId="3">Grade9!$B$2</definedName>
    <definedName name="startage">Grade8!$B$2</definedName>
    <definedName name="sunemp" localSheetId="4">Grade10!$P$2</definedName>
    <definedName name="sunemp" localSheetId="5">Grade11!$P$2</definedName>
    <definedName name="sunemp" localSheetId="6">Grade12!$P$2</definedName>
    <definedName name="sunemp" localSheetId="7">Grade13!$P$2</definedName>
    <definedName name="sunemp" localSheetId="8">Grade14!$P$2</definedName>
    <definedName name="sunemp" localSheetId="9">Grade15!$P$2</definedName>
    <definedName name="sunemp" localSheetId="10">Grade16!$P$2</definedName>
    <definedName name="sunemp" localSheetId="11">Grade17!$P$2</definedName>
    <definedName name="sunemp" localSheetId="12">Grade18!$P$2</definedName>
    <definedName name="sunemp" localSheetId="3">Grade9!$P$2</definedName>
    <definedName name="sunemp">Grade8!$P$2</definedName>
    <definedName name="ttd">#REF!</definedName>
    <definedName name="unempprob" localSheetId="4">Grade10!$E$2</definedName>
    <definedName name="unempprob" localSheetId="5">Grade11!$E$2</definedName>
    <definedName name="unempprob" localSheetId="6">Grade12!$E$2</definedName>
    <definedName name="unempprob" localSheetId="7">Grade13!$E$2</definedName>
    <definedName name="unempprob" localSheetId="8">Grade14!$E$2</definedName>
    <definedName name="unempprob" localSheetId="9">Grade15!$E$2</definedName>
    <definedName name="unempprob" localSheetId="10">Grade16!$E$2</definedName>
    <definedName name="unempprob" localSheetId="11">Grade17!$E$2</definedName>
    <definedName name="unempprob" localSheetId="12">Grade18!$E$2</definedName>
    <definedName name="unempprob" localSheetId="3">Grade9!$E$2</definedName>
    <definedName name="unempprob">Grade8!$E$2</definedName>
    <definedName name="unempprob8" localSheetId="4">Grade10!$E$2</definedName>
    <definedName name="unempprob8" localSheetId="5">Grade11!$E$2</definedName>
    <definedName name="unempprob8" localSheetId="6">Grade12!$E$2</definedName>
    <definedName name="unempprob8" localSheetId="7">Grade13!$E$2</definedName>
    <definedName name="unempprob8" localSheetId="8">Grade14!$E$2</definedName>
    <definedName name="unempprob8" localSheetId="9">Grade15!$E$2</definedName>
    <definedName name="unempprob8" localSheetId="10">Grade16!$E$2</definedName>
    <definedName name="unempprob8" localSheetId="11">Grade17!$E$2</definedName>
    <definedName name="unempprob8" localSheetId="12">Grade18!$E$2</definedName>
    <definedName name="unempprob8" localSheetId="3">Grade9!$E$2</definedName>
    <definedName name="unempprob8">Grade8!$E$2</definedName>
    <definedName name="unempproby8" localSheetId="4">Grade10!$E$2</definedName>
    <definedName name="unempproby8" localSheetId="5">Grade11!$E$2</definedName>
    <definedName name="unempproby8" localSheetId="6">Grade12!$E$2</definedName>
    <definedName name="unempproby8" localSheetId="7">Grade13!$E$2</definedName>
    <definedName name="unempproby8" localSheetId="8">Grade14!$E$2</definedName>
    <definedName name="unempproby8" localSheetId="9">Grade15!$E$2</definedName>
    <definedName name="unempproby8" localSheetId="10">Grade16!$E$2</definedName>
    <definedName name="unempproby8" localSheetId="11">Grade17!$E$2</definedName>
    <definedName name="unempproby8" localSheetId="12">Grade18!$E$2</definedName>
    <definedName name="unempproby8" localSheetId="3">Grade9!$E$2</definedName>
    <definedName name="unempproby8">Grade8!$E$2</definedName>
  </definedNames>
  <calcPr calcId="162913"/>
</workbook>
</file>

<file path=xl/calcChain.xml><?xml version="1.0" encoding="utf-8"?>
<calcChain xmlns="http://schemas.openxmlformats.org/spreadsheetml/2006/main">
  <c r="R14" i="61" l="1"/>
  <c r="N57" i="61"/>
  <c r="N58" i="61"/>
  <c r="N59" i="61"/>
  <c r="N60" i="61"/>
  <c r="N61" i="61"/>
  <c r="N62" i="61"/>
  <c r="N63" i="61"/>
  <c r="N64" i="61"/>
  <c r="N65" i="61"/>
  <c r="N66" i="61"/>
  <c r="N67" i="61"/>
  <c r="N68" i="61"/>
  <c r="N69" i="61"/>
  <c r="R2" i="61"/>
  <c r="M68" i="61"/>
  <c r="Q2" i="61"/>
  <c r="P2" i="61"/>
  <c r="O2" i="61"/>
  <c r="N2" i="61"/>
  <c r="K2" i="61"/>
  <c r="J2" i="61"/>
  <c r="H2" i="61"/>
  <c r="F2" i="61"/>
  <c r="E2" i="61"/>
  <c r="D2" i="61"/>
  <c r="C2" i="61"/>
  <c r="B2" i="61"/>
  <c r="B56" i="61" s="1"/>
  <c r="R13" i="60"/>
  <c r="N57" i="60"/>
  <c r="N58" i="60"/>
  <c r="N59" i="60"/>
  <c r="N60" i="60"/>
  <c r="N61" i="60"/>
  <c r="N62" i="60"/>
  <c r="N63" i="60"/>
  <c r="N64" i="60"/>
  <c r="N65" i="60"/>
  <c r="N66" i="60"/>
  <c r="N67" i="60"/>
  <c r="N68" i="60"/>
  <c r="N69" i="60"/>
  <c r="R2" i="60"/>
  <c r="Q2" i="60"/>
  <c r="P2" i="60"/>
  <c r="O2" i="60"/>
  <c r="N2" i="60"/>
  <c r="K2" i="60"/>
  <c r="J2" i="60"/>
  <c r="H2" i="60"/>
  <c r="F2" i="60"/>
  <c r="E2" i="60"/>
  <c r="D2" i="60"/>
  <c r="C2" i="60"/>
  <c r="B2" i="60"/>
  <c r="B22" i="60"/>
  <c r="R12" i="59"/>
  <c r="N57" i="59"/>
  <c r="N58" i="59"/>
  <c r="N59" i="59"/>
  <c r="N60" i="59"/>
  <c r="N61" i="59"/>
  <c r="N62" i="59"/>
  <c r="N63" i="59"/>
  <c r="N64" i="59"/>
  <c r="N65" i="59"/>
  <c r="N66" i="59"/>
  <c r="N67" i="59"/>
  <c r="N68" i="59"/>
  <c r="N69" i="59"/>
  <c r="R2" i="59"/>
  <c r="M38" i="59"/>
  <c r="Q2" i="59"/>
  <c r="P2" i="59"/>
  <c r="O2" i="59"/>
  <c r="N2" i="59"/>
  <c r="K2" i="59"/>
  <c r="J2" i="59"/>
  <c r="H2" i="59"/>
  <c r="F2" i="59"/>
  <c r="E2" i="59"/>
  <c r="D2" i="59"/>
  <c r="C2" i="59"/>
  <c r="B2" i="59"/>
  <c r="B23" i="59" s="1"/>
  <c r="R11" i="58"/>
  <c r="N57" i="58"/>
  <c r="N58" i="58"/>
  <c r="N59" i="58"/>
  <c r="N60" i="58"/>
  <c r="N61" i="58"/>
  <c r="N62" i="58"/>
  <c r="N63" i="58"/>
  <c r="N64" i="58"/>
  <c r="N65" i="58"/>
  <c r="N66" i="58"/>
  <c r="N67" i="58"/>
  <c r="N68" i="58"/>
  <c r="N69" i="58"/>
  <c r="R2" i="58"/>
  <c r="M45" i="58" s="1"/>
  <c r="Q2" i="58"/>
  <c r="P2" i="58"/>
  <c r="O2" i="58"/>
  <c r="N2" i="58"/>
  <c r="K2" i="58"/>
  <c r="J2" i="58"/>
  <c r="H2" i="58"/>
  <c r="F2" i="58"/>
  <c r="E2" i="58"/>
  <c r="D2" i="58"/>
  <c r="C2" i="58"/>
  <c r="B2" i="58"/>
  <c r="R10" i="57"/>
  <c r="N57" i="57"/>
  <c r="N58" i="57"/>
  <c r="N59" i="57"/>
  <c r="N60" i="57"/>
  <c r="N61" i="57"/>
  <c r="N62" i="57"/>
  <c r="N63" i="57"/>
  <c r="N64" i="57"/>
  <c r="N65" i="57"/>
  <c r="N66" i="57"/>
  <c r="N67" i="57"/>
  <c r="N68" i="57"/>
  <c r="N69" i="57"/>
  <c r="R2" i="57"/>
  <c r="Q2" i="57"/>
  <c r="P2" i="57"/>
  <c r="O2" i="57"/>
  <c r="N2" i="57"/>
  <c r="K2" i="57"/>
  <c r="J2" i="57"/>
  <c r="H2" i="57"/>
  <c r="F2" i="57"/>
  <c r="E2" i="57"/>
  <c r="D2" i="57"/>
  <c r="C2" i="57"/>
  <c r="B2" i="57"/>
  <c r="B15" i="57" s="1"/>
  <c r="R9" i="56"/>
  <c r="N57" i="56"/>
  <c r="N58" i="56"/>
  <c r="N59" i="56"/>
  <c r="N60" i="56"/>
  <c r="N61" i="56"/>
  <c r="N62" i="56"/>
  <c r="N63" i="56"/>
  <c r="N64" i="56"/>
  <c r="N65" i="56"/>
  <c r="N66" i="56"/>
  <c r="N67" i="56"/>
  <c r="N68" i="56"/>
  <c r="N69" i="56"/>
  <c r="R2" i="56"/>
  <c r="Q2" i="56"/>
  <c r="P2" i="56"/>
  <c r="O2" i="56"/>
  <c r="N2" i="56"/>
  <c r="K2" i="56"/>
  <c r="J2" i="56"/>
  <c r="H2" i="56"/>
  <c r="F2" i="56"/>
  <c r="E2" i="56"/>
  <c r="D2" i="56"/>
  <c r="C2" i="56"/>
  <c r="B2" i="56"/>
  <c r="B56" i="56" s="1"/>
  <c r="R8" i="55"/>
  <c r="N57" i="55"/>
  <c r="S57" i="55" s="1"/>
  <c r="N58" i="55"/>
  <c r="N59" i="55"/>
  <c r="N60" i="55"/>
  <c r="N61" i="55"/>
  <c r="N62" i="55"/>
  <c r="N63" i="55"/>
  <c r="N64" i="55"/>
  <c r="N65" i="55"/>
  <c r="N66" i="55"/>
  <c r="N67" i="55"/>
  <c r="N68" i="55"/>
  <c r="N69" i="55"/>
  <c r="R2" i="55"/>
  <c r="Q2" i="55"/>
  <c r="P2" i="55"/>
  <c r="O2" i="55"/>
  <c r="N2" i="55"/>
  <c r="K2" i="55"/>
  <c r="J2" i="55"/>
  <c r="H2" i="55"/>
  <c r="F2" i="55"/>
  <c r="E2" i="55"/>
  <c r="D2" i="55"/>
  <c r="C2" i="55"/>
  <c r="B2" i="55"/>
  <c r="B36" i="55"/>
  <c r="R7" i="54"/>
  <c r="R6" i="53"/>
  <c r="N57" i="54"/>
  <c r="N58" i="54"/>
  <c r="N59" i="54"/>
  <c r="N60" i="54"/>
  <c r="N61" i="54"/>
  <c r="N62" i="54"/>
  <c r="N63" i="54"/>
  <c r="N64" i="54"/>
  <c r="N65" i="54"/>
  <c r="N66" i="54"/>
  <c r="N67" i="54"/>
  <c r="N68" i="54"/>
  <c r="N69" i="54"/>
  <c r="R2" i="54"/>
  <c r="Q2" i="54"/>
  <c r="P2" i="54"/>
  <c r="O2" i="54"/>
  <c r="N2" i="54"/>
  <c r="K2" i="54"/>
  <c r="J2" i="54"/>
  <c r="H2" i="54"/>
  <c r="F2" i="54"/>
  <c r="E2" i="54"/>
  <c r="D2" i="54"/>
  <c r="C2" i="54"/>
  <c r="B2" i="54"/>
  <c r="B46" i="54" s="1"/>
  <c r="N57" i="53"/>
  <c r="N58" i="53"/>
  <c r="N59" i="53"/>
  <c r="N60" i="53"/>
  <c r="N61" i="53"/>
  <c r="N62" i="53"/>
  <c r="N63" i="53"/>
  <c r="N64" i="53"/>
  <c r="N65" i="53"/>
  <c r="N66" i="53"/>
  <c r="N67" i="53"/>
  <c r="N68" i="53"/>
  <c r="N69" i="53"/>
  <c r="R2" i="53"/>
  <c r="Q2" i="53"/>
  <c r="P2" i="53"/>
  <c r="O2" i="53"/>
  <c r="N2" i="53"/>
  <c r="K2" i="53"/>
  <c r="J2" i="53"/>
  <c r="H2" i="53"/>
  <c r="F2" i="53"/>
  <c r="E2" i="53"/>
  <c r="D2" i="53"/>
  <c r="C2" i="53"/>
  <c r="B2" i="53"/>
  <c r="B15" i="53"/>
  <c r="N57" i="52"/>
  <c r="N58" i="52"/>
  <c r="N59" i="52"/>
  <c r="N60" i="52"/>
  <c r="N61" i="52"/>
  <c r="N62" i="52"/>
  <c r="N63" i="52"/>
  <c r="N64" i="52"/>
  <c r="N65" i="52"/>
  <c r="N66" i="52"/>
  <c r="N67" i="52"/>
  <c r="N68" i="52"/>
  <c r="N69" i="52"/>
  <c r="J2" i="52"/>
  <c r="Q2" i="52"/>
  <c r="R5" i="52"/>
  <c r="R2" i="52"/>
  <c r="P2" i="52"/>
  <c r="O2" i="52"/>
  <c r="N2" i="52"/>
  <c r="H2" i="52"/>
  <c r="F2" i="52"/>
  <c r="E2" i="52"/>
  <c r="D2" i="52"/>
  <c r="C2" i="52"/>
  <c r="B2" i="52"/>
  <c r="B47" i="52" s="1"/>
  <c r="K2" i="52"/>
  <c r="R2" i="1"/>
  <c r="M58" i="1" s="1"/>
  <c r="S2" i="4"/>
  <c r="F2" i="1"/>
  <c r="E2" i="1"/>
  <c r="Q2" i="1"/>
  <c r="P2" i="1"/>
  <c r="O2" i="1"/>
  <c r="N2" i="1"/>
  <c r="D2" i="1"/>
  <c r="C2" i="1"/>
  <c r="B7" i="50"/>
  <c r="B3" i="50"/>
  <c r="K3" i="50" s="1"/>
  <c r="B4" i="50"/>
  <c r="N5" i="50" s="1"/>
  <c r="B5" i="50"/>
  <c r="B6" i="50"/>
  <c r="B8" i="50"/>
  <c r="B9" i="50"/>
  <c r="Q10" i="50" s="1"/>
  <c r="B10" i="50"/>
  <c r="B11" i="50"/>
  <c r="B12" i="50"/>
  <c r="B2" i="50"/>
  <c r="M2" i="4"/>
  <c r="M3" i="4"/>
  <c r="M4" i="4"/>
  <c r="I9" i="4" s="1"/>
  <c r="G2" i="58" s="1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B2" i="1"/>
  <c r="B54" i="1" s="1"/>
  <c r="K2" i="1"/>
  <c r="H2" i="1"/>
  <c r="M31" i="61"/>
  <c r="B49" i="59"/>
  <c r="B41" i="59"/>
  <c r="B33" i="59"/>
  <c r="B16" i="59"/>
  <c r="M43" i="59"/>
  <c r="B14" i="59"/>
  <c r="B17" i="57"/>
  <c r="B30" i="57"/>
  <c r="B31" i="56"/>
  <c r="B20" i="54"/>
  <c r="B10" i="53"/>
  <c r="M68" i="53"/>
  <c r="M50" i="53"/>
  <c r="M55" i="53"/>
  <c r="B55" i="53"/>
  <c r="B53" i="53"/>
  <c r="B51" i="53"/>
  <c r="B49" i="53"/>
  <c r="B47" i="53"/>
  <c r="B45" i="53"/>
  <c r="B43" i="53"/>
  <c r="B41" i="53"/>
  <c r="B39" i="53"/>
  <c r="B37" i="53"/>
  <c r="B35" i="53"/>
  <c r="B33" i="53"/>
  <c r="B31" i="53"/>
  <c r="B29" i="53"/>
  <c r="B27" i="53"/>
  <c r="B25" i="53"/>
  <c r="B23" i="53"/>
  <c r="B21" i="53"/>
  <c r="B19" i="53"/>
  <c r="B17" i="53"/>
  <c r="B53" i="52"/>
  <c r="B9" i="52"/>
  <c r="M17" i="53"/>
  <c r="M20" i="53"/>
  <c r="M36" i="53"/>
  <c r="M45" i="53"/>
  <c r="O45" i="53" s="1"/>
  <c r="M32" i="53"/>
  <c r="M24" i="53"/>
  <c r="M52" i="53"/>
  <c r="M31" i="53"/>
  <c r="O31" i="53" s="1"/>
  <c r="M15" i="53"/>
  <c r="M18" i="53"/>
  <c r="M34" i="53"/>
  <c r="M43" i="53"/>
  <c r="M67" i="55"/>
  <c r="M63" i="55"/>
  <c r="M53" i="55"/>
  <c r="M66" i="1"/>
  <c r="M34" i="1"/>
  <c r="M26" i="1"/>
  <c r="M65" i="1"/>
  <c r="M29" i="1"/>
  <c r="O29" i="52" s="1"/>
  <c r="M21" i="1"/>
  <c r="M5" i="1"/>
  <c r="M36" i="1"/>
  <c r="M28" i="1"/>
  <c r="B29" i="60"/>
  <c r="M37" i="55"/>
  <c r="M43" i="55"/>
  <c r="M47" i="53"/>
  <c r="M12" i="53"/>
  <c r="M48" i="53"/>
  <c r="M27" i="53"/>
  <c r="M67" i="53"/>
  <c r="O67" i="53" s="1"/>
  <c r="S67" i="53" s="1"/>
  <c r="B16" i="53"/>
  <c r="B20" i="53"/>
  <c r="B24" i="53"/>
  <c r="B28" i="53"/>
  <c r="B32" i="53"/>
  <c r="B36" i="53"/>
  <c r="B40" i="53"/>
  <c r="B44" i="53"/>
  <c r="B48" i="53"/>
  <c r="B52" i="53"/>
  <c r="B56" i="53"/>
  <c r="M54" i="53"/>
  <c r="M28" i="53"/>
  <c r="B17" i="55"/>
  <c r="M66" i="55"/>
  <c r="M12" i="55"/>
  <c r="O12" i="56" s="1"/>
  <c r="M58" i="53"/>
  <c r="M40" i="53"/>
  <c r="M62" i="53"/>
  <c r="M49" i="53"/>
  <c r="O49" i="54" s="1"/>
  <c r="M64" i="53"/>
  <c r="M29" i="53"/>
  <c r="B18" i="53"/>
  <c r="B22" i="53"/>
  <c r="B26" i="53"/>
  <c r="B30" i="53"/>
  <c r="B34" i="53"/>
  <c r="B38" i="53"/>
  <c r="B42" i="53"/>
  <c r="B46" i="53"/>
  <c r="B50" i="53"/>
  <c r="B54" i="53"/>
  <c r="M9" i="53"/>
  <c r="M37" i="53"/>
  <c r="M53" i="54"/>
  <c r="B48" i="60"/>
  <c r="B11" i="53"/>
  <c r="B7" i="53"/>
  <c r="B14" i="53"/>
  <c r="B9" i="53"/>
  <c r="B12" i="53"/>
  <c r="M41" i="55"/>
  <c r="M14" i="55"/>
  <c r="M46" i="55"/>
  <c r="M9" i="55"/>
  <c r="M47" i="55"/>
  <c r="M8" i="55"/>
  <c r="B33" i="54"/>
  <c r="B46" i="58"/>
  <c r="B35" i="58"/>
  <c r="B50" i="58"/>
  <c r="B26" i="58"/>
  <c r="B45" i="55"/>
  <c r="B32" i="55"/>
  <c r="B13" i="55"/>
  <c r="B41" i="55"/>
  <c r="B28" i="55"/>
  <c r="B9" i="55"/>
  <c r="B53" i="55"/>
  <c r="B20" i="55"/>
  <c r="B24" i="55"/>
  <c r="M29" i="55"/>
  <c r="M64" i="55"/>
  <c r="M34" i="55"/>
  <c r="O34" i="55" s="1"/>
  <c r="M69" i="55"/>
  <c r="M35" i="55"/>
  <c r="M58" i="55"/>
  <c r="B27" i="54"/>
  <c r="B49" i="55"/>
  <c r="B56" i="54"/>
  <c r="B44" i="54"/>
  <c r="B34" i="54"/>
  <c r="B18" i="54"/>
  <c r="B10" i="54"/>
  <c r="B25" i="54"/>
  <c r="B52" i="54"/>
  <c r="B42" i="54"/>
  <c r="B30" i="54"/>
  <c r="B16" i="54"/>
  <c r="B8" i="54"/>
  <c r="B29" i="54"/>
  <c r="B48" i="54"/>
  <c r="B40" i="54"/>
  <c r="B22" i="54"/>
  <c r="B14" i="54"/>
  <c r="B35" i="54"/>
  <c r="B31" i="54"/>
  <c r="M51" i="54"/>
  <c r="O51" i="54" s="1"/>
  <c r="M43" i="54"/>
  <c r="M36" i="54"/>
  <c r="M24" i="54"/>
  <c r="M16" i="54"/>
  <c r="M69" i="54"/>
  <c r="O69" i="55" s="1"/>
  <c r="S69" i="55" s="1"/>
  <c r="M22" i="54"/>
  <c r="M14" i="54"/>
  <c r="O14" i="55" s="1"/>
  <c r="M44" i="55"/>
  <c r="M33" i="55"/>
  <c r="M65" i="55"/>
  <c r="M38" i="55"/>
  <c r="M17" i="55"/>
  <c r="M39" i="55"/>
  <c r="M16" i="55"/>
  <c r="M60" i="55"/>
  <c r="O60" i="55" s="1"/>
  <c r="S60" i="55" s="1"/>
  <c r="B12" i="54"/>
  <c r="M36" i="55"/>
  <c r="B8" i="1"/>
  <c r="Q5" i="50"/>
  <c r="Q6" i="50"/>
  <c r="M68" i="52"/>
  <c r="M47" i="52"/>
  <c r="M28" i="52"/>
  <c r="O28" i="53" s="1"/>
  <c r="M33" i="52"/>
  <c r="M38" i="52"/>
  <c r="M21" i="52"/>
  <c r="B18" i="56"/>
  <c r="B14" i="56"/>
  <c r="B52" i="56"/>
  <c r="B35" i="56"/>
  <c r="B40" i="56"/>
  <c r="B48" i="56"/>
  <c r="B39" i="56"/>
  <c r="B44" i="56"/>
  <c r="M43" i="56"/>
  <c r="M26" i="56"/>
  <c r="M54" i="56"/>
  <c r="B13" i="53"/>
  <c r="B8" i="53"/>
  <c r="B12" i="57"/>
  <c r="B48" i="57"/>
  <c r="B47" i="57"/>
  <c r="Q9" i="50"/>
  <c r="B16" i="60"/>
  <c r="B20" i="60"/>
  <c r="B43" i="60"/>
  <c r="B39" i="60"/>
  <c r="B35" i="60"/>
  <c r="B31" i="60"/>
  <c r="B27" i="60"/>
  <c r="B55" i="60"/>
  <c r="B47" i="60"/>
  <c r="B52" i="60"/>
  <c r="B44" i="60"/>
  <c r="B17" i="60"/>
  <c r="B21" i="60"/>
  <c r="B42" i="60"/>
  <c r="B38" i="60"/>
  <c r="B34" i="60"/>
  <c r="B30" i="60"/>
  <c r="B26" i="60"/>
  <c r="B53" i="60"/>
  <c r="B45" i="60"/>
  <c r="B50" i="60"/>
  <c r="B19" i="60"/>
  <c r="B40" i="60"/>
  <c r="B32" i="60"/>
  <c r="B24" i="60"/>
  <c r="B54" i="60"/>
  <c r="B15" i="60"/>
  <c r="B23" i="60"/>
  <c r="B36" i="60"/>
  <c r="B28" i="60"/>
  <c r="B49" i="60"/>
  <c r="B46" i="60"/>
  <c r="B18" i="60"/>
  <c r="B33" i="60"/>
  <c r="B56" i="60"/>
  <c r="B41" i="60"/>
  <c r="B25" i="60"/>
  <c r="B14" i="60"/>
  <c r="B37" i="60"/>
  <c r="B51" i="60"/>
  <c r="B40" i="57"/>
  <c r="B20" i="57"/>
  <c r="B37" i="57"/>
  <c r="B33" i="57"/>
  <c r="B45" i="57"/>
  <c r="B14" i="57"/>
  <c r="B23" i="57"/>
  <c r="B19" i="57"/>
  <c r="B36" i="57"/>
  <c r="B32" i="57"/>
  <c r="B43" i="57"/>
  <c r="B54" i="57"/>
  <c r="B51" i="57"/>
  <c r="B35" i="57"/>
  <c r="B52" i="57"/>
  <c r="B18" i="57"/>
  <c r="B53" i="57"/>
  <c r="B46" i="57"/>
  <c r="B50" i="1"/>
  <c r="B52" i="1"/>
  <c r="B24" i="1"/>
  <c r="B30" i="1"/>
  <c r="B49" i="1"/>
  <c r="B55" i="1"/>
  <c r="B44" i="1"/>
  <c r="B39" i="1"/>
  <c r="B31" i="1"/>
  <c r="B20" i="1"/>
  <c r="B45" i="1"/>
  <c r="M27" i="1"/>
  <c r="M56" i="52"/>
  <c r="M51" i="52"/>
  <c r="M14" i="52"/>
  <c r="M19" i="52"/>
  <c r="M48" i="52"/>
  <c r="M57" i="52"/>
  <c r="M30" i="52"/>
  <c r="M13" i="52"/>
  <c r="B54" i="54"/>
  <c r="B50" i="54"/>
  <c r="B53" i="54"/>
  <c r="B49" i="54"/>
  <c r="B51" i="54"/>
  <c r="B45" i="54"/>
  <c r="B41" i="54"/>
  <c r="B38" i="54"/>
  <c r="B23" i="54"/>
  <c r="B19" i="54"/>
  <c r="B15" i="54"/>
  <c r="B11" i="54"/>
  <c r="B39" i="54"/>
  <c r="B26" i="54"/>
  <c r="B36" i="54"/>
  <c r="B55" i="54"/>
  <c r="B47" i="54"/>
  <c r="B43" i="54"/>
  <c r="B37" i="54"/>
  <c r="B32" i="54"/>
  <c r="B21" i="54"/>
  <c r="B17" i="54"/>
  <c r="B13" i="54"/>
  <c r="B9" i="54"/>
  <c r="B28" i="54"/>
  <c r="B24" i="54"/>
  <c r="M60" i="54"/>
  <c r="M56" i="54"/>
  <c r="M48" i="54"/>
  <c r="M44" i="54"/>
  <c r="M57" i="54"/>
  <c r="M35" i="54"/>
  <c r="M62" i="54"/>
  <c r="M27" i="54"/>
  <c r="M19" i="54"/>
  <c r="M15" i="54"/>
  <c r="M11" i="54"/>
  <c r="M68" i="54"/>
  <c r="M54" i="54"/>
  <c r="M50" i="54"/>
  <c r="M46" i="54"/>
  <c r="M65" i="54"/>
  <c r="M37" i="54"/>
  <c r="M29" i="54"/>
  <c r="M58" i="54"/>
  <c r="O58" i="55" s="1"/>
  <c r="M21" i="54"/>
  <c r="M17" i="54"/>
  <c r="M13" i="54"/>
  <c r="B55" i="55"/>
  <c r="B51" i="55"/>
  <c r="B47" i="55"/>
  <c r="B43" i="55"/>
  <c r="B22" i="55"/>
  <c r="B38" i="55"/>
  <c r="B34" i="55"/>
  <c r="B30" i="55"/>
  <c r="B26" i="55"/>
  <c r="B19" i="55"/>
  <c r="B15" i="55"/>
  <c r="B11" i="55"/>
  <c r="B54" i="55"/>
  <c r="B50" i="55"/>
  <c r="B46" i="55"/>
  <c r="B42" i="55"/>
  <c r="B21" i="55"/>
  <c r="B37" i="55"/>
  <c r="B33" i="55"/>
  <c r="B29" i="55"/>
  <c r="B25" i="55"/>
  <c r="B18" i="55"/>
  <c r="B14" i="55"/>
  <c r="B10" i="55"/>
  <c r="B56" i="55"/>
  <c r="B48" i="55"/>
  <c r="B40" i="55"/>
  <c r="B35" i="55"/>
  <c r="B27" i="55"/>
  <c r="B16" i="55"/>
  <c r="B52" i="55"/>
  <c r="B44" i="55"/>
  <c r="B39" i="55"/>
  <c r="B31" i="55"/>
  <c r="B23" i="55"/>
  <c r="B12" i="55"/>
  <c r="M11" i="55"/>
  <c r="M62" i="55"/>
  <c r="M48" i="55"/>
  <c r="M24" i="55"/>
  <c r="M61" i="55"/>
  <c r="M40" i="55"/>
  <c r="M20" i="55"/>
  <c r="M15" i="55"/>
  <c r="M32" i="55"/>
  <c r="M52" i="55"/>
  <c r="M37" i="56"/>
  <c r="O37" i="56" s="1"/>
  <c r="M33" i="56"/>
  <c r="M22" i="56"/>
  <c r="M25" i="56"/>
  <c r="M67" i="56"/>
  <c r="O67" i="56" s="1"/>
  <c r="M55" i="56"/>
  <c r="M40" i="56"/>
  <c r="M58" i="56"/>
  <c r="M64" i="56"/>
  <c r="O64" i="56" s="1"/>
  <c r="M16" i="56"/>
  <c r="B40" i="58"/>
  <c r="B36" i="58"/>
  <c r="B32" i="58"/>
  <c r="B55" i="58"/>
  <c r="B51" i="58"/>
  <c r="B47" i="58"/>
  <c r="B12" i="58"/>
  <c r="B16" i="58"/>
  <c r="B20" i="58"/>
  <c r="B24" i="58"/>
  <c r="B29" i="58"/>
  <c r="B42" i="58"/>
  <c r="B38" i="58"/>
  <c r="B34" i="58"/>
  <c r="B30" i="58"/>
  <c r="B53" i="58"/>
  <c r="B49" i="58"/>
  <c r="B45" i="58"/>
  <c r="B14" i="58"/>
  <c r="B18" i="58"/>
  <c r="B22" i="58"/>
  <c r="B27" i="58"/>
  <c r="B41" i="58"/>
  <c r="B37" i="58"/>
  <c r="B33" i="58"/>
  <c r="B56" i="58"/>
  <c r="B52" i="58"/>
  <c r="B48" i="58"/>
  <c r="B44" i="58"/>
  <c r="B15" i="58"/>
  <c r="B19" i="58"/>
  <c r="L19" i="58" s="1"/>
  <c r="B23" i="58"/>
  <c r="B28" i="58"/>
  <c r="B25" i="58"/>
  <c r="B43" i="58"/>
  <c r="B54" i="58"/>
  <c r="B17" i="58"/>
  <c r="B31" i="58"/>
  <c r="B13" i="58"/>
  <c r="B21" i="58"/>
  <c r="B39" i="58"/>
  <c r="B42" i="56"/>
  <c r="B27" i="56"/>
  <c r="B23" i="56"/>
  <c r="B12" i="56"/>
  <c r="B29" i="56"/>
  <c r="B24" i="56"/>
  <c r="B20" i="56"/>
  <c r="B16" i="56"/>
  <c r="B13" i="56"/>
  <c r="B26" i="56"/>
  <c r="B19" i="56"/>
  <c r="B25" i="56"/>
  <c r="B53" i="56"/>
  <c r="B49" i="56"/>
  <c r="B45" i="56"/>
  <c r="B30" i="56"/>
  <c r="B34" i="56"/>
  <c r="B38" i="56"/>
  <c r="B17" i="56"/>
  <c r="B55" i="56"/>
  <c r="B51" i="56"/>
  <c r="B47" i="56"/>
  <c r="B10" i="56"/>
  <c r="B32" i="56"/>
  <c r="B36" i="56"/>
  <c r="B41" i="56"/>
  <c r="B28" i="56"/>
  <c r="B21" i="56"/>
  <c r="B15" i="56"/>
  <c r="B22" i="56"/>
  <c r="B54" i="56"/>
  <c r="B50" i="56"/>
  <c r="B46" i="56"/>
  <c r="B11" i="56"/>
  <c r="B33" i="56"/>
  <c r="B37" i="56"/>
  <c r="B43" i="56"/>
  <c r="I4" i="4"/>
  <c r="G2" i="53" s="1"/>
  <c r="I12" i="4"/>
  <c r="G2" i="61" s="1"/>
  <c r="K7" i="50"/>
  <c r="M39" i="60"/>
  <c r="B23" i="61"/>
  <c r="B49" i="61"/>
  <c r="B18" i="61"/>
  <c r="B50" i="61"/>
  <c r="B37" i="61"/>
  <c r="B25" i="61"/>
  <c r="B16" i="61"/>
  <c r="B45" i="61"/>
  <c r="B54" i="61"/>
  <c r="C54" i="61" s="1"/>
  <c r="D54" i="61" s="1"/>
  <c r="E54" i="61" s="1"/>
  <c r="F54" i="61" s="1"/>
  <c r="B29" i="61"/>
  <c r="M35" i="1"/>
  <c r="M51" i="1"/>
  <c r="O51" i="52" s="1"/>
  <c r="M19" i="1"/>
  <c r="O19" i="52"/>
  <c r="M31" i="1"/>
  <c r="M59" i="1"/>
  <c r="M8" i="1"/>
  <c r="M36" i="59"/>
  <c r="B33" i="1"/>
  <c r="B29" i="1"/>
  <c r="B36" i="1"/>
  <c r="B53" i="1"/>
  <c r="B37" i="1"/>
  <c r="B7" i="1"/>
  <c r="B43" i="1"/>
  <c r="B19" i="1"/>
  <c r="B16" i="1"/>
  <c r="B32" i="1"/>
  <c r="B22" i="1"/>
  <c r="B25" i="1"/>
  <c r="B48" i="1"/>
  <c r="B46" i="1"/>
  <c r="B42" i="1"/>
  <c r="B40" i="1"/>
  <c r="B21" i="1"/>
  <c r="B5" i="1"/>
  <c r="B41" i="1"/>
  <c r="B15" i="1"/>
  <c r="B47" i="1"/>
  <c r="B27" i="1"/>
  <c r="B12" i="1"/>
  <c r="B28" i="1"/>
  <c r="B18" i="1"/>
  <c r="B34" i="1"/>
  <c r="M21" i="56"/>
  <c r="K4" i="50"/>
  <c r="M19" i="56"/>
  <c r="M15" i="56"/>
  <c r="M27" i="56"/>
  <c r="M9" i="56"/>
  <c r="M21" i="57"/>
  <c r="O29" i="55"/>
  <c r="O27" i="54"/>
  <c r="C48" i="53"/>
  <c r="D48" i="53" s="1"/>
  <c r="O40" i="56"/>
  <c r="O17" i="55"/>
  <c r="M53" i="56"/>
  <c r="O53" i="56" s="1"/>
  <c r="M17" i="56"/>
  <c r="M66" i="56"/>
  <c r="M18" i="56"/>
  <c r="M11" i="56"/>
  <c r="M38" i="56"/>
  <c r="M49" i="56"/>
  <c r="M60" i="56"/>
  <c r="M65" i="56"/>
  <c r="M28" i="56"/>
  <c r="M57" i="56"/>
  <c r="M48" i="56"/>
  <c r="M41" i="56"/>
  <c r="M46" i="56"/>
  <c r="M50" i="56"/>
  <c r="M30" i="56"/>
  <c r="M59" i="56"/>
  <c r="M42" i="56"/>
  <c r="M47" i="56"/>
  <c r="M34" i="56"/>
  <c r="M29" i="56"/>
  <c r="M56" i="56"/>
  <c r="M31" i="56"/>
  <c r="M61" i="56"/>
  <c r="M63" i="56"/>
  <c r="M12" i="56"/>
  <c r="M23" i="56"/>
  <c r="M52" i="56"/>
  <c r="O52" i="56" s="1"/>
  <c r="M45" i="56"/>
  <c r="M63" i="59"/>
  <c r="M42" i="59"/>
  <c r="M37" i="59"/>
  <c r="M62" i="59"/>
  <c r="M45" i="59"/>
  <c r="M68" i="59"/>
  <c r="M52" i="59"/>
  <c r="M61" i="59"/>
  <c r="N8" i="50"/>
  <c r="N9" i="50"/>
  <c r="K8" i="50"/>
  <c r="N4" i="50"/>
  <c r="K12" i="50"/>
  <c r="K11" i="50"/>
  <c r="M33" i="59"/>
  <c r="M44" i="59"/>
  <c r="M58" i="59"/>
  <c r="M65" i="59"/>
  <c r="M53" i="59"/>
  <c r="M34" i="59"/>
  <c r="O34" i="60" s="1"/>
  <c r="M20" i="59"/>
  <c r="M50" i="59"/>
  <c r="M26" i="59"/>
  <c r="M14" i="57"/>
  <c r="M27" i="60"/>
  <c r="M61" i="60"/>
  <c r="O61" i="60" s="1"/>
  <c r="M43" i="57"/>
  <c r="M67" i="57"/>
  <c r="M24" i="57"/>
  <c r="M64" i="59"/>
  <c r="M24" i="59"/>
  <c r="M48" i="59"/>
  <c r="M14" i="59"/>
  <c r="M41" i="59"/>
  <c r="M59" i="59"/>
  <c r="O59" i="60" s="1"/>
  <c r="S59" i="60" s="1"/>
  <c r="M23" i="59"/>
  <c r="M69" i="59"/>
  <c r="M54" i="59"/>
  <c r="M60" i="59"/>
  <c r="M15" i="57"/>
  <c r="M64" i="60"/>
  <c r="M27" i="57"/>
  <c r="O27" i="57" s="1"/>
  <c r="M46" i="57"/>
  <c r="M68" i="57"/>
  <c r="O21" i="57"/>
  <c r="M30" i="57"/>
  <c r="O30" i="57" s="1"/>
  <c r="M16" i="57"/>
  <c r="M32" i="57"/>
  <c r="M62" i="57"/>
  <c r="M60" i="57"/>
  <c r="O60" i="57" s="1"/>
  <c r="M56" i="57"/>
  <c r="M52" i="57"/>
  <c r="M48" i="57"/>
  <c r="M44" i="57"/>
  <c r="M40" i="57"/>
  <c r="M69" i="57"/>
  <c r="M38" i="57"/>
  <c r="M29" i="57"/>
  <c r="M31" i="57"/>
  <c r="M36" i="57"/>
  <c r="M12" i="57"/>
  <c r="M28" i="57"/>
  <c r="O28" i="57" s="1"/>
  <c r="M66" i="57"/>
  <c r="M64" i="57"/>
  <c r="M59" i="57"/>
  <c r="M53" i="57"/>
  <c r="M49" i="57"/>
  <c r="M45" i="57"/>
  <c r="M41" i="57"/>
  <c r="M61" i="57"/>
  <c r="M11" i="57"/>
  <c r="M18" i="57"/>
  <c r="M10" i="57"/>
  <c r="M35" i="57"/>
  <c r="M23" i="57"/>
  <c r="O23" i="57" s="1"/>
  <c r="M17" i="57"/>
  <c r="M13" i="57"/>
  <c r="M20" i="57"/>
  <c r="M58" i="57"/>
  <c r="M55" i="57"/>
  <c r="O55" i="57" s="1"/>
  <c r="M47" i="57"/>
  <c r="M57" i="57"/>
  <c r="O57" i="57"/>
  <c r="S57" i="57" s="1"/>
  <c r="M26" i="57"/>
  <c r="M63" i="57"/>
  <c r="M50" i="57"/>
  <c r="M42" i="57"/>
  <c r="M33" i="57"/>
  <c r="M34" i="57"/>
  <c r="M30" i="58"/>
  <c r="M22" i="59"/>
  <c r="O22" i="60" s="1"/>
  <c r="M47" i="59"/>
  <c r="M15" i="59"/>
  <c r="M32" i="59"/>
  <c r="M12" i="59"/>
  <c r="M17" i="59"/>
  <c r="M18" i="59"/>
  <c r="M51" i="59"/>
  <c r="M57" i="59"/>
  <c r="M35" i="59"/>
  <c r="M16" i="59"/>
  <c r="M27" i="59"/>
  <c r="M67" i="59"/>
  <c r="O67" i="60" s="1"/>
  <c r="S67" i="60" s="1"/>
  <c r="M19" i="59"/>
  <c r="M39" i="59"/>
  <c r="O39" i="60" s="1"/>
  <c r="M25" i="59"/>
  <c r="M31" i="59"/>
  <c r="M47" i="60"/>
  <c r="M54" i="60"/>
  <c r="M30" i="60"/>
  <c r="M60" i="60"/>
  <c r="O60" i="60" s="1"/>
  <c r="S60" i="60" s="1"/>
  <c r="M32" i="60"/>
  <c r="M68" i="60"/>
  <c r="O68" i="60" s="1"/>
  <c r="M41" i="60"/>
  <c r="M46" i="60"/>
  <c r="M28" i="60"/>
  <c r="M33" i="60"/>
  <c r="M16" i="60"/>
  <c r="M37" i="60"/>
  <c r="M58" i="60"/>
  <c r="O58" i="60" s="1"/>
  <c r="M57" i="60"/>
  <c r="M66" i="60"/>
  <c r="M69" i="60"/>
  <c r="M51" i="60"/>
  <c r="O51" i="60" s="1"/>
  <c r="M49" i="60"/>
  <c r="M43" i="60"/>
  <c r="M50" i="60"/>
  <c r="M53" i="60"/>
  <c r="M19" i="60"/>
  <c r="M56" i="60"/>
  <c r="M52" i="60"/>
  <c r="M55" i="60"/>
  <c r="M67" i="60"/>
  <c r="M23" i="60"/>
  <c r="O23" i="60" s="1"/>
  <c r="O46" i="56"/>
  <c r="M29" i="59"/>
  <c r="M40" i="59"/>
  <c r="M56" i="59"/>
  <c r="M13" i="59"/>
  <c r="M49" i="59"/>
  <c r="O49" i="60" s="1"/>
  <c r="M30" i="59"/>
  <c r="M28" i="59"/>
  <c r="M46" i="59"/>
  <c r="O46" i="60" s="1"/>
  <c r="M66" i="59"/>
  <c r="O66" i="60" s="1"/>
  <c r="M25" i="57"/>
  <c r="M22" i="57"/>
  <c r="M15" i="60"/>
  <c r="M21" i="59"/>
  <c r="M65" i="57"/>
  <c r="M54" i="57"/>
  <c r="O54" i="57" s="1"/>
  <c r="M55" i="59"/>
  <c r="M64" i="1"/>
  <c r="M57" i="1"/>
  <c r="O57" i="52" s="1"/>
  <c r="M38" i="1"/>
  <c r="M10" i="1"/>
  <c r="M37" i="1"/>
  <c r="M69" i="1"/>
  <c r="M44" i="1"/>
  <c r="M12" i="1"/>
  <c r="M23" i="1"/>
  <c r="M7" i="1"/>
  <c r="M15" i="1"/>
  <c r="M39" i="1"/>
  <c r="M46" i="1"/>
  <c r="M18" i="1"/>
  <c r="M45" i="1"/>
  <c r="M13" i="1"/>
  <c r="O13" i="52" s="1"/>
  <c r="M52" i="1"/>
  <c r="M20" i="1"/>
  <c r="O20" i="52" s="1"/>
  <c r="M55" i="1"/>
  <c r="M11" i="1"/>
  <c r="M63" i="1"/>
  <c r="M47" i="1"/>
  <c r="M43" i="1"/>
  <c r="M67" i="1"/>
  <c r="M53" i="52"/>
  <c r="M22" i="52"/>
  <c r="M45" i="52"/>
  <c r="O45" i="52" s="1"/>
  <c r="M26" i="52"/>
  <c r="M20" i="52"/>
  <c r="M41" i="52"/>
  <c r="O41" i="53" s="1"/>
  <c r="M44" i="52"/>
  <c r="O44" i="52" s="1"/>
  <c r="M15" i="52"/>
  <c r="M52" i="52"/>
  <c r="M59" i="52"/>
  <c r="O59" i="52" s="1"/>
  <c r="S59" i="52" s="1"/>
  <c r="M6" i="52"/>
  <c r="M27" i="52"/>
  <c r="M50" i="52"/>
  <c r="O50" i="53" s="1"/>
  <c r="M17" i="52"/>
  <c r="O17" i="53" s="1"/>
  <c r="O37" i="55"/>
  <c r="O37" i="54"/>
  <c r="O29" i="54"/>
  <c r="O69" i="60"/>
  <c r="S69" i="60" s="1"/>
  <c r="L11" i="53"/>
  <c r="O53" i="55"/>
  <c r="O68" i="53"/>
  <c r="S68" i="53" s="1"/>
  <c r="O41" i="60"/>
  <c r="O34" i="57"/>
  <c r="O43" i="60"/>
  <c r="M15" i="61"/>
  <c r="M55" i="61"/>
  <c r="M60" i="61"/>
  <c r="O60" i="61" s="1"/>
  <c r="S60" i="61" s="1"/>
  <c r="M44" i="61"/>
  <c r="M18" i="61"/>
  <c r="M48" i="61"/>
  <c r="M35" i="61"/>
  <c r="O35" i="61" s="1"/>
  <c r="M27" i="61"/>
  <c r="O27" i="61" s="1"/>
  <c r="M19" i="61"/>
  <c r="M39" i="61"/>
  <c r="M28" i="61"/>
  <c r="M58" i="61"/>
  <c r="O58" i="61" s="1"/>
  <c r="M32" i="61"/>
  <c r="M22" i="61"/>
  <c r="M51" i="61"/>
  <c r="O51" i="61"/>
  <c r="M36" i="61"/>
  <c r="M40" i="61"/>
  <c r="O40" i="61" s="1"/>
  <c r="M61" i="61"/>
  <c r="M24" i="61"/>
  <c r="M54" i="61"/>
  <c r="M38" i="61"/>
  <c r="M17" i="61"/>
  <c r="M62" i="61"/>
  <c r="M45" i="61"/>
  <c r="M29" i="61"/>
  <c r="M47" i="61"/>
  <c r="O47" i="61"/>
  <c r="M52" i="61"/>
  <c r="M14" i="61"/>
  <c r="M16" i="61"/>
  <c r="O16" i="61" s="1"/>
  <c r="M63" i="61"/>
  <c r="M34" i="61"/>
  <c r="M21" i="61"/>
  <c r="M49" i="61"/>
  <c r="M57" i="61"/>
  <c r="M23" i="61"/>
  <c r="M20" i="61"/>
  <c r="M46" i="61"/>
  <c r="M41" i="61"/>
  <c r="O41" i="61" s="1"/>
  <c r="M26" i="61"/>
  <c r="M43" i="61"/>
  <c r="O43" i="61" s="1"/>
  <c r="M64" i="61"/>
  <c r="M42" i="61"/>
  <c r="M25" i="61"/>
  <c r="M37" i="61"/>
  <c r="M66" i="61"/>
  <c r="O66" i="61" s="1"/>
  <c r="M59" i="61"/>
  <c r="M56" i="61"/>
  <c r="M30" i="61"/>
  <c r="M33" i="61"/>
  <c r="O33" i="61" s="1"/>
  <c r="M67" i="61"/>
  <c r="O67" i="61" s="1"/>
  <c r="M53" i="61"/>
  <c r="M50" i="61"/>
  <c r="O20" i="53"/>
  <c r="M69" i="61"/>
  <c r="M65" i="61"/>
  <c r="O37" i="60"/>
  <c r="O16" i="60"/>
  <c r="O15" i="55"/>
  <c r="O15" i="56"/>
  <c r="O24" i="55"/>
  <c r="O19" i="61"/>
  <c r="M67" i="52"/>
  <c r="M34" i="52"/>
  <c r="M10" i="52"/>
  <c r="M49" i="52"/>
  <c r="O49" i="53" s="1"/>
  <c r="M63" i="52"/>
  <c r="M39" i="52"/>
  <c r="M62" i="52"/>
  <c r="O62" i="53" s="1"/>
  <c r="M55" i="52"/>
  <c r="M69" i="52"/>
  <c r="M25" i="52"/>
  <c r="M9" i="52"/>
  <c r="O9" i="53"/>
  <c r="M66" i="52"/>
  <c r="M60" i="52"/>
  <c r="M54" i="52"/>
  <c r="M61" i="52"/>
  <c r="M8" i="52"/>
  <c r="M40" i="52"/>
  <c r="O40" i="53" s="1"/>
  <c r="M42" i="52"/>
  <c r="M64" i="52"/>
  <c r="M43" i="52"/>
  <c r="M58" i="52"/>
  <c r="M11" i="52"/>
  <c r="M7" i="52"/>
  <c r="M16" i="52"/>
  <c r="M23" i="52"/>
  <c r="M18" i="52"/>
  <c r="O18" i="53" s="1"/>
  <c r="M29" i="52"/>
  <c r="O29" i="53" s="1"/>
  <c r="M36" i="52"/>
  <c r="O36" i="53" s="1"/>
  <c r="M12" i="52"/>
  <c r="O12" i="53" s="1"/>
  <c r="M31" i="52"/>
  <c r="M65" i="52"/>
  <c r="O65" i="53" s="1"/>
  <c r="S65" i="53" s="1"/>
  <c r="M35" i="52"/>
  <c r="O35" i="52" s="1"/>
  <c r="M46" i="52"/>
  <c r="O46" i="52" s="1"/>
  <c r="M32" i="52"/>
  <c r="O32" i="53" s="1"/>
  <c r="M37" i="52"/>
  <c r="M24" i="52"/>
  <c r="O24" i="53" s="1"/>
  <c r="M17" i="60"/>
  <c r="O17" i="61" s="1"/>
  <c r="M22" i="60"/>
  <c r="M62" i="60"/>
  <c r="O62" i="60" s="1"/>
  <c r="S62" i="60" s="1"/>
  <c r="M24" i="60"/>
  <c r="M45" i="60"/>
  <c r="O45" i="60" s="1"/>
  <c r="M34" i="60"/>
  <c r="M63" i="60"/>
  <c r="O63" i="60" s="1"/>
  <c r="S63" i="60" s="1"/>
  <c r="M48" i="60"/>
  <c r="M14" i="60"/>
  <c r="O14" i="60" s="1"/>
  <c r="M44" i="60"/>
  <c r="M65" i="60"/>
  <c r="O65" i="61" s="1"/>
  <c r="S65" i="61" s="1"/>
  <c r="M20" i="60"/>
  <c r="M38" i="60"/>
  <c r="M40" i="60"/>
  <c r="M36" i="60"/>
  <c r="M42" i="60"/>
  <c r="M26" i="60"/>
  <c r="M59" i="60"/>
  <c r="M18" i="60"/>
  <c r="M35" i="60"/>
  <c r="M31" i="60"/>
  <c r="M29" i="60"/>
  <c r="M25" i="60"/>
  <c r="O25" i="61" s="1"/>
  <c r="O38" i="52"/>
  <c r="O24" i="54"/>
  <c r="M61" i="54"/>
  <c r="M64" i="54"/>
  <c r="M67" i="54"/>
  <c r="M38" i="54"/>
  <c r="M18" i="54"/>
  <c r="M59" i="54"/>
  <c r="O59" i="54" s="1"/>
  <c r="S59" i="54" s="1"/>
  <c r="M39" i="54"/>
  <c r="O39" i="55" s="1"/>
  <c r="M8" i="54"/>
  <c r="M47" i="54"/>
  <c r="M66" i="54"/>
  <c r="O66" i="55" s="1"/>
  <c r="S66" i="55" s="1"/>
  <c r="M20" i="54"/>
  <c r="M28" i="54"/>
  <c r="M32" i="54"/>
  <c r="O32" i="54" s="1"/>
  <c r="M12" i="54"/>
  <c r="O12" i="54" s="1"/>
  <c r="M26" i="54"/>
  <c r="M10" i="54"/>
  <c r="M41" i="54"/>
  <c r="O41" i="55" s="1"/>
  <c r="M55" i="54"/>
  <c r="O55" i="55" s="1"/>
  <c r="M34" i="54"/>
  <c r="M30" i="54"/>
  <c r="M49" i="54"/>
  <c r="M45" i="54"/>
  <c r="M52" i="54"/>
  <c r="O52" i="55" s="1"/>
  <c r="M40" i="54"/>
  <c r="M31" i="54"/>
  <c r="M23" i="54"/>
  <c r="M7" i="54"/>
  <c r="M63" i="54"/>
  <c r="O63" i="55" s="1"/>
  <c r="M42" i="54"/>
  <c r="M33" i="54"/>
  <c r="O33" i="55" s="1"/>
  <c r="M25" i="54"/>
  <c r="M9" i="54"/>
  <c r="O28" i="54"/>
  <c r="M62" i="1"/>
  <c r="O62" i="52" s="1"/>
  <c r="S62" i="52" s="1"/>
  <c r="M50" i="1"/>
  <c r="O50" i="52" s="1"/>
  <c r="M22" i="1"/>
  <c r="M6" i="1"/>
  <c r="M53" i="1"/>
  <c r="O53" i="52" s="1"/>
  <c r="M41" i="1"/>
  <c r="M25" i="1"/>
  <c r="O25" i="52" s="1"/>
  <c r="M9" i="1"/>
  <c r="O9" i="52" s="1"/>
  <c r="M68" i="1"/>
  <c r="O68" i="52" s="1"/>
  <c r="M56" i="1"/>
  <c r="M40" i="1"/>
  <c r="O40" i="52" s="1"/>
  <c r="M24" i="1"/>
  <c r="O24" i="52" s="1"/>
  <c r="M54" i="1"/>
  <c r="M42" i="1"/>
  <c r="M30" i="1"/>
  <c r="O30" i="52" s="1"/>
  <c r="M14" i="1"/>
  <c r="O14" i="52" s="1"/>
  <c r="M61" i="1"/>
  <c r="O61" i="52"/>
  <c r="S61" i="52" s="1"/>
  <c r="M49" i="1"/>
  <c r="M33" i="1"/>
  <c r="M17" i="1"/>
  <c r="O17" i="52"/>
  <c r="M60" i="1"/>
  <c r="M48" i="1"/>
  <c r="M32" i="1"/>
  <c r="O32" i="52"/>
  <c r="M16" i="1"/>
  <c r="O16" i="52" s="1"/>
  <c r="M21" i="53"/>
  <c r="M16" i="53"/>
  <c r="O16" i="54"/>
  <c r="M42" i="53"/>
  <c r="O42" i="54" s="1"/>
  <c r="M65" i="53"/>
  <c r="O65" i="54" s="1"/>
  <c r="S65" i="54" s="1"/>
  <c r="M61" i="53"/>
  <c r="M44" i="53"/>
  <c r="M14" i="53"/>
  <c r="M51" i="53"/>
  <c r="M19" i="53"/>
  <c r="M38" i="53"/>
  <c r="O38" i="54"/>
  <c r="M60" i="53"/>
  <c r="O60" i="54" s="1"/>
  <c r="M66" i="53"/>
  <c r="M56" i="53"/>
  <c r="O56" i="54" s="1"/>
  <c r="M59" i="53"/>
  <c r="M63" i="53"/>
  <c r="M22" i="53"/>
  <c r="M33" i="53"/>
  <c r="M23" i="53"/>
  <c r="M11" i="53"/>
  <c r="M53" i="53"/>
  <c r="O53" i="54" s="1"/>
  <c r="M10" i="53"/>
  <c r="M35" i="53"/>
  <c r="M57" i="53"/>
  <c r="M30" i="53"/>
  <c r="O30" i="53" s="1"/>
  <c r="M8" i="53"/>
  <c r="M7" i="53"/>
  <c r="M41" i="53"/>
  <c r="M13" i="53"/>
  <c r="O13" i="53" s="1"/>
  <c r="M69" i="53"/>
  <c r="O69" i="54" s="1"/>
  <c r="S69" i="54" s="1"/>
  <c r="M39" i="53"/>
  <c r="O39" i="53" s="1"/>
  <c r="M25" i="53"/>
  <c r="M6" i="53"/>
  <c r="M26" i="53"/>
  <c r="M46" i="53"/>
  <c r="M26" i="55"/>
  <c r="O26" i="56"/>
  <c r="M42" i="55"/>
  <c r="O42" i="56" s="1"/>
  <c r="M13" i="55"/>
  <c r="M59" i="55"/>
  <c r="M68" i="55"/>
  <c r="O68" i="55" s="1"/>
  <c r="S68" i="55" s="1"/>
  <c r="M57" i="55"/>
  <c r="O57" i="55" s="1"/>
  <c r="M45" i="55"/>
  <c r="O45" i="56" s="1"/>
  <c r="M50" i="55"/>
  <c r="M51" i="55"/>
  <c r="M56" i="55"/>
  <c r="M49" i="55"/>
  <c r="O49" i="56" s="1"/>
  <c r="M54" i="55"/>
  <c r="M55" i="55"/>
  <c r="O55" i="56" s="1"/>
  <c r="M18" i="55"/>
  <c r="O18" i="56" s="1"/>
  <c r="M27" i="55"/>
  <c r="M19" i="55"/>
  <c r="M25" i="55"/>
  <c r="M30" i="55"/>
  <c r="M31" i="55"/>
  <c r="M10" i="55"/>
  <c r="O10" i="55" s="1"/>
  <c r="M21" i="55"/>
  <c r="M28" i="55"/>
  <c r="O28" i="56" s="1"/>
  <c r="M22" i="55"/>
  <c r="O22" i="56" s="1"/>
  <c r="M23" i="55"/>
  <c r="O23" i="56" s="1"/>
  <c r="O39" i="54"/>
  <c r="O40" i="57"/>
  <c r="O53" i="60"/>
  <c r="O33" i="60"/>
  <c r="O38" i="57"/>
  <c r="O32" i="60"/>
  <c r="O54" i="60"/>
  <c r="O61" i="57"/>
  <c r="S61" i="57" s="1"/>
  <c r="O45" i="55"/>
  <c r="O25" i="57"/>
  <c r="O19" i="60"/>
  <c r="O46" i="57"/>
  <c r="O38" i="53"/>
  <c r="O43" i="52"/>
  <c r="O45" i="61"/>
  <c r="O31" i="52"/>
  <c r="O25" i="53"/>
  <c r="O34" i="53"/>
  <c r="O34" i="52"/>
  <c r="O14" i="53"/>
  <c r="O12" i="55"/>
  <c r="O54" i="56"/>
  <c r="O44" i="54"/>
  <c r="O44" i="53"/>
  <c r="O42" i="55"/>
  <c r="O31" i="54"/>
  <c r="O49" i="55"/>
  <c r="O47" i="55"/>
  <c r="O35" i="60"/>
  <c r="O42" i="61"/>
  <c r="O42" i="60"/>
  <c r="O20" i="61"/>
  <c r="O20" i="60"/>
  <c r="O48" i="60"/>
  <c r="O48" i="61"/>
  <c r="O24" i="60"/>
  <c r="O46" i="53"/>
  <c r="O23" i="52"/>
  <c r="O58" i="53"/>
  <c r="O69" i="53"/>
  <c r="S69" i="53" s="1"/>
  <c r="O13" i="55"/>
  <c r="O26" i="54"/>
  <c r="O28" i="55"/>
  <c r="O25" i="60"/>
  <c r="O36" i="61"/>
  <c r="O21" i="56"/>
  <c r="O21" i="55"/>
  <c r="O41" i="54"/>
  <c r="O57" i="54"/>
  <c r="S57" i="54" s="1"/>
  <c r="O57" i="53"/>
  <c r="O55" i="54"/>
  <c r="O56" i="55"/>
  <c r="O56" i="56"/>
  <c r="O57" i="56"/>
  <c r="O13" i="54"/>
  <c r="O53" i="53"/>
  <c r="O51" i="53"/>
  <c r="O34" i="54"/>
  <c r="O26" i="55"/>
  <c r="O20" i="55"/>
  <c r="O20" i="54"/>
  <c r="O67" i="55"/>
  <c r="O29" i="61"/>
  <c r="O29" i="60"/>
  <c r="O44" i="60"/>
  <c r="O44" i="61"/>
  <c r="O34" i="61"/>
  <c r="O22" i="61"/>
  <c r="O65" i="52"/>
  <c r="S65" i="52" s="1"/>
  <c r="O7" i="52"/>
  <c r="O52" i="54"/>
  <c r="O36" i="52"/>
  <c r="O63" i="61"/>
  <c r="S63" i="61" s="1"/>
  <c r="O16" i="53"/>
  <c r="O8" i="52"/>
  <c r="O66" i="53" l="1"/>
  <c r="S66" i="53" s="1"/>
  <c r="O66" i="54"/>
  <c r="S66" i="54" s="1"/>
  <c r="O19" i="54"/>
  <c r="O19" i="53"/>
  <c r="O64" i="54"/>
  <c r="S64" i="54" s="1"/>
  <c r="O64" i="55"/>
  <c r="S64" i="55" s="1"/>
  <c r="O18" i="61"/>
  <c r="O18" i="60"/>
  <c r="O37" i="53"/>
  <c r="O37" i="52"/>
  <c r="O61" i="53"/>
  <c r="S61" i="53" s="1"/>
  <c r="O55" i="52"/>
  <c r="O55" i="53"/>
  <c r="H26" i="58"/>
  <c r="C39" i="58"/>
  <c r="D39" i="58" s="1"/>
  <c r="E39" i="58" s="1"/>
  <c r="F39" i="58" s="1"/>
  <c r="G39" i="58" s="1"/>
  <c r="C37" i="58"/>
  <c r="D37" i="58" s="1"/>
  <c r="E37" i="58" s="1"/>
  <c r="F37" i="58" s="1"/>
  <c r="C16" i="58"/>
  <c r="D16" i="58" s="1"/>
  <c r="C51" i="58"/>
  <c r="D51" i="58" s="1"/>
  <c r="E51" i="58" s="1"/>
  <c r="F51" i="58" s="1"/>
  <c r="G51" i="58" s="1"/>
  <c r="O19" i="56"/>
  <c r="O19" i="55"/>
  <c r="O50" i="55"/>
  <c r="O50" i="56"/>
  <c r="O22" i="53"/>
  <c r="O36" i="60"/>
  <c r="L17" i="53"/>
  <c r="H32" i="56"/>
  <c r="S67" i="55"/>
  <c r="S57" i="53"/>
  <c r="S58" i="53"/>
  <c r="O59" i="55"/>
  <c r="S59" i="55" s="1"/>
  <c r="S60" i="54"/>
  <c r="O47" i="54"/>
  <c r="O42" i="53"/>
  <c r="O54" i="53"/>
  <c r="S62" i="53"/>
  <c r="O34" i="56"/>
  <c r="L15" i="53"/>
  <c r="O56" i="60"/>
  <c r="S60" i="57"/>
  <c r="S61" i="60"/>
  <c r="K5" i="50"/>
  <c r="N10" i="50"/>
  <c r="H36" i="56"/>
  <c r="B15" i="61"/>
  <c r="B26" i="61"/>
  <c r="B44" i="61"/>
  <c r="L44" i="61" s="1"/>
  <c r="B38" i="61"/>
  <c r="H38" i="61" s="1"/>
  <c r="B21" i="61"/>
  <c r="B43" i="61"/>
  <c r="B24" i="61"/>
  <c r="L24" i="61" s="1"/>
  <c r="B32" i="61"/>
  <c r="B40" i="61"/>
  <c r="B27" i="61"/>
  <c r="B46" i="61"/>
  <c r="H46" i="61" s="1"/>
  <c r="B40" i="52"/>
  <c r="B23" i="52"/>
  <c r="B29" i="59"/>
  <c r="B15" i="59"/>
  <c r="B34" i="59"/>
  <c r="B42" i="59"/>
  <c r="B50" i="59"/>
  <c r="B35" i="61"/>
  <c r="H55" i="53"/>
  <c r="L27" i="58"/>
  <c r="C45" i="61"/>
  <c r="D45" i="61" s="1"/>
  <c r="L18" i="61"/>
  <c r="O67" i="54"/>
  <c r="S67" i="54" s="1"/>
  <c r="O45" i="54"/>
  <c r="O7" i="53"/>
  <c r="O23" i="54"/>
  <c r="O59" i="53"/>
  <c r="S59" i="53" s="1"/>
  <c r="O14" i="54"/>
  <c r="S68" i="52"/>
  <c r="O41" i="52"/>
  <c r="O22" i="52"/>
  <c r="S63" i="55"/>
  <c r="O30" i="54"/>
  <c r="O38" i="55"/>
  <c r="O38" i="61"/>
  <c r="S67" i="61"/>
  <c r="O59" i="61"/>
  <c r="S59" i="61" s="1"/>
  <c r="O24" i="61"/>
  <c r="S58" i="61"/>
  <c r="L16" i="53"/>
  <c r="L22" i="53"/>
  <c r="O26" i="53"/>
  <c r="O67" i="52"/>
  <c r="S67" i="52" s="1"/>
  <c r="O40" i="60"/>
  <c r="S68" i="60"/>
  <c r="N6" i="50"/>
  <c r="K10" i="50"/>
  <c r="B39" i="61"/>
  <c r="H39" i="61" s="1"/>
  <c r="B20" i="61"/>
  <c r="B30" i="61"/>
  <c r="B53" i="61"/>
  <c r="H53" i="61" s="1"/>
  <c r="B17" i="61"/>
  <c r="H17" i="61" s="1"/>
  <c r="B51" i="61"/>
  <c r="H51" i="61" s="1"/>
  <c r="B28" i="61"/>
  <c r="H28" i="61" s="1"/>
  <c r="B36" i="61"/>
  <c r="H36" i="61" s="1"/>
  <c r="B48" i="61"/>
  <c r="H48" i="61" s="1"/>
  <c r="I7" i="4"/>
  <c r="G2" i="56" s="1"/>
  <c r="L55" i="56" s="1"/>
  <c r="B19" i="61"/>
  <c r="B44" i="52"/>
  <c r="B26" i="59"/>
  <c r="B54" i="59"/>
  <c r="B37" i="59"/>
  <c r="B45" i="59"/>
  <c r="B27" i="59"/>
  <c r="B47" i="61"/>
  <c r="K6" i="50"/>
  <c r="C38" i="58"/>
  <c r="D38" i="58" s="1"/>
  <c r="E38" i="58" s="1"/>
  <c r="F38" i="58" s="1"/>
  <c r="H19" i="61"/>
  <c r="O11" i="57"/>
  <c r="C26" i="53"/>
  <c r="D26" i="53" s="1"/>
  <c r="O51" i="55"/>
  <c r="O33" i="54"/>
  <c r="O43" i="53"/>
  <c r="O66" i="52"/>
  <c r="S66" i="52" s="1"/>
  <c r="O69" i="52"/>
  <c r="S69" i="52" s="1"/>
  <c r="S57" i="52"/>
  <c r="S66" i="61"/>
  <c r="L35" i="56"/>
  <c r="L31" i="53"/>
  <c r="O60" i="56"/>
  <c r="S66" i="60"/>
  <c r="S58" i="60"/>
  <c r="O64" i="57"/>
  <c r="S64" i="57" s="1"/>
  <c r="L10" i="53"/>
  <c r="K9" i="50"/>
  <c r="O38" i="56"/>
  <c r="C38" i="56"/>
  <c r="D38" i="56" s="1"/>
  <c r="B55" i="61"/>
  <c r="H55" i="61" s="1"/>
  <c r="B34" i="61"/>
  <c r="B31" i="61"/>
  <c r="B52" i="61"/>
  <c r="H52" i="61" s="1"/>
  <c r="B33" i="61"/>
  <c r="L33" i="61" s="1"/>
  <c r="B42" i="61"/>
  <c r="B22" i="61"/>
  <c r="B41" i="61"/>
  <c r="I2" i="4"/>
  <c r="G2" i="1" s="1"/>
  <c r="L50" i="1" s="1"/>
  <c r="O43" i="54"/>
  <c r="B22" i="59"/>
  <c r="B28" i="59"/>
  <c r="B55" i="59"/>
  <c r="B38" i="59"/>
  <c r="B46" i="59"/>
  <c r="H54" i="58"/>
  <c r="L41" i="61"/>
  <c r="H50" i="58"/>
  <c r="C40" i="56"/>
  <c r="D40" i="56" s="1"/>
  <c r="C35" i="56"/>
  <c r="D35" i="56" s="1"/>
  <c r="E35" i="56" s="1"/>
  <c r="F35" i="56" s="1"/>
  <c r="C19" i="56"/>
  <c r="D19" i="56" s="1"/>
  <c r="C10" i="56"/>
  <c r="C10" i="57" s="1"/>
  <c r="C13" i="56"/>
  <c r="D13" i="56" s="1"/>
  <c r="E13" i="56" s="1"/>
  <c r="F13" i="56" s="1"/>
  <c r="C16" i="56"/>
  <c r="D16" i="56" s="1"/>
  <c r="E16" i="56" s="1"/>
  <c r="F16" i="56" s="1"/>
  <c r="C55" i="56"/>
  <c r="D55" i="56" s="1"/>
  <c r="E55" i="56" s="1"/>
  <c r="F55" i="56" s="1"/>
  <c r="C53" i="56"/>
  <c r="D53" i="56" s="1"/>
  <c r="E53" i="56" s="1"/>
  <c r="F53" i="56" s="1"/>
  <c r="C41" i="56"/>
  <c r="D41" i="56" s="1"/>
  <c r="E41" i="56" s="1"/>
  <c r="F41" i="56" s="1"/>
  <c r="C24" i="56"/>
  <c r="D24" i="56" s="1"/>
  <c r="E24" i="56" s="1"/>
  <c r="F24" i="56" s="1"/>
  <c r="H41" i="58"/>
  <c r="C27" i="53"/>
  <c r="D27" i="53" s="1"/>
  <c r="E27" i="53" s="1"/>
  <c r="F27" i="53" s="1"/>
  <c r="C48" i="56"/>
  <c r="D48" i="56" s="1"/>
  <c r="E48" i="56" s="1"/>
  <c r="F48" i="56" s="1"/>
  <c r="J48" i="56" s="1"/>
  <c r="C14" i="56"/>
  <c r="D14" i="56" s="1"/>
  <c r="E14" i="56" s="1"/>
  <c r="F14" i="56" s="1"/>
  <c r="C23" i="56"/>
  <c r="D23" i="56" s="1"/>
  <c r="E23" i="56" s="1"/>
  <c r="F23" i="56" s="1"/>
  <c r="C45" i="56"/>
  <c r="D45" i="56" s="1"/>
  <c r="E45" i="56" s="1"/>
  <c r="F45" i="56" s="1"/>
  <c r="J45" i="56" s="1"/>
  <c r="C28" i="56"/>
  <c r="D28" i="56" s="1"/>
  <c r="E28" i="56" s="1"/>
  <c r="F28" i="56" s="1"/>
  <c r="C51" i="56"/>
  <c r="D51" i="56" s="1"/>
  <c r="E51" i="56" s="1"/>
  <c r="F51" i="56" s="1"/>
  <c r="C25" i="56"/>
  <c r="D25" i="56" s="1"/>
  <c r="E25" i="56" s="1"/>
  <c r="F25" i="56" s="1"/>
  <c r="C32" i="56"/>
  <c r="D32" i="56" s="1"/>
  <c r="E32" i="56" s="1"/>
  <c r="F32" i="56" s="1"/>
  <c r="J32" i="56" s="1"/>
  <c r="C37" i="56"/>
  <c r="D37" i="56" s="1"/>
  <c r="E37" i="56" s="1"/>
  <c r="F37" i="56" s="1"/>
  <c r="H42" i="56"/>
  <c r="H53" i="56"/>
  <c r="H46" i="58"/>
  <c r="C44" i="56"/>
  <c r="D44" i="56" s="1"/>
  <c r="E44" i="56" s="1"/>
  <c r="F44" i="56" s="1"/>
  <c r="H52" i="56"/>
  <c r="C56" i="56"/>
  <c r="D56" i="56" s="1"/>
  <c r="E56" i="56" s="1"/>
  <c r="F56" i="56" s="1"/>
  <c r="C29" i="56"/>
  <c r="D29" i="56" s="1"/>
  <c r="E29" i="56" s="1"/>
  <c r="F29" i="56" s="1"/>
  <c r="C36" i="56"/>
  <c r="D36" i="56" s="1"/>
  <c r="E36" i="56" s="1"/>
  <c r="F36" i="56" s="1"/>
  <c r="H38" i="58"/>
  <c r="C20" i="56"/>
  <c r="D20" i="56" s="1"/>
  <c r="E20" i="56" s="1"/>
  <c r="F20" i="56" s="1"/>
  <c r="H45" i="56"/>
  <c r="C54" i="56"/>
  <c r="D54" i="56" s="1"/>
  <c r="E54" i="56" s="1"/>
  <c r="F54" i="56" s="1"/>
  <c r="C46" i="56"/>
  <c r="D46" i="56" s="1"/>
  <c r="C30" i="56"/>
  <c r="D30" i="56" s="1"/>
  <c r="E30" i="56" s="1"/>
  <c r="F30" i="56" s="1"/>
  <c r="C21" i="56"/>
  <c r="D21" i="56" s="1"/>
  <c r="E21" i="56" s="1"/>
  <c r="F21" i="56" s="1"/>
  <c r="C42" i="56"/>
  <c r="D42" i="56" s="1"/>
  <c r="E42" i="56" s="1"/>
  <c r="F42" i="56" s="1"/>
  <c r="J42" i="56" s="1"/>
  <c r="L34" i="61"/>
  <c r="L52" i="53"/>
  <c r="L45" i="53"/>
  <c r="L55" i="53"/>
  <c r="L25" i="53"/>
  <c r="L18" i="53"/>
  <c r="L38" i="61"/>
  <c r="L53" i="53"/>
  <c r="L43" i="61"/>
  <c r="L32" i="61"/>
  <c r="L50" i="53"/>
  <c r="L32" i="53"/>
  <c r="L40" i="53"/>
  <c r="L49" i="53"/>
  <c r="L23" i="58"/>
  <c r="L56" i="61"/>
  <c r="L45" i="61"/>
  <c r="L29" i="53"/>
  <c r="L24" i="53"/>
  <c r="L42" i="53"/>
  <c r="L23" i="53"/>
  <c r="L51" i="53"/>
  <c r="C12" i="53"/>
  <c r="D12" i="53" s="1"/>
  <c r="E12" i="53" s="1"/>
  <c r="F12" i="53" s="1"/>
  <c r="C36" i="53"/>
  <c r="D36" i="53" s="1"/>
  <c r="E36" i="53" s="1"/>
  <c r="F36" i="53" s="1"/>
  <c r="G36" i="53" s="1"/>
  <c r="H14" i="56"/>
  <c r="H44" i="56"/>
  <c r="H31" i="56"/>
  <c r="H29" i="56"/>
  <c r="H17" i="56"/>
  <c r="H21" i="56"/>
  <c r="C42" i="1"/>
  <c r="D42" i="1" s="1"/>
  <c r="E42" i="1" s="1"/>
  <c r="F42" i="1" s="1"/>
  <c r="G42" i="1" s="1"/>
  <c r="G24" i="56"/>
  <c r="D10" i="56"/>
  <c r="E10" i="56" s="1"/>
  <c r="F10" i="56" s="1"/>
  <c r="C20" i="53"/>
  <c r="D20" i="53" s="1"/>
  <c r="E20" i="53" s="1"/>
  <c r="F20" i="53" s="1"/>
  <c r="G20" i="53" s="1"/>
  <c r="I20" i="53" s="1"/>
  <c r="C22" i="53"/>
  <c r="D22" i="53" s="1"/>
  <c r="H18" i="56"/>
  <c r="H56" i="56"/>
  <c r="H35" i="56"/>
  <c r="J35" i="56" s="1"/>
  <c r="P35" i="56" s="1"/>
  <c r="H34" i="56"/>
  <c r="H23" i="56"/>
  <c r="J23" i="56" s="1"/>
  <c r="H19" i="56"/>
  <c r="H28" i="56"/>
  <c r="H33" i="56"/>
  <c r="H51" i="56"/>
  <c r="H12" i="56"/>
  <c r="H25" i="56"/>
  <c r="J25" i="56" s="1"/>
  <c r="H55" i="56"/>
  <c r="H37" i="56"/>
  <c r="C41" i="1"/>
  <c r="D41" i="1" s="1"/>
  <c r="H15" i="56"/>
  <c r="C17" i="53"/>
  <c r="D17" i="53" s="1"/>
  <c r="E17" i="53" s="1"/>
  <c r="F17" i="53" s="1"/>
  <c r="H48" i="56"/>
  <c r="H40" i="56"/>
  <c r="H10" i="56"/>
  <c r="H10" i="57" s="1"/>
  <c r="H54" i="56"/>
  <c r="J54" i="56" s="1"/>
  <c r="H13" i="56"/>
  <c r="H46" i="56"/>
  <c r="H16" i="56"/>
  <c r="C43" i="1"/>
  <c r="D43" i="1" s="1"/>
  <c r="L53" i="58"/>
  <c r="L49" i="61"/>
  <c r="L29" i="61"/>
  <c r="L52" i="61"/>
  <c r="L50" i="61"/>
  <c r="L31" i="61"/>
  <c r="L40" i="61"/>
  <c r="L16" i="61"/>
  <c r="L28" i="61"/>
  <c r="L42" i="56"/>
  <c r="L19" i="56"/>
  <c r="L21" i="1"/>
  <c r="L28" i="56"/>
  <c r="L30" i="56"/>
  <c r="L21" i="61"/>
  <c r="L51" i="61"/>
  <c r="L36" i="56"/>
  <c r="L44" i="56"/>
  <c r="L14" i="58"/>
  <c r="L15" i="61"/>
  <c r="L16" i="58"/>
  <c r="L54" i="58"/>
  <c r="L17" i="61"/>
  <c r="L22" i="61"/>
  <c r="L42" i="61"/>
  <c r="L39" i="61"/>
  <c r="L37" i="61"/>
  <c r="L47" i="61"/>
  <c r="L21" i="56"/>
  <c r="L33" i="56"/>
  <c r="L54" i="1"/>
  <c r="L39" i="56"/>
  <c r="L20" i="56"/>
  <c r="L40" i="58"/>
  <c r="L52" i="56"/>
  <c r="L17" i="56"/>
  <c r="L23" i="61"/>
  <c r="L54" i="61"/>
  <c r="L35" i="61"/>
  <c r="L26" i="61"/>
  <c r="L27" i="61"/>
  <c r="L25" i="61"/>
  <c r="L19" i="61"/>
  <c r="L29" i="56"/>
  <c r="L43" i="56"/>
  <c r="L53" i="56"/>
  <c r="L48" i="56"/>
  <c r="G37" i="58"/>
  <c r="C55" i="58"/>
  <c r="D55" i="58" s="1"/>
  <c r="C18" i="58"/>
  <c r="D18" i="58" s="1"/>
  <c r="E18" i="58" s="1"/>
  <c r="F18" i="58" s="1"/>
  <c r="C31" i="58"/>
  <c r="D31" i="58" s="1"/>
  <c r="H21" i="61"/>
  <c r="H15" i="61"/>
  <c r="C49" i="58"/>
  <c r="D49" i="58" s="1"/>
  <c r="E49" i="58" s="1"/>
  <c r="F49" i="58" s="1"/>
  <c r="G49" i="58" s="1"/>
  <c r="H32" i="61"/>
  <c r="C44" i="58"/>
  <c r="D44" i="58" s="1"/>
  <c r="E44" i="58" s="1"/>
  <c r="F44" i="58" s="1"/>
  <c r="C26" i="58"/>
  <c r="D26" i="58" s="1"/>
  <c r="E26" i="58" s="1"/>
  <c r="F26" i="58" s="1"/>
  <c r="J26" i="58" s="1"/>
  <c r="J14" i="56"/>
  <c r="C42" i="58"/>
  <c r="D42" i="58" s="1"/>
  <c r="E42" i="58" s="1"/>
  <c r="F42" i="58" s="1"/>
  <c r="H44" i="61"/>
  <c r="C48" i="58"/>
  <c r="D48" i="58" s="1"/>
  <c r="E48" i="58" s="1"/>
  <c r="F48" i="58" s="1"/>
  <c r="H27" i="61"/>
  <c r="J21" i="56"/>
  <c r="H35" i="61"/>
  <c r="H31" i="61"/>
  <c r="C15" i="58"/>
  <c r="D15" i="58" s="1"/>
  <c r="E15" i="58" s="1"/>
  <c r="F15" i="58" s="1"/>
  <c r="H56" i="61"/>
  <c r="C53" i="58"/>
  <c r="D53" i="58" s="1"/>
  <c r="E53" i="58" s="1"/>
  <c r="F53" i="58" s="1"/>
  <c r="C25" i="58"/>
  <c r="D25" i="58" s="1"/>
  <c r="J44" i="56"/>
  <c r="H43" i="61"/>
  <c r="H41" i="61"/>
  <c r="H40" i="61"/>
  <c r="H22" i="61"/>
  <c r="H42" i="61"/>
  <c r="H34" i="61"/>
  <c r="H26" i="61"/>
  <c r="H29" i="61"/>
  <c r="H54" i="61"/>
  <c r="J54" i="61" s="1"/>
  <c r="H45" i="61"/>
  <c r="H16" i="61"/>
  <c r="H25" i="61"/>
  <c r="H37" i="61"/>
  <c r="H50" i="61"/>
  <c r="H18" i="61"/>
  <c r="H49" i="61"/>
  <c r="H23" i="61"/>
  <c r="C13" i="58"/>
  <c r="D13" i="58" s="1"/>
  <c r="C43" i="58"/>
  <c r="D43" i="58" s="1"/>
  <c r="E43" i="58" s="1"/>
  <c r="F43" i="58" s="1"/>
  <c r="G43" i="58" s="1"/>
  <c r="C19" i="58"/>
  <c r="D19" i="58" s="1"/>
  <c r="E19" i="58" s="1"/>
  <c r="F19" i="58" s="1"/>
  <c r="G19" i="58" s="1"/>
  <c r="C52" i="58"/>
  <c r="D52" i="58" s="1"/>
  <c r="E52" i="58" s="1"/>
  <c r="F52" i="58" s="1"/>
  <c r="C41" i="58"/>
  <c r="D41" i="58" s="1"/>
  <c r="E41" i="58" s="1"/>
  <c r="F41" i="58" s="1"/>
  <c r="C14" i="58"/>
  <c r="D14" i="58" s="1"/>
  <c r="E14" i="58" s="1"/>
  <c r="F14" i="58" s="1"/>
  <c r="C30" i="58"/>
  <c r="D30" i="58" s="1"/>
  <c r="C29" i="58"/>
  <c r="D29" i="58" s="1"/>
  <c r="E29" i="58" s="1"/>
  <c r="F29" i="58" s="1"/>
  <c r="C12" i="58"/>
  <c r="D12" i="58" s="1"/>
  <c r="E12" i="58" s="1"/>
  <c r="F12" i="58" s="1"/>
  <c r="G12" i="58" s="1"/>
  <c r="Q12" i="59" s="1"/>
  <c r="C32" i="58"/>
  <c r="D32" i="58" s="1"/>
  <c r="L38" i="58"/>
  <c r="L29" i="58"/>
  <c r="L32" i="58"/>
  <c r="L31" i="58"/>
  <c r="L44" i="58"/>
  <c r="L22" i="58"/>
  <c r="L36" i="58"/>
  <c r="L56" i="58"/>
  <c r="L37" i="58"/>
  <c r="L12" i="58"/>
  <c r="L12" i="59" s="1"/>
  <c r="N12" i="59" s="1"/>
  <c r="L41" i="58"/>
  <c r="L24" i="58"/>
  <c r="L26" i="58"/>
  <c r="L46" i="58"/>
  <c r="L47" i="58"/>
  <c r="L17" i="58"/>
  <c r="G13" i="56"/>
  <c r="I13" i="56" s="1"/>
  <c r="E26" i="53"/>
  <c r="F26" i="53" s="1"/>
  <c r="G26" i="53" s="1"/>
  <c r="J53" i="56"/>
  <c r="G17" i="53"/>
  <c r="L52" i="58"/>
  <c r="L49" i="58"/>
  <c r="L55" i="58"/>
  <c r="L21" i="58"/>
  <c r="L48" i="58"/>
  <c r="L30" i="58"/>
  <c r="L42" i="58"/>
  <c r="L39" i="58"/>
  <c r="L45" i="58"/>
  <c r="L28" i="58"/>
  <c r="L35" i="58"/>
  <c r="L10" i="56"/>
  <c r="L10" i="57" s="1"/>
  <c r="N10" i="57" s="1"/>
  <c r="L54" i="56"/>
  <c r="L56" i="56"/>
  <c r="L51" i="56"/>
  <c r="L7" i="53"/>
  <c r="L7" i="54" s="1"/>
  <c r="N7" i="54" s="1"/>
  <c r="L14" i="53"/>
  <c r="L30" i="53"/>
  <c r="L33" i="53"/>
  <c r="L46" i="53"/>
  <c r="L43" i="53"/>
  <c r="L20" i="53"/>
  <c r="L44" i="53"/>
  <c r="L12" i="53"/>
  <c r="L26" i="53"/>
  <c r="L48" i="1"/>
  <c r="L49" i="1"/>
  <c r="L24" i="56"/>
  <c r="L45" i="56"/>
  <c r="L22" i="56"/>
  <c r="L13" i="56"/>
  <c r="L38" i="53"/>
  <c r="L34" i="56"/>
  <c r="L31" i="56"/>
  <c r="L49" i="56"/>
  <c r="L20" i="58"/>
  <c r="L43" i="58"/>
  <c r="L18" i="58"/>
  <c r="L34" i="58"/>
  <c r="L50" i="58"/>
  <c r="L51" i="58"/>
  <c r="L25" i="58"/>
  <c r="L13" i="58"/>
  <c r="L33" i="58"/>
  <c r="L15" i="58"/>
  <c r="L41" i="56"/>
  <c r="L11" i="56"/>
  <c r="L47" i="56"/>
  <c r="L23" i="56"/>
  <c r="L50" i="56"/>
  <c r="L54" i="53"/>
  <c r="L19" i="53"/>
  <c r="L37" i="53"/>
  <c r="L27" i="53"/>
  <c r="L9" i="53"/>
  <c r="L35" i="53"/>
  <c r="L13" i="53"/>
  <c r="L34" i="53"/>
  <c r="L36" i="53"/>
  <c r="L12" i="1"/>
  <c r="L32" i="56"/>
  <c r="L12" i="56"/>
  <c r="L18" i="56"/>
  <c r="L37" i="56"/>
  <c r="L21" i="53"/>
  <c r="L15" i="56"/>
  <c r="L26" i="56"/>
  <c r="E43" i="1"/>
  <c r="F43" i="1" s="1"/>
  <c r="E45" i="61"/>
  <c r="F45" i="61" s="1"/>
  <c r="G32" i="56"/>
  <c r="I32" i="56" s="1"/>
  <c r="E16" i="58"/>
  <c r="F16" i="58" s="1"/>
  <c r="G16" i="58" s="1"/>
  <c r="E40" i="56"/>
  <c r="F40" i="56" s="1"/>
  <c r="E46" i="56"/>
  <c r="F46" i="56" s="1"/>
  <c r="E19" i="56"/>
  <c r="F19" i="56" s="1"/>
  <c r="J19" i="56" s="1"/>
  <c r="P19" i="56" s="1"/>
  <c r="J29" i="56"/>
  <c r="P29" i="56" s="1"/>
  <c r="G20" i="56"/>
  <c r="G30" i="56"/>
  <c r="H34" i="53"/>
  <c r="H54" i="53"/>
  <c r="C36" i="61"/>
  <c r="D36" i="61" s="1"/>
  <c r="E36" i="61" s="1"/>
  <c r="F36" i="61" s="1"/>
  <c r="C49" i="61"/>
  <c r="D49" i="61" s="1"/>
  <c r="G44" i="56"/>
  <c r="I44" i="56" s="1"/>
  <c r="G25" i="56"/>
  <c r="G53" i="56"/>
  <c r="I53" i="56" s="1"/>
  <c r="H44" i="53"/>
  <c r="H20" i="53"/>
  <c r="H28" i="53"/>
  <c r="C38" i="61"/>
  <c r="D38" i="61" s="1"/>
  <c r="H52" i="1"/>
  <c r="H41" i="1"/>
  <c r="C56" i="61"/>
  <c r="D56" i="61" s="1"/>
  <c r="E56" i="61" s="1"/>
  <c r="F56" i="61" s="1"/>
  <c r="G35" i="56"/>
  <c r="G23" i="56"/>
  <c r="H21" i="1"/>
  <c r="H51" i="53"/>
  <c r="O45" i="59"/>
  <c r="O45" i="58"/>
  <c r="S64" i="56"/>
  <c r="M51" i="58"/>
  <c r="O51" i="59" s="1"/>
  <c r="O56" i="57"/>
  <c r="J38" i="58"/>
  <c r="P38" i="58" s="1"/>
  <c r="G38" i="58"/>
  <c r="M17" i="58"/>
  <c r="M55" i="58"/>
  <c r="M61" i="58"/>
  <c r="O61" i="59" s="1"/>
  <c r="S61" i="59" s="1"/>
  <c r="M54" i="58"/>
  <c r="M15" i="58"/>
  <c r="O15" i="59" s="1"/>
  <c r="M57" i="58"/>
  <c r="M18" i="58"/>
  <c r="O18" i="59" s="1"/>
  <c r="M56" i="58"/>
  <c r="O56" i="59" s="1"/>
  <c r="M35" i="58"/>
  <c r="O35" i="58" s="1"/>
  <c r="M20" i="58"/>
  <c r="O20" i="59" s="1"/>
  <c r="M37" i="58"/>
  <c r="O37" i="59" s="1"/>
  <c r="M32" i="58"/>
  <c r="O32" i="58" s="1"/>
  <c r="M63" i="58"/>
  <c r="M41" i="58"/>
  <c r="M11" i="58"/>
  <c r="M25" i="58"/>
  <c r="M27" i="58"/>
  <c r="M59" i="58"/>
  <c r="O59" i="58" s="1"/>
  <c r="S59" i="58" s="1"/>
  <c r="M26" i="58"/>
  <c r="M69" i="58"/>
  <c r="O69" i="59" s="1"/>
  <c r="S69" i="59" s="1"/>
  <c r="M64" i="58"/>
  <c r="M23" i="58"/>
  <c r="M28" i="58"/>
  <c r="M42" i="58"/>
  <c r="O42" i="59" s="1"/>
  <c r="M66" i="58"/>
  <c r="M60" i="58"/>
  <c r="O60" i="59" s="1"/>
  <c r="S60" i="59" s="1"/>
  <c r="M47" i="58"/>
  <c r="O47" i="58" s="1"/>
  <c r="M34" i="58"/>
  <c r="O34" i="59" s="1"/>
  <c r="M21" i="58"/>
  <c r="M53" i="58"/>
  <c r="O53" i="59" s="1"/>
  <c r="M36" i="58"/>
  <c r="M24" i="58"/>
  <c r="M68" i="58"/>
  <c r="M12" i="58"/>
  <c r="O12" i="58" s="1"/>
  <c r="M38" i="58"/>
  <c r="M33" i="58"/>
  <c r="M19" i="58"/>
  <c r="M22" i="58"/>
  <c r="O22" i="59" s="1"/>
  <c r="M46" i="58"/>
  <c r="O46" i="58" s="1"/>
  <c r="M14" i="58"/>
  <c r="M39" i="58"/>
  <c r="O39" i="59" s="1"/>
  <c r="M65" i="58"/>
  <c r="O65" i="58" s="1"/>
  <c r="S65" i="58" s="1"/>
  <c r="M50" i="58"/>
  <c r="M13" i="58"/>
  <c r="M40" i="58"/>
  <c r="M49" i="58"/>
  <c r="O49" i="59" s="1"/>
  <c r="M16" i="58"/>
  <c r="M31" i="58"/>
  <c r="O31" i="58" s="1"/>
  <c r="M67" i="58"/>
  <c r="M44" i="58"/>
  <c r="O44" i="58" s="1"/>
  <c r="M52" i="58"/>
  <c r="O52" i="59" s="1"/>
  <c r="M62" i="58"/>
  <c r="O31" i="56"/>
  <c r="O31" i="55"/>
  <c r="O27" i="56"/>
  <c r="O27" i="55"/>
  <c r="O18" i="54"/>
  <c r="O18" i="55"/>
  <c r="O11" i="52"/>
  <c r="O11" i="53"/>
  <c r="M43" i="58"/>
  <c r="O43" i="59" s="1"/>
  <c r="O15" i="61"/>
  <c r="O15" i="60"/>
  <c r="O30" i="58"/>
  <c r="O30" i="59"/>
  <c r="O40" i="55"/>
  <c r="O40" i="54"/>
  <c r="O26" i="60"/>
  <c r="O26" i="61"/>
  <c r="O27" i="53"/>
  <c r="O27" i="52"/>
  <c r="O15" i="53"/>
  <c r="O15" i="52"/>
  <c r="M58" i="58"/>
  <c r="O58" i="59" s="1"/>
  <c r="S58" i="59" s="1"/>
  <c r="M29" i="58"/>
  <c r="O29" i="59" s="1"/>
  <c r="M48" i="58"/>
  <c r="O48" i="59" s="1"/>
  <c r="S57" i="56"/>
  <c r="O25" i="54"/>
  <c r="O28" i="61"/>
  <c r="O29" i="58"/>
  <c r="O63" i="54"/>
  <c r="S63" i="54" s="1"/>
  <c r="O42" i="52"/>
  <c r="O55" i="60"/>
  <c r="O28" i="60"/>
  <c r="O18" i="57"/>
  <c r="O48" i="57"/>
  <c r="O48" i="58"/>
  <c r="O61" i="54"/>
  <c r="S61" i="54" s="1"/>
  <c r="O49" i="52"/>
  <c r="O54" i="52"/>
  <c r="G54" i="61"/>
  <c r="I54" i="61" s="1"/>
  <c r="E48" i="53"/>
  <c r="F48" i="53" s="1"/>
  <c r="G48" i="53" s="1"/>
  <c r="G16" i="56"/>
  <c r="I16" i="56" s="1"/>
  <c r="G36" i="56"/>
  <c r="C34" i="1"/>
  <c r="D34" i="1" s="1"/>
  <c r="H5" i="1"/>
  <c r="H5" i="52" s="1"/>
  <c r="L46" i="1"/>
  <c r="C7" i="1"/>
  <c r="D7" i="1" s="1"/>
  <c r="H29" i="1"/>
  <c r="H20" i="61"/>
  <c r="L20" i="61"/>
  <c r="H30" i="61"/>
  <c r="L30" i="61"/>
  <c r="O66" i="56"/>
  <c r="S66" i="56" s="1"/>
  <c r="O66" i="57"/>
  <c r="S66" i="57" s="1"/>
  <c r="O43" i="57"/>
  <c r="O43" i="58"/>
  <c r="O12" i="57"/>
  <c r="G56" i="56"/>
  <c r="I56" i="56" s="1"/>
  <c r="J56" i="56"/>
  <c r="M13" i="60"/>
  <c r="M21" i="60"/>
  <c r="O21" i="61" s="1"/>
  <c r="C34" i="61"/>
  <c r="D34" i="61" s="1"/>
  <c r="C31" i="61"/>
  <c r="D31" i="61" s="1"/>
  <c r="C42" i="61"/>
  <c r="D42" i="61" s="1"/>
  <c r="C18" i="61"/>
  <c r="D18" i="61" s="1"/>
  <c r="C19" i="61"/>
  <c r="D19" i="61" s="1"/>
  <c r="C37" i="61"/>
  <c r="D37" i="61" s="1"/>
  <c r="C50" i="61"/>
  <c r="D50" i="61" s="1"/>
  <c r="C27" i="61"/>
  <c r="D27" i="61" s="1"/>
  <c r="C39" i="61"/>
  <c r="D39" i="61" s="1"/>
  <c r="C20" i="61"/>
  <c r="D20" i="61" s="1"/>
  <c r="C32" i="61"/>
  <c r="D32" i="61" s="1"/>
  <c r="C28" i="61"/>
  <c r="D28" i="61" s="1"/>
  <c r="C52" i="61"/>
  <c r="D52" i="61" s="1"/>
  <c r="C23" i="61"/>
  <c r="D23" i="61" s="1"/>
  <c r="C47" i="61"/>
  <c r="D47" i="61" s="1"/>
  <c r="C22" i="61"/>
  <c r="D22" i="61" s="1"/>
  <c r="C25" i="61"/>
  <c r="D25" i="61" s="1"/>
  <c r="C15" i="61"/>
  <c r="D15" i="61" s="1"/>
  <c r="C29" i="61"/>
  <c r="D29" i="61" s="1"/>
  <c r="C21" i="61"/>
  <c r="D21" i="61" s="1"/>
  <c r="C43" i="61"/>
  <c r="D43" i="61" s="1"/>
  <c r="C48" i="61"/>
  <c r="D48" i="61" s="1"/>
  <c r="C53" i="61"/>
  <c r="D53" i="61" s="1"/>
  <c r="C30" i="61"/>
  <c r="D30" i="61" s="1"/>
  <c r="C51" i="61"/>
  <c r="D51" i="61" s="1"/>
  <c r="C17" i="61"/>
  <c r="D17" i="61" s="1"/>
  <c r="C16" i="61"/>
  <c r="D16" i="61" s="1"/>
  <c r="C41" i="61"/>
  <c r="D41" i="61" s="1"/>
  <c r="C26" i="61"/>
  <c r="D26" i="61" s="1"/>
  <c r="O53" i="61"/>
  <c r="O56" i="61"/>
  <c r="O23" i="61"/>
  <c r="O54" i="61"/>
  <c r="S60" i="56"/>
  <c r="O52" i="52"/>
  <c r="O46" i="59"/>
  <c r="O27" i="60"/>
  <c r="O45" i="57"/>
  <c r="O15" i="58"/>
  <c r="L28" i="53"/>
  <c r="L38" i="56"/>
  <c r="G27" i="53"/>
  <c r="C35" i="61"/>
  <c r="D35" i="61" s="1"/>
  <c r="E25" i="58"/>
  <c r="F25" i="58" s="1"/>
  <c r="G25" i="58" s="1"/>
  <c r="H24" i="56"/>
  <c r="H41" i="56"/>
  <c r="C45" i="53"/>
  <c r="D45" i="53" s="1"/>
  <c r="H50" i="53"/>
  <c r="C41" i="53"/>
  <c r="D41" i="53" s="1"/>
  <c r="H9" i="53"/>
  <c r="C16" i="53"/>
  <c r="D16" i="53" s="1"/>
  <c r="C9" i="53"/>
  <c r="D9" i="53" s="1"/>
  <c r="C52" i="53"/>
  <c r="D52" i="53" s="1"/>
  <c r="H17" i="53"/>
  <c r="I17" i="53" s="1"/>
  <c r="C40" i="61"/>
  <c r="D40" i="61" s="1"/>
  <c r="H15" i="1"/>
  <c r="H25" i="1"/>
  <c r="C53" i="1"/>
  <c r="D53" i="1" s="1"/>
  <c r="H52" i="53"/>
  <c r="C32" i="53"/>
  <c r="D32" i="53" s="1"/>
  <c r="H38" i="53"/>
  <c r="H26" i="53"/>
  <c r="C35" i="53"/>
  <c r="D35" i="53" s="1"/>
  <c r="C11" i="53"/>
  <c r="D11" i="53" s="1"/>
  <c r="H49" i="53"/>
  <c r="C23" i="53"/>
  <c r="D23" i="53" s="1"/>
  <c r="H42" i="53"/>
  <c r="H35" i="53"/>
  <c r="H15" i="53"/>
  <c r="C38" i="53"/>
  <c r="D38" i="53" s="1"/>
  <c r="C28" i="53"/>
  <c r="D28" i="53" s="1"/>
  <c r="C33" i="53"/>
  <c r="D33" i="53" s="1"/>
  <c r="C19" i="53"/>
  <c r="D19" i="53" s="1"/>
  <c r="H53" i="53"/>
  <c r="C18" i="53"/>
  <c r="D18" i="53" s="1"/>
  <c r="C39" i="53"/>
  <c r="D39" i="53" s="1"/>
  <c r="C44" i="53"/>
  <c r="D44" i="53" s="1"/>
  <c r="C53" i="53"/>
  <c r="D53" i="53" s="1"/>
  <c r="H41" i="53"/>
  <c r="C34" i="53"/>
  <c r="D34" i="53" s="1"/>
  <c r="H16" i="53"/>
  <c r="H47" i="53"/>
  <c r="C54" i="53"/>
  <c r="D54" i="53" s="1"/>
  <c r="H48" i="53"/>
  <c r="H37" i="53"/>
  <c r="H56" i="53"/>
  <c r="C13" i="53"/>
  <c r="D13" i="53" s="1"/>
  <c r="C43" i="53"/>
  <c r="D43" i="53" s="1"/>
  <c r="H39" i="53"/>
  <c r="H27" i="53"/>
  <c r="J27" i="53" s="1"/>
  <c r="P27" i="53" s="1"/>
  <c r="H14" i="53"/>
  <c r="C55" i="53"/>
  <c r="D55" i="53" s="1"/>
  <c r="H36" i="53"/>
  <c r="C49" i="53"/>
  <c r="D49" i="53" s="1"/>
  <c r="C21" i="53"/>
  <c r="D21" i="53" s="1"/>
  <c r="H21" i="53"/>
  <c r="C10" i="53"/>
  <c r="D10" i="53" s="1"/>
  <c r="H18" i="53"/>
  <c r="H10" i="53"/>
  <c r="C15" i="53"/>
  <c r="D15" i="53" s="1"/>
  <c r="H32" i="53"/>
  <c r="C25" i="53"/>
  <c r="D25" i="53" s="1"/>
  <c r="H12" i="53"/>
  <c r="H29" i="53"/>
  <c r="H30" i="53"/>
  <c r="C14" i="53"/>
  <c r="D14" i="53" s="1"/>
  <c r="H7" i="53"/>
  <c r="H7" i="54" s="1"/>
  <c r="H19" i="53"/>
  <c r="C40" i="53"/>
  <c r="D40" i="53" s="1"/>
  <c r="H13" i="53"/>
  <c r="C46" i="53"/>
  <c r="D46" i="53" s="1"/>
  <c r="C47" i="53"/>
  <c r="D47" i="53" s="1"/>
  <c r="L41" i="53"/>
  <c r="L56" i="53"/>
  <c r="L47" i="53"/>
  <c r="C29" i="53"/>
  <c r="D29" i="53" s="1"/>
  <c r="C8" i="53"/>
  <c r="D8" i="53" s="1"/>
  <c r="H11" i="53"/>
  <c r="C7" i="53"/>
  <c r="C51" i="53"/>
  <c r="D51" i="53" s="1"/>
  <c r="C30" i="53"/>
  <c r="D30" i="53" s="1"/>
  <c r="H24" i="53"/>
  <c r="C24" i="53"/>
  <c r="D24" i="53" s="1"/>
  <c r="H40" i="53"/>
  <c r="H25" i="53"/>
  <c r="C56" i="53"/>
  <c r="D56" i="53" s="1"/>
  <c r="H45" i="53"/>
  <c r="C50" i="53"/>
  <c r="D50" i="53" s="1"/>
  <c r="H43" i="53"/>
  <c r="H23" i="53"/>
  <c r="H33" i="53"/>
  <c r="C42" i="53"/>
  <c r="D42" i="53" s="1"/>
  <c r="H22" i="53"/>
  <c r="H22" i="56"/>
  <c r="C22" i="56"/>
  <c r="D22" i="56" s="1"/>
  <c r="C47" i="56"/>
  <c r="D47" i="56" s="1"/>
  <c r="H47" i="56"/>
  <c r="H49" i="56"/>
  <c r="C49" i="56"/>
  <c r="D49" i="56" s="1"/>
  <c r="C26" i="56"/>
  <c r="D26" i="56" s="1"/>
  <c r="H26" i="56"/>
  <c r="H27" i="56"/>
  <c r="C27" i="56"/>
  <c r="D27" i="56" s="1"/>
  <c r="H35" i="58"/>
  <c r="H15" i="58"/>
  <c r="H45" i="58"/>
  <c r="H21" i="58"/>
  <c r="H16" i="58"/>
  <c r="H28" i="58"/>
  <c r="H33" i="58"/>
  <c r="H24" i="58"/>
  <c r="H36" i="58"/>
  <c r="H44" i="58"/>
  <c r="H47" i="58"/>
  <c r="H29" i="58"/>
  <c r="H49" i="58"/>
  <c r="H20" i="58"/>
  <c r="H30" i="58"/>
  <c r="H12" i="58"/>
  <c r="H27" i="58"/>
  <c r="H13" i="58"/>
  <c r="H23" i="58"/>
  <c r="H37" i="58"/>
  <c r="J37" i="58" s="1"/>
  <c r="H40" i="58"/>
  <c r="H14" i="58"/>
  <c r="H39" i="58"/>
  <c r="H19" i="58"/>
  <c r="H18" i="58"/>
  <c r="H55" i="58"/>
  <c r="H17" i="58"/>
  <c r="H51" i="58"/>
  <c r="H25" i="58"/>
  <c r="H53" i="58"/>
  <c r="H22" i="58"/>
  <c r="H56" i="58"/>
  <c r="H31" i="58"/>
  <c r="H34" i="58"/>
  <c r="H48" i="58"/>
  <c r="J48" i="58" s="1"/>
  <c r="H32" i="58"/>
  <c r="O35" i="59"/>
  <c r="O61" i="58"/>
  <c r="S61" i="58" s="1"/>
  <c r="L48" i="53"/>
  <c r="L8" i="53"/>
  <c r="G14" i="58"/>
  <c r="H42" i="58"/>
  <c r="H52" i="58"/>
  <c r="C11" i="56"/>
  <c r="D11" i="56" s="1"/>
  <c r="C37" i="53"/>
  <c r="D37" i="53" s="1"/>
  <c r="H46" i="53"/>
  <c r="C31" i="53"/>
  <c r="D31" i="53" s="1"/>
  <c r="H8" i="53"/>
  <c r="H31" i="53"/>
  <c r="H43" i="58"/>
  <c r="D10" i="57"/>
  <c r="C35" i="58"/>
  <c r="D35" i="58" s="1"/>
  <c r="C33" i="58"/>
  <c r="D33" i="58" s="1"/>
  <c r="C27" i="58"/>
  <c r="D27" i="58" s="1"/>
  <c r="C24" i="58"/>
  <c r="D24" i="58" s="1"/>
  <c r="C47" i="58"/>
  <c r="D47" i="58" s="1"/>
  <c r="C17" i="58"/>
  <c r="D17" i="58" s="1"/>
  <c r="C45" i="58"/>
  <c r="D45" i="58" s="1"/>
  <c r="C34" i="58"/>
  <c r="D34" i="58" s="1"/>
  <c r="C54" i="58"/>
  <c r="D54" i="58" s="1"/>
  <c r="C23" i="58"/>
  <c r="D23" i="58" s="1"/>
  <c r="C40" i="58"/>
  <c r="D40" i="58" s="1"/>
  <c r="C56" i="58"/>
  <c r="D56" i="58" s="1"/>
  <c r="C50" i="58"/>
  <c r="D50" i="58" s="1"/>
  <c r="C28" i="58"/>
  <c r="D28" i="58" s="1"/>
  <c r="C36" i="58"/>
  <c r="D36" i="58" s="1"/>
  <c r="C21" i="58"/>
  <c r="D21" i="58" s="1"/>
  <c r="C22" i="58"/>
  <c r="D22" i="58" s="1"/>
  <c r="C20" i="58"/>
  <c r="D20" i="58" s="1"/>
  <c r="H24" i="1"/>
  <c r="H49" i="1"/>
  <c r="S67" i="56"/>
  <c r="B48" i="52"/>
  <c r="B14" i="52"/>
  <c r="B50" i="52"/>
  <c r="B34" i="52"/>
  <c r="B45" i="52"/>
  <c r="B29" i="52"/>
  <c r="B31" i="52"/>
  <c r="B12" i="52"/>
  <c r="B28" i="52"/>
  <c r="B13" i="52"/>
  <c r="B19" i="52"/>
  <c r="B26" i="52"/>
  <c r="B22" i="52"/>
  <c r="B15" i="52"/>
  <c r="B10" i="52"/>
  <c r="B46" i="52"/>
  <c r="B30" i="52"/>
  <c r="B41" i="52"/>
  <c r="B55" i="52"/>
  <c r="B24" i="52"/>
  <c r="B52" i="52"/>
  <c r="B25" i="52"/>
  <c r="B56" i="52"/>
  <c r="B8" i="52"/>
  <c r="B18" i="52"/>
  <c r="B43" i="52"/>
  <c r="B6" i="52"/>
  <c r="B7" i="52"/>
  <c r="B38" i="52"/>
  <c r="B33" i="52"/>
  <c r="B16" i="52"/>
  <c r="B17" i="52"/>
  <c r="B35" i="52"/>
  <c r="B54" i="52"/>
  <c r="B49" i="52"/>
  <c r="B39" i="52"/>
  <c r="B36" i="52"/>
  <c r="B27" i="52"/>
  <c r="B11" i="52"/>
  <c r="B42" i="52"/>
  <c r="B20" i="52"/>
  <c r="B51" i="52"/>
  <c r="B32" i="52"/>
  <c r="B37" i="52"/>
  <c r="B21" i="52"/>
  <c r="I3" i="4"/>
  <c r="G2" i="52" s="1"/>
  <c r="L39" i="53"/>
  <c r="O35" i="56"/>
  <c r="O21" i="52"/>
  <c r="H47" i="61"/>
  <c r="B11" i="1"/>
  <c r="B14" i="1"/>
  <c r="B17" i="1"/>
  <c r="B23" i="1"/>
  <c r="B38" i="1"/>
  <c r="B6" i="1"/>
  <c r="B26" i="1"/>
  <c r="B51" i="1"/>
  <c r="B56" i="1"/>
  <c r="B35" i="1"/>
  <c r="B13" i="1"/>
  <c r="B10" i="1"/>
  <c r="B9" i="1"/>
  <c r="I10" i="4"/>
  <c r="G2" i="59" s="1"/>
  <c r="C45" i="59" s="1"/>
  <c r="D45" i="59" s="1"/>
  <c r="I5" i="4"/>
  <c r="G2" i="54" s="1"/>
  <c r="I8" i="4"/>
  <c r="G2" i="57" s="1"/>
  <c r="C15" i="57" s="1"/>
  <c r="D15" i="57" s="1"/>
  <c r="I11" i="4"/>
  <c r="G2" i="60" s="1"/>
  <c r="I6" i="4"/>
  <c r="G2" i="55" s="1"/>
  <c r="C18" i="55" s="1"/>
  <c r="D18" i="55" s="1"/>
  <c r="B31" i="59"/>
  <c r="B52" i="59"/>
  <c r="B48" i="59"/>
  <c r="B44" i="59"/>
  <c r="B40" i="59"/>
  <c r="B36" i="59"/>
  <c r="B32" i="59"/>
  <c r="C32" i="59" s="1"/>
  <c r="D32" i="59" s="1"/>
  <c r="B53" i="59"/>
  <c r="B20" i="59"/>
  <c r="B21" i="59"/>
  <c r="B17" i="59"/>
  <c r="C17" i="59" s="1"/>
  <c r="D17" i="59" s="1"/>
  <c r="B30" i="59"/>
  <c r="B19" i="59"/>
  <c r="B51" i="59"/>
  <c r="B47" i="59"/>
  <c r="C47" i="59" s="1"/>
  <c r="D47" i="59" s="1"/>
  <c r="B43" i="59"/>
  <c r="B39" i="59"/>
  <c r="B35" i="59"/>
  <c r="B56" i="59"/>
  <c r="C56" i="59" s="1"/>
  <c r="D56" i="59" s="1"/>
  <c r="B13" i="59"/>
  <c r="B24" i="59"/>
  <c r="B25" i="59"/>
  <c r="B18" i="59"/>
  <c r="C18" i="59" s="1"/>
  <c r="D18" i="59" s="1"/>
  <c r="M20" i="56"/>
  <c r="M39" i="56"/>
  <c r="M10" i="56"/>
  <c r="O10" i="56" s="1"/>
  <c r="M68" i="56"/>
  <c r="M13" i="56"/>
  <c r="M51" i="56"/>
  <c r="M36" i="56"/>
  <c r="O36" i="56" s="1"/>
  <c r="M24" i="56"/>
  <c r="M35" i="56"/>
  <c r="O35" i="57" s="1"/>
  <c r="M62" i="56"/>
  <c r="M14" i="56"/>
  <c r="O14" i="56" s="1"/>
  <c r="M69" i="56"/>
  <c r="M44" i="56"/>
  <c r="O44" i="56" s="1"/>
  <c r="M32" i="56"/>
  <c r="O32" i="56" s="1"/>
  <c r="B34" i="57"/>
  <c r="B49" i="57"/>
  <c r="B16" i="57"/>
  <c r="B29" i="57"/>
  <c r="B11" i="57"/>
  <c r="B55" i="57"/>
  <c r="B28" i="57"/>
  <c r="B13" i="57"/>
  <c r="B27" i="57"/>
  <c r="B39" i="57"/>
  <c r="B21" i="57"/>
  <c r="B38" i="57"/>
  <c r="B26" i="57"/>
  <c r="B50" i="57"/>
  <c r="B44" i="57"/>
  <c r="B25" i="57"/>
  <c r="B56" i="57"/>
  <c r="B42" i="57"/>
  <c r="B24" i="57"/>
  <c r="B22" i="57"/>
  <c r="B41" i="57"/>
  <c r="B31" i="57"/>
  <c r="M37" i="57"/>
  <c r="O37" i="57" s="1"/>
  <c r="M51" i="57"/>
  <c r="M19" i="57"/>
  <c r="O19" i="57" s="1"/>
  <c r="M39" i="57"/>
  <c r="O39" i="58" s="1"/>
  <c r="C46" i="58"/>
  <c r="D46" i="58" s="1"/>
  <c r="L48" i="60"/>
  <c r="O68" i="54"/>
  <c r="S68" i="54" s="1"/>
  <c r="S58" i="55"/>
  <c r="O48" i="55"/>
  <c r="O48" i="53"/>
  <c r="O39" i="52"/>
  <c r="O12" i="52"/>
  <c r="O10" i="52"/>
  <c r="O11" i="56"/>
  <c r="O58" i="52"/>
  <c r="S58" i="52" s="1"/>
  <c r="O38" i="60"/>
  <c r="O68" i="61"/>
  <c r="S68" i="61" s="1"/>
  <c r="O6" i="52"/>
  <c r="O49" i="61"/>
  <c r="O50" i="58"/>
  <c r="O63" i="57"/>
  <c r="S63" i="57" s="1"/>
  <c r="O29" i="57"/>
  <c r="O59" i="57"/>
  <c r="S59" i="57" s="1"/>
  <c r="O65" i="57"/>
  <c r="S65" i="57" s="1"/>
  <c r="O16" i="57"/>
  <c r="O36" i="55"/>
  <c r="O35" i="55"/>
  <c r="O26" i="52"/>
  <c r="O52" i="53"/>
  <c r="O23" i="55"/>
  <c r="O18" i="52"/>
  <c r="O30" i="61"/>
  <c r="O17" i="60"/>
  <c r="O47" i="60"/>
  <c r="O48" i="56"/>
  <c r="O26" i="57"/>
  <c r="O44" i="55"/>
  <c r="O62" i="61"/>
  <c r="S62" i="61" s="1"/>
  <c r="O52" i="61"/>
  <c r="O50" i="61"/>
  <c r="O69" i="61"/>
  <c r="S69" i="61" s="1"/>
  <c r="O37" i="61"/>
  <c r="O32" i="61"/>
  <c r="O67" i="59"/>
  <c r="S67" i="59" s="1"/>
  <c r="O31" i="57"/>
  <c r="O49" i="57"/>
  <c r="O44" i="57"/>
  <c r="O28" i="52"/>
  <c r="O15" i="54"/>
  <c r="O50" i="54"/>
  <c r="O63" i="53"/>
  <c r="S63" i="53" s="1"/>
  <c r="O63" i="52"/>
  <c r="S63" i="52" s="1"/>
  <c r="O32" i="55"/>
  <c r="O61" i="56"/>
  <c r="S61" i="56" s="1"/>
  <c r="O61" i="55"/>
  <c r="S61" i="55" s="1"/>
  <c r="O46" i="55"/>
  <c r="O46" i="54"/>
  <c r="O11" i="54"/>
  <c r="O11" i="55"/>
  <c r="O62" i="55"/>
  <c r="S62" i="55" s="1"/>
  <c r="O62" i="54"/>
  <c r="S62" i="54" s="1"/>
  <c r="O56" i="52"/>
  <c r="O56" i="53"/>
  <c r="O39" i="56"/>
  <c r="O20" i="57"/>
  <c r="O20" i="56"/>
  <c r="O33" i="52"/>
  <c r="O33" i="53"/>
  <c r="O16" i="56"/>
  <c r="O16" i="55"/>
  <c r="O65" i="55"/>
  <c r="S65" i="55" s="1"/>
  <c r="O65" i="56"/>
  <c r="S65" i="56" s="1"/>
  <c r="O22" i="55"/>
  <c r="O22" i="54"/>
  <c r="O43" i="56"/>
  <c r="O43" i="55"/>
  <c r="O35" i="54"/>
  <c r="O35" i="53"/>
  <c r="O21" i="54"/>
  <c r="O21" i="53"/>
  <c r="O9" i="55"/>
  <c r="O9" i="54"/>
  <c r="O30" i="56"/>
  <c r="O30" i="55"/>
  <c r="O8" i="54"/>
  <c r="O10" i="54"/>
  <c r="O10" i="53"/>
  <c r="O64" i="53"/>
  <c r="S64" i="53" s="1"/>
  <c r="O64" i="52"/>
  <c r="S64" i="52" s="1"/>
  <c r="O8" i="53"/>
  <c r="O60" i="52"/>
  <c r="S60" i="52" s="1"/>
  <c r="O60" i="53"/>
  <c r="S60" i="53" s="1"/>
  <c r="O19" i="59"/>
  <c r="O40" i="59"/>
  <c r="O40" i="58"/>
  <c r="O53" i="58"/>
  <c r="O53" i="57"/>
  <c r="O52" i="57"/>
  <c r="O52" i="58"/>
  <c r="O64" i="61"/>
  <c r="S64" i="61" s="1"/>
  <c r="O64" i="60"/>
  <c r="S64" i="60" s="1"/>
  <c r="O50" i="60"/>
  <c r="O50" i="59"/>
  <c r="O65" i="60"/>
  <c r="S65" i="60" s="1"/>
  <c r="O41" i="56"/>
  <c r="O41" i="57"/>
  <c r="O17" i="57"/>
  <c r="O17" i="56"/>
  <c r="O25" i="56"/>
  <c r="O25" i="55"/>
  <c r="O23" i="53"/>
  <c r="O22" i="57"/>
  <c r="O27" i="59"/>
  <c r="O27" i="58"/>
  <c r="O31" i="60"/>
  <c r="O31" i="61"/>
  <c r="O30" i="60"/>
  <c r="O48" i="52"/>
  <c r="O47" i="59"/>
  <c r="O38" i="59"/>
  <c r="O38" i="58"/>
  <c r="O67" i="57"/>
  <c r="S67" i="57" s="1"/>
  <c r="O67" i="58"/>
  <c r="S67" i="58" s="1"/>
  <c r="O54" i="54"/>
  <c r="O54" i="55"/>
  <c r="O47" i="52"/>
  <c r="O47" i="53"/>
  <c r="O37" i="58"/>
  <c r="O17" i="58"/>
  <c r="O17" i="59"/>
  <c r="O59" i="56"/>
  <c r="S59" i="56" s="1"/>
  <c r="O47" i="56"/>
  <c r="O47" i="57"/>
  <c r="O50" i="57"/>
  <c r="O55" i="61"/>
  <c r="O57" i="61"/>
  <c r="S57" i="61" s="1"/>
  <c r="O57" i="60"/>
  <c r="S57" i="60" s="1"/>
  <c r="O42" i="58"/>
  <c r="O42" i="57"/>
  <c r="O61" i="61"/>
  <c r="S61" i="61" s="1"/>
  <c r="O52" i="60"/>
  <c r="O15" i="57"/>
  <c r="O39" i="61"/>
  <c r="O58" i="57"/>
  <c r="S58" i="57" s="1"/>
  <c r="O58" i="56"/>
  <c r="S58" i="56" s="1"/>
  <c r="O33" i="57"/>
  <c r="O33" i="56"/>
  <c r="O29" i="56"/>
  <c r="O58" i="54"/>
  <c r="S58" i="54" s="1"/>
  <c r="O48" i="54"/>
  <c r="O63" i="56"/>
  <c r="S63" i="56" s="1"/>
  <c r="O36" i="54"/>
  <c r="O46" i="61"/>
  <c r="O44" i="59"/>
  <c r="O32" i="57"/>
  <c r="O17" i="54"/>
  <c r="O65" i="59" l="1"/>
  <c r="S65" i="59" s="1"/>
  <c r="L15" i="1"/>
  <c r="C49" i="1"/>
  <c r="D49" i="1" s="1"/>
  <c r="C24" i="1"/>
  <c r="D24" i="1" s="1"/>
  <c r="H53" i="1"/>
  <c r="C25" i="1"/>
  <c r="D25" i="1" s="1"/>
  <c r="C15" i="1"/>
  <c r="D15" i="1" s="1"/>
  <c r="C44" i="61"/>
  <c r="D44" i="61" s="1"/>
  <c r="L29" i="1"/>
  <c r="H7" i="1"/>
  <c r="C32" i="1"/>
  <c r="D32" i="1" s="1"/>
  <c r="L5" i="1"/>
  <c r="L5" i="52" s="1"/>
  <c r="N5" i="52" s="1"/>
  <c r="H27" i="1"/>
  <c r="I36" i="56"/>
  <c r="O49" i="58"/>
  <c r="H8" i="1"/>
  <c r="H39" i="1"/>
  <c r="H42" i="1"/>
  <c r="H37" i="1"/>
  <c r="G29" i="56"/>
  <c r="I29" i="56" s="1"/>
  <c r="L27" i="1"/>
  <c r="L16" i="1"/>
  <c r="L45" i="1"/>
  <c r="L28" i="1"/>
  <c r="H43" i="1"/>
  <c r="J43" i="1" s="1"/>
  <c r="G48" i="56"/>
  <c r="P48" i="56"/>
  <c r="L8" i="1"/>
  <c r="L53" i="1"/>
  <c r="L41" i="1"/>
  <c r="L53" i="61"/>
  <c r="P44" i="56"/>
  <c r="L19" i="1"/>
  <c r="C54" i="1"/>
  <c r="D54" i="1" s="1"/>
  <c r="E54" i="1" s="1"/>
  <c r="F54" i="1" s="1"/>
  <c r="J54" i="1" s="1"/>
  <c r="J13" i="56"/>
  <c r="C30" i="1"/>
  <c r="D30" i="1" s="1"/>
  <c r="E30" i="1" s="1"/>
  <c r="F30" i="1" s="1"/>
  <c r="C16" i="1"/>
  <c r="D16" i="1" s="1"/>
  <c r="E16" i="1" s="1"/>
  <c r="F16" i="1" s="1"/>
  <c r="G16" i="1" s="1"/>
  <c r="C37" i="1"/>
  <c r="D37" i="1" s="1"/>
  <c r="E37" i="1" s="1"/>
  <c r="F37" i="1" s="1"/>
  <c r="J37" i="1" s="1"/>
  <c r="L55" i="61"/>
  <c r="C8" i="1"/>
  <c r="D8" i="1" s="1"/>
  <c r="J36" i="56"/>
  <c r="J37" i="56"/>
  <c r="J16" i="56"/>
  <c r="L16" i="56"/>
  <c r="H20" i="56"/>
  <c r="J20" i="56" s="1"/>
  <c r="L14" i="56"/>
  <c r="P14" i="56" s="1"/>
  <c r="H50" i="1"/>
  <c r="C20" i="1"/>
  <c r="D20" i="1" s="1"/>
  <c r="E20" i="1" s="1"/>
  <c r="F20" i="1" s="1"/>
  <c r="J20" i="1" s="1"/>
  <c r="H11" i="56"/>
  <c r="L25" i="56"/>
  <c r="H45" i="1"/>
  <c r="H48" i="1"/>
  <c r="L24" i="1"/>
  <c r="L47" i="1"/>
  <c r="C22" i="1"/>
  <c r="D22" i="1" s="1"/>
  <c r="L40" i="1"/>
  <c r="O59" i="59"/>
  <c r="S59" i="59" s="1"/>
  <c r="O60" i="58"/>
  <c r="S60" i="58" s="1"/>
  <c r="O51" i="58"/>
  <c r="O39" i="57"/>
  <c r="C25" i="59"/>
  <c r="D25" i="59" s="1"/>
  <c r="C21" i="59"/>
  <c r="D21" i="59" s="1"/>
  <c r="C52" i="59"/>
  <c r="D52" i="59" s="1"/>
  <c r="E52" i="59" s="1"/>
  <c r="F52" i="59" s="1"/>
  <c r="G52" i="59" s="1"/>
  <c r="H37" i="57"/>
  <c r="H40" i="57"/>
  <c r="H44" i="1"/>
  <c r="O21" i="60"/>
  <c r="H19" i="1"/>
  <c r="H40" i="1"/>
  <c r="C28" i="1"/>
  <c r="D28" i="1" s="1"/>
  <c r="C33" i="61"/>
  <c r="D33" i="61" s="1"/>
  <c r="E33" i="61" s="1"/>
  <c r="F33" i="61" s="1"/>
  <c r="J33" i="61" s="1"/>
  <c r="P33" i="61" s="1"/>
  <c r="L36" i="61"/>
  <c r="C29" i="1"/>
  <c r="D29" i="1" s="1"/>
  <c r="H32" i="1"/>
  <c r="H46" i="1"/>
  <c r="C5" i="1"/>
  <c r="H34" i="1"/>
  <c r="H36" i="1"/>
  <c r="H16" i="1"/>
  <c r="I16" i="1" s="1"/>
  <c r="I35" i="56"/>
  <c r="H22" i="1"/>
  <c r="H18" i="1"/>
  <c r="J20" i="53"/>
  <c r="P20" i="53" s="1"/>
  <c r="H30" i="1"/>
  <c r="I20" i="56"/>
  <c r="L52" i="1"/>
  <c r="L34" i="1"/>
  <c r="L43" i="1"/>
  <c r="L30" i="1"/>
  <c r="H20" i="1"/>
  <c r="P26" i="58"/>
  <c r="H24" i="61"/>
  <c r="H33" i="61"/>
  <c r="L37" i="1"/>
  <c r="L22" i="1"/>
  <c r="L55" i="1"/>
  <c r="C39" i="1"/>
  <c r="D39" i="1" s="1"/>
  <c r="C36" i="1"/>
  <c r="D36" i="1" s="1"/>
  <c r="C31" i="1"/>
  <c r="D31" i="1" s="1"/>
  <c r="G41" i="56"/>
  <c r="I41" i="56" s="1"/>
  <c r="L46" i="61"/>
  <c r="C31" i="56"/>
  <c r="D31" i="56" s="1"/>
  <c r="E31" i="56" s="1"/>
  <c r="F31" i="56" s="1"/>
  <c r="G31" i="56" s="1"/>
  <c r="I31" i="56" s="1"/>
  <c r="C15" i="56"/>
  <c r="D15" i="56" s="1"/>
  <c r="H43" i="56"/>
  <c r="C45" i="1"/>
  <c r="D45" i="1" s="1"/>
  <c r="E45" i="1" s="1"/>
  <c r="F45" i="1" s="1"/>
  <c r="L36" i="1"/>
  <c r="H38" i="56"/>
  <c r="H39" i="56"/>
  <c r="P32" i="56"/>
  <c r="C33" i="1"/>
  <c r="D33" i="1" s="1"/>
  <c r="O14" i="57"/>
  <c r="O22" i="58"/>
  <c r="O58" i="58"/>
  <c r="S58" i="58" s="1"/>
  <c r="C52" i="57"/>
  <c r="D52" i="57" s="1"/>
  <c r="H51" i="57"/>
  <c r="C44" i="1"/>
  <c r="D44" i="1" s="1"/>
  <c r="J51" i="58"/>
  <c r="P51" i="58" s="1"/>
  <c r="C19" i="1"/>
  <c r="D19" i="1" s="1"/>
  <c r="C40" i="1"/>
  <c r="D40" i="1" s="1"/>
  <c r="H28" i="1"/>
  <c r="C55" i="61"/>
  <c r="D55" i="61" s="1"/>
  <c r="E55" i="61" s="1"/>
  <c r="F55" i="61" s="1"/>
  <c r="J55" i="61" s="1"/>
  <c r="P55" i="61" s="1"/>
  <c r="C24" i="61"/>
  <c r="D24" i="61" s="1"/>
  <c r="C46" i="61"/>
  <c r="D46" i="61" s="1"/>
  <c r="G29" i="58"/>
  <c r="L7" i="1"/>
  <c r="L32" i="1"/>
  <c r="C46" i="1"/>
  <c r="D46" i="1" s="1"/>
  <c r="C27" i="1"/>
  <c r="D27" i="1" s="1"/>
  <c r="O18" i="58"/>
  <c r="L15" i="57"/>
  <c r="H31" i="1"/>
  <c r="G21" i="56"/>
  <c r="I21" i="56" s="1"/>
  <c r="H55" i="1"/>
  <c r="J55" i="1" s="1"/>
  <c r="H33" i="1"/>
  <c r="H54" i="1"/>
  <c r="E41" i="1"/>
  <c r="F41" i="1" s="1"/>
  <c r="G41" i="1" s="1"/>
  <c r="I41" i="1" s="1"/>
  <c r="G45" i="56"/>
  <c r="I45" i="56" s="1"/>
  <c r="L25" i="1"/>
  <c r="L42" i="1"/>
  <c r="L20" i="1"/>
  <c r="L18" i="1"/>
  <c r="L31" i="1"/>
  <c r="H47" i="1"/>
  <c r="L33" i="1"/>
  <c r="L39" i="1"/>
  <c r="P21" i="56"/>
  <c r="L44" i="1"/>
  <c r="C55" i="1"/>
  <c r="D55" i="1" s="1"/>
  <c r="E55" i="1" s="1"/>
  <c r="F55" i="1" s="1"/>
  <c r="G55" i="1" s="1"/>
  <c r="C18" i="1"/>
  <c r="D18" i="1" s="1"/>
  <c r="E18" i="1" s="1"/>
  <c r="F18" i="1" s="1"/>
  <c r="G18" i="1" s="1"/>
  <c r="C52" i="1"/>
  <c r="D52" i="1" s="1"/>
  <c r="E52" i="1" s="1"/>
  <c r="F52" i="1" s="1"/>
  <c r="P25" i="56"/>
  <c r="C47" i="1"/>
  <c r="D47" i="1" s="1"/>
  <c r="E47" i="1" s="1"/>
  <c r="F47" i="1" s="1"/>
  <c r="J18" i="56"/>
  <c r="P18" i="56" s="1"/>
  <c r="C50" i="1"/>
  <c r="D50" i="1" s="1"/>
  <c r="E50" i="1" s="1"/>
  <c r="F50" i="1" s="1"/>
  <c r="G50" i="1" s="1"/>
  <c r="I50" i="1" s="1"/>
  <c r="C21" i="1"/>
  <c r="D21" i="1" s="1"/>
  <c r="E21" i="1" s="1"/>
  <c r="F21" i="1" s="1"/>
  <c r="G21" i="1" s="1"/>
  <c r="J51" i="56"/>
  <c r="C48" i="1"/>
  <c r="D48" i="1" s="1"/>
  <c r="E48" i="1" s="1"/>
  <c r="F48" i="1" s="1"/>
  <c r="J48" i="1" s="1"/>
  <c r="J41" i="58"/>
  <c r="P41" i="58" s="1"/>
  <c r="J55" i="56"/>
  <c r="P55" i="56" s="1"/>
  <c r="E38" i="56"/>
  <c r="F38" i="56" s="1"/>
  <c r="G38" i="56"/>
  <c r="I38" i="56" s="1"/>
  <c r="C50" i="56"/>
  <c r="D50" i="56" s="1"/>
  <c r="C17" i="56"/>
  <c r="D17" i="56" s="1"/>
  <c r="C39" i="56"/>
  <c r="D39" i="56" s="1"/>
  <c r="H50" i="56"/>
  <c r="C34" i="56"/>
  <c r="D34" i="56" s="1"/>
  <c r="C18" i="56"/>
  <c r="D18" i="56" s="1"/>
  <c r="E18" i="56" s="1"/>
  <c r="F18" i="56" s="1"/>
  <c r="G18" i="56" s="1"/>
  <c r="C43" i="56"/>
  <c r="D43" i="56" s="1"/>
  <c r="E43" i="56" s="1"/>
  <c r="F43" i="56" s="1"/>
  <c r="J43" i="56" s="1"/>
  <c r="C52" i="56"/>
  <c r="D52" i="56" s="1"/>
  <c r="C33" i="56"/>
  <c r="D33" i="56" s="1"/>
  <c r="E33" i="56" s="1"/>
  <c r="F33" i="56" s="1"/>
  <c r="J33" i="56" s="1"/>
  <c r="P33" i="56" s="1"/>
  <c r="L27" i="56"/>
  <c r="C12" i="56"/>
  <c r="D12" i="56" s="1"/>
  <c r="L46" i="56"/>
  <c r="H30" i="56"/>
  <c r="J30" i="56" s="1"/>
  <c r="P30" i="56" s="1"/>
  <c r="L40" i="56"/>
  <c r="H12" i="1"/>
  <c r="C12" i="1"/>
  <c r="D12" i="1" s="1"/>
  <c r="E12" i="1" s="1"/>
  <c r="F12" i="1" s="1"/>
  <c r="J12" i="1" s="1"/>
  <c r="L48" i="61"/>
  <c r="P23" i="56"/>
  <c r="P45" i="56"/>
  <c r="P42" i="56"/>
  <c r="P36" i="56"/>
  <c r="P37" i="56"/>
  <c r="G55" i="56"/>
  <c r="I55" i="56" s="1"/>
  <c r="J21" i="1"/>
  <c r="J52" i="58"/>
  <c r="J16" i="58"/>
  <c r="P16" i="58" s="1"/>
  <c r="J24" i="56"/>
  <c r="P24" i="56" s="1"/>
  <c r="G52" i="58"/>
  <c r="G37" i="1"/>
  <c r="G48" i="1"/>
  <c r="I48" i="1" s="1"/>
  <c r="G37" i="56"/>
  <c r="I37" i="56" s="1"/>
  <c r="G51" i="56"/>
  <c r="I51" i="56" s="1"/>
  <c r="I23" i="56"/>
  <c r="J56" i="61"/>
  <c r="P56" i="61" s="1"/>
  <c r="G26" i="58"/>
  <c r="I26" i="58" s="1"/>
  <c r="G54" i="56"/>
  <c r="I54" i="56" s="1"/>
  <c r="G10" i="56"/>
  <c r="I10" i="56" s="1"/>
  <c r="I48" i="56"/>
  <c r="I19" i="58"/>
  <c r="J29" i="58"/>
  <c r="P29" i="58" s="1"/>
  <c r="I38" i="58"/>
  <c r="G30" i="1"/>
  <c r="J50" i="1"/>
  <c r="J30" i="1"/>
  <c r="J40" i="56"/>
  <c r="P40" i="56" s="1"/>
  <c r="G15" i="58"/>
  <c r="G14" i="56"/>
  <c r="I14" i="56" s="1"/>
  <c r="I18" i="56"/>
  <c r="P54" i="56"/>
  <c r="P20" i="56"/>
  <c r="S12" i="59"/>
  <c r="G41" i="58"/>
  <c r="I41" i="58" s="1"/>
  <c r="G44" i="58"/>
  <c r="I44" i="58" s="1"/>
  <c r="J45" i="61"/>
  <c r="P45" i="61" s="1"/>
  <c r="J47" i="1"/>
  <c r="P53" i="56"/>
  <c r="J12" i="53"/>
  <c r="P12" i="53" s="1"/>
  <c r="G48" i="58"/>
  <c r="I48" i="58" s="1"/>
  <c r="I25" i="56"/>
  <c r="J31" i="56"/>
  <c r="P31" i="56" s="1"/>
  <c r="J46" i="56"/>
  <c r="J53" i="58"/>
  <c r="P53" i="58" s="1"/>
  <c r="J44" i="58"/>
  <c r="P44" i="58" s="1"/>
  <c r="C12" i="59"/>
  <c r="D12" i="59" s="1"/>
  <c r="G47" i="1"/>
  <c r="I47" i="1" s="1"/>
  <c r="G12" i="53"/>
  <c r="I12" i="53" s="1"/>
  <c r="J28" i="56"/>
  <c r="P28" i="56" s="1"/>
  <c r="G53" i="58"/>
  <c r="E22" i="53"/>
  <c r="F22" i="53" s="1"/>
  <c r="J22" i="53" s="1"/>
  <c r="P22" i="53" s="1"/>
  <c r="J10" i="56"/>
  <c r="P10" i="56" s="1"/>
  <c r="P37" i="58"/>
  <c r="P43" i="56"/>
  <c r="P56" i="56"/>
  <c r="P54" i="61"/>
  <c r="E32" i="58"/>
  <c r="F32" i="58" s="1"/>
  <c r="G32" i="58" s="1"/>
  <c r="I32" i="58" s="1"/>
  <c r="I43" i="58"/>
  <c r="J42" i="58"/>
  <c r="J18" i="58"/>
  <c r="P18" i="58" s="1"/>
  <c r="G18" i="58"/>
  <c r="I18" i="58" s="1"/>
  <c r="E30" i="58"/>
  <c r="F30" i="58" s="1"/>
  <c r="G30" i="58" s="1"/>
  <c r="I30" i="58" s="1"/>
  <c r="E31" i="58"/>
  <c r="F31" i="58" s="1"/>
  <c r="G31" i="58" s="1"/>
  <c r="I31" i="58" s="1"/>
  <c r="I37" i="1"/>
  <c r="I42" i="1"/>
  <c r="G43" i="56"/>
  <c r="I43" i="56" s="1"/>
  <c r="E13" i="58"/>
  <c r="F13" i="58" s="1"/>
  <c r="G13" i="58" s="1"/>
  <c r="I13" i="58" s="1"/>
  <c r="E55" i="58"/>
  <c r="F55" i="58" s="1"/>
  <c r="J55" i="58" s="1"/>
  <c r="P55" i="58" s="1"/>
  <c r="G42" i="58"/>
  <c r="I42" i="58" s="1"/>
  <c r="J14" i="58"/>
  <c r="P14" i="58" s="1"/>
  <c r="I15" i="58"/>
  <c r="J52" i="1"/>
  <c r="I18" i="1"/>
  <c r="P52" i="58"/>
  <c r="P13" i="56"/>
  <c r="I14" i="58"/>
  <c r="J17" i="53"/>
  <c r="P17" i="53" s="1"/>
  <c r="Q10" i="57"/>
  <c r="S10" i="57" s="1"/>
  <c r="J41" i="1"/>
  <c r="G46" i="56"/>
  <c r="I46" i="56" s="1"/>
  <c r="G33" i="56"/>
  <c r="I33" i="56" s="1"/>
  <c r="I26" i="53"/>
  <c r="J43" i="58"/>
  <c r="P43" i="58" s="1"/>
  <c r="P51" i="56"/>
  <c r="P48" i="58"/>
  <c r="P42" i="58"/>
  <c r="J31" i="58"/>
  <c r="P31" i="58" s="1"/>
  <c r="I25" i="58"/>
  <c r="J42" i="1"/>
  <c r="G19" i="56"/>
  <c r="I19" i="56" s="1"/>
  <c r="G42" i="56"/>
  <c r="I42" i="56" s="1"/>
  <c r="E38" i="61"/>
  <c r="F38" i="61" s="1"/>
  <c r="J38" i="61" s="1"/>
  <c r="P38" i="61" s="1"/>
  <c r="J36" i="61"/>
  <c r="I48" i="53"/>
  <c r="G56" i="61"/>
  <c r="I56" i="61" s="1"/>
  <c r="I30" i="1"/>
  <c r="G45" i="1"/>
  <c r="I45" i="1" s="1"/>
  <c r="G28" i="56"/>
  <c r="I28" i="56" s="1"/>
  <c r="G40" i="56"/>
  <c r="I40" i="56" s="1"/>
  <c r="G45" i="61"/>
  <c r="I45" i="61" s="1"/>
  <c r="G43" i="1"/>
  <c r="I43" i="1" s="1"/>
  <c r="J15" i="58"/>
  <c r="P15" i="58" s="1"/>
  <c r="I52" i="58"/>
  <c r="I36" i="53"/>
  <c r="E49" i="61"/>
  <c r="F49" i="61" s="1"/>
  <c r="J49" i="61" s="1"/>
  <c r="P49" i="61" s="1"/>
  <c r="I21" i="1"/>
  <c r="G52" i="1"/>
  <c r="I52" i="1" s="1"/>
  <c r="E18" i="59"/>
  <c r="F18" i="59" s="1"/>
  <c r="G18" i="59" s="1"/>
  <c r="E56" i="59"/>
  <c r="F56" i="59" s="1"/>
  <c r="G56" i="59" s="1"/>
  <c r="E47" i="59"/>
  <c r="F47" i="59" s="1"/>
  <c r="G47" i="59" s="1"/>
  <c r="E17" i="59"/>
  <c r="F17" i="59" s="1"/>
  <c r="G17" i="59"/>
  <c r="E32" i="59"/>
  <c r="F32" i="59" s="1"/>
  <c r="G32" i="59" s="1"/>
  <c r="E45" i="59"/>
  <c r="F45" i="59" s="1"/>
  <c r="E21" i="59"/>
  <c r="F21" i="59" s="1"/>
  <c r="G21" i="59" s="1"/>
  <c r="E25" i="59"/>
  <c r="F25" i="59" s="1"/>
  <c r="G25" i="59" s="1"/>
  <c r="E15" i="57"/>
  <c r="F15" i="57" s="1"/>
  <c r="C31" i="57"/>
  <c r="D31" i="57" s="1"/>
  <c r="H31" i="57"/>
  <c r="L31" i="57"/>
  <c r="E18" i="55"/>
  <c r="F18" i="55" s="1"/>
  <c r="G18" i="55" s="1"/>
  <c r="H51" i="59"/>
  <c r="L51" i="59"/>
  <c r="C13" i="55"/>
  <c r="D13" i="55" s="1"/>
  <c r="C17" i="55"/>
  <c r="D17" i="55" s="1"/>
  <c r="C10" i="55"/>
  <c r="D10" i="55" s="1"/>
  <c r="C9" i="55"/>
  <c r="H20" i="55"/>
  <c r="C20" i="55"/>
  <c r="D20" i="55" s="1"/>
  <c r="C45" i="55"/>
  <c r="D45" i="55" s="1"/>
  <c r="C26" i="55"/>
  <c r="D26" i="55" s="1"/>
  <c r="C36" i="55"/>
  <c r="D36" i="55" s="1"/>
  <c r="H17" i="55"/>
  <c r="C39" i="55"/>
  <c r="D39" i="55" s="1"/>
  <c r="C27" i="55"/>
  <c r="D27" i="55" s="1"/>
  <c r="C22" i="55"/>
  <c r="D22" i="55" s="1"/>
  <c r="C19" i="55"/>
  <c r="D19" i="55" s="1"/>
  <c r="C24" i="55"/>
  <c r="D24" i="55" s="1"/>
  <c r="C28" i="55"/>
  <c r="D28" i="55" s="1"/>
  <c r="C29" i="55"/>
  <c r="D29" i="55" s="1"/>
  <c r="C11" i="55"/>
  <c r="D11" i="55" s="1"/>
  <c r="C56" i="55"/>
  <c r="D56" i="55" s="1"/>
  <c r="C55" i="55"/>
  <c r="D55" i="55" s="1"/>
  <c r="C42" i="55"/>
  <c r="D42" i="55" s="1"/>
  <c r="H33" i="55"/>
  <c r="C15" i="55"/>
  <c r="D15" i="55" s="1"/>
  <c r="H30" i="55"/>
  <c r="C31" i="55"/>
  <c r="D31" i="55" s="1"/>
  <c r="H37" i="55"/>
  <c r="H19" i="55"/>
  <c r="C51" i="55"/>
  <c r="D51" i="55" s="1"/>
  <c r="C41" i="55"/>
  <c r="D41" i="55" s="1"/>
  <c r="C35" i="55"/>
  <c r="D35" i="55" s="1"/>
  <c r="H10" i="55"/>
  <c r="C23" i="55"/>
  <c r="D23" i="55" s="1"/>
  <c r="H52" i="55"/>
  <c r="C46" i="55"/>
  <c r="D46" i="55" s="1"/>
  <c r="H15" i="55"/>
  <c r="C47" i="55"/>
  <c r="D47" i="55" s="1"/>
  <c r="C16" i="55"/>
  <c r="D16" i="55" s="1"/>
  <c r="H18" i="55"/>
  <c r="C50" i="55"/>
  <c r="D50" i="55" s="1"/>
  <c r="H9" i="55"/>
  <c r="H9" i="56" s="1"/>
  <c r="H26" i="55"/>
  <c r="H42" i="55"/>
  <c r="H23" i="55"/>
  <c r="H40" i="55"/>
  <c r="H46" i="55"/>
  <c r="H34" i="55"/>
  <c r="H12" i="55"/>
  <c r="H48" i="55"/>
  <c r="H38" i="55"/>
  <c r="H51" i="55"/>
  <c r="C12" i="55"/>
  <c r="D12" i="55" s="1"/>
  <c r="C40" i="55"/>
  <c r="D40" i="55" s="1"/>
  <c r="C37" i="55"/>
  <c r="D37" i="55" s="1"/>
  <c r="C32" i="55"/>
  <c r="D32" i="55" s="1"/>
  <c r="C44" i="55"/>
  <c r="D44" i="55" s="1"/>
  <c r="C33" i="55"/>
  <c r="D33" i="55" s="1"/>
  <c r="C34" i="55"/>
  <c r="D34" i="55" s="1"/>
  <c r="H16" i="55"/>
  <c r="C53" i="55"/>
  <c r="D53" i="55" s="1"/>
  <c r="C54" i="55"/>
  <c r="D54" i="55" s="1"/>
  <c r="H47" i="55"/>
  <c r="H31" i="55"/>
  <c r="H44" i="55"/>
  <c r="H50" i="55"/>
  <c r="C49" i="55"/>
  <c r="D49" i="55" s="1"/>
  <c r="C14" i="55"/>
  <c r="D14" i="55" s="1"/>
  <c r="C48" i="55"/>
  <c r="D48" i="55" s="1"/>
  <c r="H28" i="55"/>
  <c r="H35" i="55"/>
  <c r="C30" i="55"/>
  <c r="D30" i="55" s="1"/>
  <c r="H43" i="55"/>
  <c r="H25" i="55"/>
  <c r="C38" i="55"/>
  <c r="D38" i="55" s="1"/>
  <c r="C43" i="55"/>
  <c r="D43" i="55" s="1"/>
  <c r="H13" i="55"/>
  <c r="H27" i="55"/>
  <c r="L49" i="55"/>
  <c r="L34" i="55"/>
  <c r="L35" i="55"/>
  <c r="L43" i="55"/>
  <c r="L30" i="55"/>
  <c r="L46" i="55"/>
  <c r="L45" i="55"/>
  <c r="L39" i="55"/>
  <c r="L25" i="55"/>
  <c r="L18" i="55"/>
  <c r="L22" i="55"/>
  <c r="L24" i="55"/>
  <c r="H41" i="55"/>
  <c r="H49" i="55"/>
  <c r="H53" i="55"/>
  <c r="H55" i="55"/>
  <c r="H36" i="55"/>
  <c r="H29" i="55"/>
  <c r="H24" i="55"/>
  <c r="H21" i="55"/>
  <c r="H56" i="55"/>
  <c r="H39" i="55"/>
  <c r="L52" i="55"/>
  <c r="L53" i="55"/>
  <c r="L14" i="55"/>
  <c r="L19" i="55"/>
  <c r="L11" i="55"/>
  <c r="L12" i="55"/>
  <c r="L29" i="55"/>
  <c r="L54" i="55"/>
  <c r="L41" i="55"/>
  <c r="H11" i="55"/>
  <c r="H22" i="55"/>
  <c r="L40" i="55"/>
  <c r="L27" i="55"/>
  <c r="L33" i="55"/>
  <c r="L38" i="55"/>
  <c r="N38" i="56" s="1"/>
  <c r="L56" i="55"/>
  <c r="L15" i="55"/>
  <c r="L37" i="55"/>
  <c r="L23" i="55"/>
  <c r="L13" i="55"/>
  <c r="L36" i="55"/>
  <c r="L50" i="55"/>
  <c r="L47" i="55"/>
  <c r="L20" i="55"/>
  <c r="L21" i="55"/>
  <c r="L17" i="55"/>
  <c r="L10" i="55"/>
  <c r="L31" i="55"/>
  <c r="L42" i="55"/>
  <c r="L28" i="55"/>
  <c r="H45" i="55"/>
  <c r="L51" i="55"/>
  <c r="L16" i="55"/>
  <c r="L9" i="55"/>
  <c r="L26" i="55"/>
  <c r="L44" i="55"/>
  <c r="L32" i="55"/>
  <c r="L48" i="55"/>
  <c r="L55" i="55"/>
  <c r="C53" i="52"/>
  <c r="D53" i="52" s="1"/>
  <c r="C44" i="52"/>
  <c r="D44" i="52" s="1"/>
  <c r="H53" i="52"/>
  <c r="L44" i="52"/>
  <c r="L53" i="52"/>
  <c r="L47" i="52"/>
  <c r="N47" i="53" s="1"/>
  <c r="C42" i="52"/>
  <c r="D42" i="52" s="1"/>
  <c r="H42" i="52"/>
  <c r="L42" i="52"/>
  <c r="H27" i="52"/>
  <c r="C27" i="52"/>
  <c r="D27" i="52" s="1"/>
  <c r="L27" i="52"/>
  <c r="C7" i="52"/>
  <c r="D7" i="52" s="1"/>
  <c r="H7" i="52"/>
  <c r="L7" i="52"/>
  <c r="C55" i="52"/>
  <c r="D55" i="52" s="1"/>
  <c r="H55" i="52"/>
  <c r="L55" i="52"/>
  <c r="H28" i="52"/>
  <c r="C28" i="52"/>
  <c r="D28" i="52" s="1"/>
  <c r="L28" i="52"/>
  <c r="N28" i="53" s="1"/>
  <c r="H48" i="52"/>
  <c r="C48" i="52"/>
  <c r="D48" i="52" s="1"/>
  <c r="L48" i="52"/>
  <c r="N48" i="53" s="1"/>
  <c r="H54" i="55"/>
  <c r="H44" i="52"/>
  <c r="E20" i="58"/>
  <c r="F20" i="58" s="1"/>
  <c r="J20" i="58" s="1"/>
  <c r="P20" i="58" s="1"/>
  <c r="E17" i="58"/>
  <c r="F17" i="58" s="1"/>
  <c r="J17" i="58" s="1"/>
  <c r="P17" i="58" s="1"/>
  <c r="H12" i="59"/>
  <c r="J12" i="58"/>
  <c r="P12" i="58" s="1"/>
  <c r="C47" i="52"/>
  <c r="D47" i="52" s="1"/>
  <c r="E40" i="53"/>
  <c r="F40" i="53" s="1"/>
  <c r="J40" i="53" s="1"/>
  <c r="P40" i="53" s="1"/>
  <c r="E53" i="1"/>
  <c r="F53" i="1" s="1"/>
  <c r="E43" i="61"/>
  <c r="F43" i="61" s="1"/>
  <c r="J43" i="61" s="1"/>
  <c r="P43" i="61" s="1"/>
  <c r="E52" i="61"/>
  <c r="F52" i="61" s="1"/>
  <c r="J52" i="61" s="1"/>
  <c r="P52" i="61" s="1"/>
  <c r="E31" i="61"/>
  <c r="F31" i="61" s="1"/>
  <c r="J31" i="61" s="1"/>
  <c r="P31" i="61" s="1"/>
  <c r="J32" i="58"/>
  <c r="P32" i="58" s="1"/>
  <c r="I51" i="58"/>
  <c r="I12" i="58"/>
  <c r="E29" i="1"/>
  <c r="F29" i="1" s="1"/>
  <c r="J29" i="1" s="1"/>
  <c r="O62" i="59"/>
  <c r="S62" i="59" s="1"/>
  <c r="O62" i="58"/>
  <c r="S62" i="58" s="1"/>
  <c r="O13" i="58"/>
  <c r="O13" i="59"/>
  <c r="O33" i="59"/>
  <c r="O33" i="58"/>
  <c r="C24" i="59"/>
  <c r="D24" i="59" s="1"/>
  <c r="C44" i="59"/>
  <c r="D44" i="59" s="1"/>
  <c r="C46" i="59"/>
  <c r="D46" i="59" s="1"/>
  <c r="C41" i="59"/>
  <c r="D41" i="59" s="1"/>
  <c r="O19" i="58"/>
  <c r="O34" i="58"/>
  <c r="N48" i="61"/>
  <c r="C41" i="57"/>
  <c r="D41" i="57" s="1"/>
  <c r="H41" i="57"/>
  <c r="L41" i="57"/>
  <c r="C56" i="57"/>
  <c r="D56" i="57" s="1"/>
  <c r="H56" i="57"/>
  <c r="L56" i="57"/>
  <c r="H26" i="57"/>
  <c r="C26" i="57"/>
  <c r="D26" i="57" s="1"/>
  <c r="L26" i="57"/>
  <c r="H27" i="57"/>
  <c r="C27" i="57"/>
  <c r="D27" i="57" s="1"/>
  <c r="L27" i="57"/>
  <c r="C11" i="57"/>
  <c r="H11" i="57"/>
  <c r="H11" i="58" s="1"/>
  <c r="L11" i="57"/>
  <c r="C34" i="57"/>
  <c r="D34" i="57" s="1"/>
  <c r="H34" i="57"/>
  <c r="L34" i="57"/>
  <c r="H16" i="59"/>
  <c r="H24" i="59"/>
  <c r="L24" i="59"/>
  <c r="H39" i="59"/>
  <c r="L39" i="59"/>
  <c r="H19" i="59"/>
  <c r="L19" i="59"/>
  <c r="H20" i="59"/>
  <c r="L20" i="59"/>
  <c r="H40" i="59"/>
  <c r="L40" i="59"/>
  <c r="H31" i="59"/>
  <c r="L31" i="59"/>
  <c r="H47" i="60"/>
  <c r="C43" i="60"/>
  <c r="D43" i="60" s="1"/>
  <c r="L24" i="60"/>
  <c r="L45" i="60"/>
  <c r="H14" i="60"/>
  <c r="H14" i="61" s="1"/>
  <c r="C41" i="60"/>
  <c r="D41" i="60" s="1"/>
  <c r="H34" i="60"/>
  <c r="C48" i="60"/>
  <c r="D48" i="60" s="1"/>
  <c r="H37" i="60"/>
  <c r="C53" i="60"/>
  <c r="D53" i="60" s="1"/>
  <c r="H54" i="60"/>
  <c r="H20" i="60"/>
  <c r="C34" i="60"/>
  <c r="D34" i="60" s="1"/>
  <c r="H40" i="60"/>
  <c r="C38" i="60"/>
  <c r="D38" i="60" s="1"/>
  <c r="C44" i="60"/>
  <c r="D44" i="60" s="1"/>
  <c r="C50" i="60"/>
  <c r="D50" i="60" s="1"/>
  <c r="H56" i="60"/>
  <c r="C19" i="60"/>
  <c r="D19" i="60" s="1"/>
  <c r="H27" i="60"/>
  <c r="C31" i="60"/>
  <c r="D31" i="60" s="1"/>
  <c r="C18" i="60"/>
  <c r="D18" i="60" s="1"/>
  <c r="C36" i="60"/>
  <c r="D36" i="60" s="1"/>
  <c r="H45" i="60"/>
  <c r="C42" i="60"/>
  <c r="D42" i="60" s="1"/>
  <c r="H30" i="60"/>
  <c r="H39" i="60"/>
  <c r="H15" i="60"/>
  <c r="C21" i="60"/>
  <c r="D21" i="60" s="1"/>
  <c r="H23" i="60"/>
  <c r="H55" i="60"/>
  <c r="L16" i="60"/>
  <c r="H19" i="60"/>
  <c r="H51" i="60"/>
  <c r="C30" i="60"/>
  <c r="D30" i="60" s="1"/>
  <c r="C40" i="60"/>
  <c r="D40" i="60" s="1"/>
  <c r="H22" i="60"/>
  <c r="H28" i="60"/>
  <c r="H50" i="60"/>
  <c r="C28" i="60"/>
  <c r="D28" i="60" s="1"/>
  <c r="C29" i="60"/>
  <c r="D29" i="60" s="1"/>
  <c r="C23" i="60"/>
  <c r="D23" i="60" s="1"/>
  <c r="H25" i="60"/>
  <c r="C37" i="60"/>
  <c r="D37" i="60" s="1"/>
  <c r="C17" i="60"/>
  <c r="D17" i="60" s="1"/>
  <c r="H49" i="60"/>
  <c r="H33" i="60"/>
  <c r="H29" i="60"/>
  <c r="H32" i="60"/>
  <c r="C22" i="60"/>
  <c r="D22" i="60" s="1"/>
  <c r="H35" i="60"/>
  <c r="C16" i="60"/>
  <c r="D16" i="60" s="1"/>
  <c r="L26" i="60"/>
  <c r="H18" i="60"/>
  <c r="L42" i="60"/>
  <c r="C20" i="60"/>
  <c r="D20" i="60" s="1"/>
  <c r="C46" i="60"/>
  <c r="D46" i="60" s="1"/>
  <c r="H42" i="60"/>
  <c r="H26" i="60"/>
  <c r="H41" i="60"/>
  <c r="C49" i="60"/>
  <c r="D49" i="60" s="1"/>
  <c r="H16" i="60"/>
  <c r="H38" i="60"/>
  <c r="C35" i="60"/>
  <c r="D35" i="60" s="1"/>
  <c r="C55" i="60"/>
  <c r="D55" i="60" s="1"/>
  <c r="H43" i="60"/>
  <c r="C32" i="60"/>
  <c r="D32" i="60" s="1"/>
  <c r="H46" i="60"/>
  <c r="H31" i="60"/>
  <c r="H53" i="60"/>
  <c r="H52" i="60"/>
  <c r="C33" i="60"/>
  <c r="D33" i="60" s="1"/>
  <c r="H17" i="60"/>
  <c r="C14" i="60"/>
  <c r="C27" i="60"/>
  <c r="D27" i="60" s="1"/>
  <c r="C25" i="60"/>
  <c r="D25" i="60" s="1"/>
  <c r="H44" i="60"/>
  <c r="C56" i="60"/>
  <c r="D56" i="60" s="1"/>
  <c r="C15" i="60"/>
  <c r="D15" i="60" s="1"/>
  <c r="H48" i="60"/>
  <c r="H21" i="60"/>
  <c r="C52" i="60"/>
  <c r="D52" i="60" s="1"/>
  <c r="C54" i="60"/>
  <c r="D54" i="60" s="1"/>
  <c r="C47" i="60"/>
  <c r="D47" i="60" s="1"/>
  <c r="C39" i="60"/>
  <c r="D39" i="60" s="1"/>
  <c r="L20" i="60"/>
  <c r="N20" i="61" s="1"/>
  <c r="L37" i="60"/>
  <c r="L55" i="60"/>
  <c r="L31" i="60"/>
  <c r="L38" i="60"/>
  <c r="L36" i="60"/>
  <c r="N36" i="61" s="1"/>
  <c r="L22" i="60"/>
  <c r="L29" i="60"/>
  <c r="L27" i="60"/>
  <c r="L39" i="60"/>
  <c r="C45" i="60"/>
  <c r="D45" i="60" s="1"/>
  <c r="H36" i="60"/>
  <c r="C26" i="60"/>
  <c r="D26" i="60" s="1"/>
  <c r="H24" i="60"/>
  <c r="L21" i="60"/>
  <c r="L52" i="60"/>
  <c r="L51" i="60"/>
  <c r="L50" i="60"/>
  <c r="L14" i="60"/>
  <c r="L49" i="60"/>
  <c r="L46" i="60"/>
  <c r="L32" i="60"/>
  <c r="L18" i="60"/>
  <c r="L53" i="60"/>
  <c r="C51" i="60"/>
  <c r="D51" i="60" s="1"/>
  <c r="L33" i="60"/>
  <c r="L28" i="60"/>
  <c r="L25" i="60"/>
  <c r="L44" i="60"/>
  <c r="C24" i="60"/>
  <c r="D24" i="60" s="1"/>
  <c r="L30" i="60"/>
  <c r="N30" i="61" s="1"/>
  <c r="L43" i="60"/>
  <c r="L47" i="60"/>
  <c r="L17" i="60"/>
  <c r="L41" i="60"/>
  <c r="L34" i="60"/>
  <c r="L19" i="60"/>
  <c r="L23" i="60"/>
  <c r="L35" i="60"/>
  <c r="L56" i="60"/>
  <c r="L54" i="60"/>
  <c r="L15" i="60"/>
  <c r="L40" i="60"/>
  <c r="H9" i="1"/>
  <c r="C9" i="1"/>
  <c r="D9" i="1" s="1"/>
  <c r="L9" i="1"/>
  <c r="H56" i="1"/>
  <c r="C56" i="1"/>
  <c r="D56" i="1" s="1"/>
  <c r="L56" i="1"/>
  <c r="H38" i="1"/>
  <c r="C38" i="1"/>
  <c r="D38" i="1" s="1"/>
  <c r="L38" i="1"/>
  <c r="H11" i="1"/>
  <c r="C11" i="1"/>
  <c r="D11" i="1" s="1"/>
  <c r="L11" i="1"/>
  <c r="L46" i="59"/>
  <c r="H15" i="59"/>
  <c r="C21" i="52"/>
  <c r="D21" i="52" s="1"/>
  <c r="H21" i="52"/>
  <c r="L21" i="52"/>
  <c r="H36" i="52"/>
  <c r="C36" i="52"/>
  <c r="D36" i="52" s="1"/>
  <c r="L36" i="52"/>
  <c r="H16" i="52"/>
  <c r="C16" i="52"/>
  <c r="D16" i="52" s="1"/>
  <c r="L16" i="52"/>
  <c r="H6" i="52"/>
  <c r="H6" i="53" s="1"/>
  <c r="C6" i="52"/>
  <c r="L6" i="52"/>
  <c r="C43" i="52"/>
  <c r="D43" i="52" s="1"/>
  <c r="H43" i="52"/>
  <c r="L43" i="52"/>
  <c r="C25" i="52"/>
  <c r="D25" i="52" s="1"/>
  <c r="H25" i="52"/>
  <c r="L25" i="52"/>
  <c r="C41" i="52"/>
  <c r="D41" i="52" s="1"/>
  <c r="H41" i="52"/>
  <c r="L41" i="52"/>
  <c r="N41" i="53" s="1"/>
  <c r="H15" i="52"/>
  <c r="C15" i="52"/>
  <c r="D15" i="52" s="1"/>
  <c r="L15" i="52"/>
  <c r="H26" i="52"/>
  <c r="C26" i="52"/>
  <c r="D26" i="52" s="1"/>
  <c r="L26" i="52"/>
  <c r="H12" i="52"/>
  <c r="C12" i="52"/>
  <c r="D12" i="52" s="1"/>
  <c r="L12" i="52"/>
  <c r="C34" i="52"/>
  <c r="D34" i="52" s="1"/>
  <c r="H34" i="52"/>
  <c r="L34" i="52"/>
  <c r="C9" i="52"/>
  <c r="D9" i="52" s="1"/>
  <c r="C21" i="55"/>
  <c r="D21" i="55" s="1"/>
  <c r="H14" i="55"/>
  <c r="C37" i="57"/>
  <c r="D37" i="57" s="1"/>
  <c r="H52" i="57"/>
  <c r="C40" i="57"/>
  <c r="D40" i="57" s="1"/>
  <c r="C51" i="57"/>
  <c r="D51" i="57" s="1"/>
  <c r="E22" i="58"/>
  <c r="F22" i="58" s="1"/>
  <c r="J22" i="58" s="1"/>
  <c r="P22" i="58" s="1"/>
  <c r="E50" i="58"/>
  <c r="F50" i="58" s="1"/>
  <c r="J50" i="58" s="1"/>
  <c r="P50" i="58" s="1"/>
  <c r="E54" i="58"/>
  <c r="F54" i="58" s="1"/>
  <c r="J54" i="58" s="1"/>
  <c r="P54" i="58" s="1"/>
  <c r="E47" i="58"/>
  <c r="F47" i="58" s="1"/>
  <c r="J47" i="58" s="1"/>
  <c r="P47" i="58" s="1"/>
  <c r="E35" i="58"/>
  <c r="F35" i="58" s="1"/>
  <c r="J35" i="58" s="1"/>
  <c r="P35" i="58" s="1"/>
  <c r="E11" i="56"/>
  <c r="F11" i="56" s="1"/>
  <c r="J11" i="56" s="1"/>
  <c r="P11" i="56" s="1"/>
  <c r="J39" i="58"/>
  <c r="P39" i="58" s="1"/>
  <c r="I39" i="58"/>
  <c r="H47" i="52"/>
  <c r="E26" i="56"/>
  <c r="F26" i="56" s="1"/>
  <c r="J26" i="56" s="1"/>
  <c r="P26" i="56" s="1"/>
  <c r="E47" i="56"/>
  <c r="F47" i="56" s="1"/>
  <c r="J47" i="56" s="1"/>
  <c r="P47" i="56" s="1"/>
  <c r="E42" i="53"/>
  <c r="F42" i="53" s="1"/>
  <c r="J42" i="53" s="1"/>
  <c r="P42" i="53" s="1"/>
  <c r="E50" i="53"/>
  <c r="F50" i="53" s="1"/>
  <c r="J50" i="53" s="1"/>
  <c r="P50" i="53" s="1"/>
  <c r="E51" i="53"/>
  <c r="F51" i="53" s="1"/>
  <c r="J51" i="53" s="1"/>
  <c r="P51" i="53" s="1"/>
  <c r="E29" i="53"/>
  <c r="F29" i="53" s="1"/>
  <c r="J29" i="53" s="1"/>
  <c r="P29" i="53" s="1"/>
  <c r="E47" i="53"/>
  <c r="F47" i="53" s="1"/>
  <c r="J47" i="53" s="1"/>
  <c r="P47" i="53" s="1"/>
  <c r="E15" i="53"/>
  <c r="F15" i="53" s="1"/>
  <c r="J15" i="53" s="1"/>
  <c r="P15" i="53" s="1"/>
  <c r="E55" i="53"/>
  <c r="F55" i="53" s="1"/>
  <c r="J55" i="53" s="1"/>
  <c r="P55" i="53" s="1"/>
  <c r="E43" i="53"/>
  <c r="F43" i="53" s="1"/>
  <c r="J43" i="53" s="1"/>
  <c r="P43" i="53" s="1"/>
  <c r="E34" i="53"/>
  <c r="F34" i="53" s="1"/>
  <c r="J34" i="53" s="1"/>
  <c r="P34" i="53" s="1"/>
  <c r="E39" i="53"/>
  <c r="F39" i="53" s="1"/>
  <c r="J39" i="53" s="1"/>
  <c r="P39" i="53" s="1"/>
  <c r="E33" i="53"/>
  <c r="F33" i="53" s="1"/>
  <c r="J33" i="53" s="1"/>
  <c r="P33" i="53" s="1"/>
  <c r="E11" i="53"/>
  <c r="F11" i="53" s="1"/>
  <c r="J11" i="53" s="1"/>
  <c r="P11" i="53" s="1"/>
  <c r="E32" i="53"/>
  <c r="F32" i="53" s="1"/>
  <c r="J32" i="53" s="1"/>
  <c r="P32" i="53" s="1"/>
  <c r="E28" i="1"/>
  <c r="F28" i="1" s="1"/>
  <c r="J28" i="1" s="1"/>
  <c r="E9" i="53"/>
  <c r="F9" i="53" s="1"/>
  <c r="J9" i="53" s="1"/>
  <c r="P9" i="53" s="1"/>
  <c r="E12" i="59"/>
  <c r="F12" i="59" s="1"/>
  <c r="E26" i="61"/>
  <c r="F26" i="61" s="1"/>
  <c r="J26" i="61" s="1"/>
  <c r="P26" i="61" s="1"/>
  <c r="E44" i="61"/>
  <c r="F44" i="61" s="1"/>
  <c r="J44" i="61" s="1"/>
  <c r="P44" i="61" s="1"/>
  <c r="E30" i="61"/>
  <c r="F30" i="61" s="1"/>
  <c r="J30" i="61" s="1"/>
  <c r="G30" i="61"/>
  <c r="I30" i="61" s="1"/>
  <c r="E21" i="61"/>
  <c r="F21" i="61" s="1"/>
  <c r="J21" i="61" s="1"/>
  <c r="P21" i="61" s="1"/>
  <c r="E22" i="61"/>
  <c r="F22" i="61" s="1"/>
  <c r="J22" i="61" s="1"/>
  <c r="P22" i="61" s="1"/>
  <c r="E28" i="61"/>
  <c r="F28" i="61" s="1"/>
  <c r="J28" i="61" s="1"/>
  <c r="P28" i="61" s="1"/>
  <c r="E39" i="61"/>
  <c r="F39" i="61" s="1"/>
  <c r="J39" i="61" s="1"/>
  <c r="P39" i="61" s="1"/>
  <c r="E19" i="61"/>
  <c r="F19" i="61" s="1"/>
  <c r="J19" i="61" s="1"/>
  <c r="P19" i="61" s="1"/>
  <c r="E34" i="61"/>
  <c r="F34" i="61" s="1"/>
  <c r="J34" i="61" s="1"/>
  <c r="P34" i="61" s="1"/>
  <c r="I29" i="58"/>
  <c r="I37" i="58"/>
  <c r="J26" i="53"/>
  <c r="P26" i="53" s="1"/>
  <c r="E46" i="1"/>
  <c r="F46" i="1" s="1"/>
  <c r="E27" i="1"/>
  <c r="F27" i="1" s="1"/>
  <c r="I49" i="58"/>
  <c r="J19" i="58"/>
  <c r="P19" i="58" s="1"/>
  <c r="O16" i="58"/>
  <c r="O16" i="59"/>
  <c r="O36" i="59"/>
  <c r="O36" i="58"/>
  <c r="O28" i="59"/>
  <c r="O28" i="58"/>
  <c r="O26" i="59"/>
  <c r="O26" i="58"/>
  <c r="C16" i="59"/>
  <c r="D16" i="59" s="1"/>
  <c r="C40" i="59"/>
  <c r="D40" i="59" s="1"/>
  <c r="C42" i="59"/>
  <c r="D42" i="59" s="1"/>
  <c r="C37" i="59"/>
  <c r="D37" i="59" s="1"/>
  <c r="C19" i="59"/>
  <c r="D19" i="59" s="1"/>
  <c r="C54" i="59"/>
  <c r="D54" i="59" s="1"/>
  <c r="C31" i="59"/>
  <c r="D31" i="59" s="1"/>
  <c r="C40" i="52"/>
  <c r="D40" i="52" s="1"/>
  <c r="H50" i="57"/>
  <c r="C50" i="57"/>
  <c r="D50" i="57" s="1"/>
  <c r="L50" i="57"/>
  <c r="C55" i="57"/>
  <c r="D55" i="57" s="1"/>
  <c r="H55" i="57"/>
  <c r="L55" i="57"/>
  <c r="O69" i="56"/>
  <c r="S69" i="56" s="1"/>
  <c r="O69" i="57"/>
  <c r="S69" i="57" s="1"/>
  <c r="O68" i="56"/>
  <c r="S68" i="56" s="1"/>
  <c r="O68" i="57"/>
  <c r="S68" i="57" s="1"/>
  <c r="H35" i="59"/>
  <c r="L35" i="59"/>
  <c r="H36" i="59"/>
  <c r="L36" i="59"/>
  <c r="H37" i="59"/>
  <c r="H28" i="59"/>
  <c r="H50" i="59"/>
  <c r="H14" i="59"/>
  <c r="H34" i="59"/>
  <c r="H41" i="59"/>
  <c r="H55" i="59"/>
  <c r="H45" i="59"/>
  <c r="H46" i="59"/>
  <c r="H26" i="59"/>
  <c r="H54" i="59"/>
  <c r="H38" i="59"/>
  <c r="H49" i="59"/>
  <c r="H42" i="59"/>
  <c r="L22" i="59"/>
  <c r="L34" i="59"/>
  <c r="L54" i="59"/>
  <c r="L33" i="59"/>
  <c r="L41" i="59"/>
  <c r="L49" i="59"/>
  <c r="L29" i="59"/>
  <c r="L50" i="59"/>
  <c r="H33" i="59"/>
  <c r="L45" i="59"/>
  <c r="L16" i="59"/>
  <c r="L27" i="59"/>
  <c r="L55" i="59"/>
  <c r="L15" i="59"/>
  <c r="L37" i="59"/>
  <c r="L26" i="59"/>
  <c r="L23" i="59"/>
  <c r="L38" i="59"/>
  <c r="L14" i="59"/>
  <c r="L42" i="59"/>
  <c r="L28" i="59"/>
  <c r="H14" i="1"/>
  <c r="C14" i="1"/>
  <c r="D14" i="1" s="1"/>
  <c r="L14" i="1"/>
  <c r="H22" i="59"/>
  <c r="H54" i="52"/>
  <c r="C54" i="52"/>
  <c r="D54" i="52" s="1"/>
  <c r="L54" i="52"/>
  <c r="H56" i="52"/>
  <c r="C56" i="52"/>
  <c r="D56" i="52" s="1"/>
  <c r="L56" i="52"/>
  <c r="C22" i="52"/>
  <c r="D22" i="52" s="1"/>
  <c r="H22" i="52"/>
  <c r="L22" i="52"/>
  <c r="E52" i="57"/>
  <c r="F52" i="57" s="1"/>
  <c r="E28" i="58"/>
  <c r="F28" i="58" s="1"/>
  <c r="J28" i="58" s="1"/>
  <c r="P28" i="58" s="1"/>
  <c r="E33" i="58"/>
  <c r="F33" i="58" s="1"/>
  <c r="J33" i="58" s="1"/>
  <c r="P33" i="58" s="1"/>
  <c r="E30" i="53"/>
  <c r="F30" i="53" s="1"/>
  <c r="J30" i="53" s="1"/>
  <c r="P30" i="53" s="1"/>
  <c r="E10" i="53"/>
  <c r="F10" i="53" s="1"/>
  <c r="J10" i="53" s="1"/>
  <c r="P10" i="53" s="1"/>
  <c r="E19" i="53"/>
  <c r="F19" i="53" s="1"/>
  <c r="J19" i="53" s="1"/>
  <c r="P19" i="53" s="1"/>
  <c r="E52" i="53"/>
  <c r="F52" i="53" s="1"/>
  <c r="J52" i="53" s="1"/>
  <c r="P52" i="53" s="1"/>
  <c r="E24" i="61"/>
  <c r="F24" i="61" s="1"/>
  <c r="J24" i="61" s="1"/>
  <c r="P24" i="61" s="1"/>
  <c r="E25" i="61"/>
  <c r="F25" i="61" s="1"/>
  <c r="J25" i="61" s="1"/>
  <c r="P25" i="61" s="1"/>
  <c r="E37" i="61"/>
  <c r="F37" i="61" s="1"/>
  <c r="J37" i="61" s="1"/>
  <c r="P37" i="61" s="1"/>
  <c r="H23" i="52"/>
  <c r="O14" i="59"/>
  <c r="O14" i="58"/>
  <c r="O24" i="58"/>
  <c r="O24" i="59"/>
  <c r="O25" i="59"/>
  <c r="O25" i="58"/>
  <c r="C28" i="59"/>
  <c r="D28" i="59" s="1"/>
  <c r="C26" i="59"/>
  <c r="D26" i="59" s="1"/>
  <c r="L40" i="52"/>
  <c r="E46" i="58"/>
  <c r="F46" i="58" s="1"/>
  <c r="J46" i="58" s="1"/>
  <c r="P46" i="58" s="1"/>
  <c r="H25" i="57"/>
  <c r="C25" i="57"/>
  <c r="D25" i="57" s="1"/>
  <c r="L25" i="57"/>
  <c r="C13" i="57"/>
  <c r="D13" i="57" s="1"/>
  <c r="H13" i="57"/>
  <c r="L13" i="57"/>
  <c r="O62" i="56"/>
  <c r="S62" i="56" s="1"/>
  <c r="O62" i="57"/>
  <c r="S62" i="57" s="1"/>
  <c r="O51" i="57"/>
  <c r="O51" i="56"/>
  <c r="H13" i="59"/>
  <c r="H13" i="60" s="1"/>
  <c r="L13" i="59"/>
  <c r="H43" i="59"/>
  <c r="L43" i="59"/>
  <c r="H30" i="59"/>
  <c r="L30" i="59"/>
  <c r="H53" i="59"/>
  <c r="L53" i="59"/>
  <c r="H44" i="59"/>
  <c r="L44" i="59"/>
  <c r="H35" i="57"/>
  <c r="H14" i="57"/>
  <c r="H46" i="57"/>
  <c r="H32" i="57"/>
  <c r="H54" i="57"/>
  <c r="C17" i="57"/>
  <c r="D17" i="57" s="1"/>
  <c r="H18" i="57"/>
  <c r="H12" i="57"/>
  <c r="H19" i="57"/>
  <c r="C12" i="57"/>
  <c r="D12" i="57" s="1"/>
  <c r="C20" i="57"/>
  <c r="D20" i="57" s="1"/>
  <c r="C30" i="57"/>
  <c r="D30" i="57" s="1"/>
  <c r="H30" i="57"/>
  <c r="C33" i="57"/>
  <c r="D33" i="57" s="1"/>
  <c r="C54" i="57"/>
  <c r="D54" i="57" s="1"/>
  <c r="C19" i="57"/>
  <c r="D19" i="57" s="1"/>
  <c r="C14" i="57"/>
  <c r="D14" i="57" s="1"/>
  <c r="H20" i="57"/>
  <c r="H47" i="57"/>
  <c r="H33" i="57"/>
  <c r="C36" i="57"/>
  <c r="D36" i="57" s="1"/>
  <c r="H43" i="57"/>
  <c r="C32" i="57"/>
  <c r="D32" i="57" s="1"/>
  <c r="H17" i="57"/>
  <c r="C47" i="57"/>
  <c r="D47" i="57" s="1"/>
  <c r="C18" i="57"/>
  <c r="D18" i="57" s="1"/>
  <c r="C46" i="57"/>
  <c r="D46" i="57" s="1"/>
  <c r="C35" i="57"/>
  <c r="D35" i="57" s="1"/>
  <c r="C45" i="57"/>
  <c r="D45" i="57" s="1"/>
  <c r="L23" i="57"/>
  <c r="L18" i="57"/>
  <c r="L37" i="57"/>
  <c r="L36" i="57"/>
  <c r="L43" i="57"/>
  <c r="L45" i="57"/>
  <c r="L17" i="57"/>
  <c r="L54" i="57"/>
  <c r="C43" i="57"/>
  <c r="D43" i="57" s="1"/>
  <c r="L19" i="57"/>
  <c r="L48" i="57"/>
  <c r="L35" i="57"/>
  <c r="L20" i="57"/>
  <c r="L32" i="57"/>
  <c r="L47" i="57"/>
  <c r="L40" i="57"/>
  <c r="L51" i="57"/>
  <c r="L52" i="57"/>
  <c r="L53" i="57"/>
  <c r="L14" i="57"/>
  <c r="L33" i="57"/>
  <c r="L30" i="57"/>
  <c r="L12" i="57"/>
  <c r="L46" i="57"/>
  <c r="H10" i="1"/>
  <c r="C10" i="1"/>
  <c r="D10" i="1" s="1"/>
  <c r="L10" i="1"/>
  <c r="H51" i="1"/>
  <c r="C51" i="1"/>
  <c r="D51" i="1" s="1"/>
  <c r="L51" i="1"/>
  <c r="C23" i="1"/>
  <c r="D23" i="1" s="1"/>
  <c r="H23" i="1"/>
  <c r="L23" i="1"/>
  <c r="H32" i="55"/>
  <c r="H29" i="59"/>
  <c r="C37" i="52"/>
  <c r="D37" i="52" s="1"/>
  <c r="H37" i="52"/>
  <c r="L37" i="52"/>
  <c r="C51" i="52"/>
  <c r="D51" i="52" s="1"/>
  <c r="H51" i="52"/>
  <c r="L51" i="52"/>
  <c r="C39" i="52"/>
  <c r="D39" i="52" s="1"/>
  <c r="H39" i="52"/>
  <c r="L39" i="52"/>
  <c r="N39" i="53" s="1"/>
  <c r="H33" i="52"/>
  <c r="C33" i="52"/>
  <c r="D33" i="52" s="1"/>
  <c r="L33" i="52"/>
  <c r="C18" i="52"/>
  <c r="D18" i="52" s="1"/>
  <c r="H18" i="52"/>
  <c r="L18" i="52"/>
  <c r="H52" i="52"/>
  <c r="C52" i="52"/>
  <c r="D52" i="52" s="1"/>
  <c r="L52" i="52"/>
  <c r="H30" i="52"/>
  <c r="C30" i="52"/>
  <c r="D30" i="52" s="1"/>
  <c r="L30" i="52"/>
  <c r="H19" i="52"/>
  <c r="C19" i="52"/>
  <c r="D19" i="52" s="1"/>
  <c r="L19" i="52"/>
  <c r="H31" i="52"/>
  <c r="C31" i="52"/>
  <c r="D31" i="52" s="1"/>
  <c r="L31" i="52"/>
  <c r="H50" i="52"/>
  <c r="C50" i="52"/>
  <c r="D50" i="52" s="1"/>
  <c r="L50" i="52"/>
  <c r="L9" i="52"/>
  <c r="C25" i="55"/>
  <c r="D25" i="55" s="1"/>
  <c r="C52" i="55"/>
  <c r="D52" i="55" s="1"/>
  <c r="H23" i="57"/>
  <c r="E49" i="1"/>
  <c r="F49" i="1" s="1"/>
  <c r="J49" i="1" s="1"/>
  <c r="H45" i="57"/>
  <c r="C53" i="57"/>
  <c r="D53" i="57" s="1"/>
  <c r="E21" i="58"/>
  <c r="F21" i="58" s="1"/>
  <c r="J21" i="58" s="1"/>
  <c r="P21" i="58" s="1"/>
  <c r="E56" i="58"/>
  <c r="F56" i="58" s="1"/>
  <c r="J56" i="58" s="1"/>
  <c r="P56" i="58" s="1"/>
  <c r="E34" i="58"/>
  <c r="F34" i="58" s="1"/>
  <c r="J34" i="58" s="1"/>
  <c r="P34" i="58" s="1"/>
  <c r="E24" i="58"/>
  <c r="F24" i="58" s="1"/>
  <c r="J24" i="58" s="1"/>
  <c r="P24" i="58" s="1"/>
  <c r="E10" i="57"/>
  <c r="F10" i="57" s="1"/>
  <c r="J10" i="57" s="1"/>
  <c r="E31" i="53"/>
  <c r="F31" i="53" s="1"/>
  <c r="J31" i="53" s="1"/>
  <c r="P31" i="53" s="1"/>
  <c r="O36" i="57"/>
  <c r="E27" i="56"/>
  <c r="F27" i="56" s="1"/>
  <c r="J27" i="56" s="1"/>
  <c r="P27" i="56" s="1"/>
  <c r="E49" i="56"/>
  <c r="F49" i="56" s="1"/>
  <c r="J49" i="56" s="1"/>
  <c r="P49" i="56" s="1"/>
  <c r="E22" i="56"/>
  <c r="F22" i="56" s="1"/>
  <c r="J22" i="56" s="1"/>
  <c r="P22" i="56" s="1"/>
  <c r="E24" i="53"/>
  <c r="F24" i="53" s="1"/>
  <c r="J24" i="53" s="1"/>
  <c r="P24" i="53" s="1"/>
  <c r="C7" i="54"/>
  <c r="D7" i="54" s="1"/>
  <c r="D7" i="53"/>
  <c r="E46" i="53"/>
  <c r="F46" i="53" s="1"/>
  <c r="J46" i="53" s="1"/>
  <c r="P46" i="53" s="1"/>
  <c r="E21" i="53"/>
  <c r="F21" i="53" s="1"/>
  <c r="J21" i="53" s="1"/>
  <c r="P21" i="53" s="1"/>
  <c r="E13" i="53"/>
  <c r="F13" i="53" s="1"/>
  <c r="J13" i="53" s="1"/>
  <c r="P13" i="53" s="1"/>
  <c r="E54" i="53"/>
  <c r="F54" i="53" s="1"/>
  <c r="J54" i="53" s="1"/>
  <c r="P54" i="53" s="1"/>
  <c r="E18" i="53"/>
  <c r="F18" i="53" s="1"/>
  <c r="J18" i="53" s="1"/>
  <c r="P18" i="53" s="1"/>
  <c r="E28" i="53"/>
  <c r="F28" i="53" s="1"/>
  <c r="J28" i="53" s="1"/>
  <c r="P28" i="53" s="1"/>
  <c r="E35" i="53"/>
  <c r="F35" i="53" s="1"/>
  <c r="J35" i="53" s="1"/>
  <c r="P35" i="53" s="1"/>
  <c r="E19" i="1"/>
  <c r="F19" i="1" s="1"/>
  <c r="J19" i="1" s="1"/>
  <c r="E40" i="1"/>
  <c r="F40" i="1" s="1"/>
  <c r="J40" i="1" s="1"/>
  <c r="E40" i="61"/>
  <c r="F40" i="61" s="1"/>
  <c r="J40" i="61" s="1"/>
  <c r="P40" i="61" s="1"/>
  <c r="E16" i="53"/>
  <c r="F16" i="53" s="1"/>
  <c r="J16" i="53" s="1"/>
  <c r="P16" i="53" s="1"/>
  <c r="E45" i="53"/>
  <c r="F45" i="53" s="1"/>
  <c r="J45" i="53" s="1"/>
  <c r="P45" i="53" s="1"/>
  <c r="J25" i="58"/>
  <c r="P25" i="58" s="1"/>
  <c r="E41" i="61"/>
  <c r="F41" i="61" s="1"/>
  <c r="J41" i="61" s="1"/>
  <c r="P41" i="61" s="1"/>
  <c r="E17" i="61"/>
  <c r="F17" i="61" s="1"/>
  <c r="J17" i="61" s="1"/>
  <c r="P17" i="61" s="1"/>
  <c r="E53" i="61"/>
  <c r="F53" i="61" s="1"/>
  <c r="J53" i="61" s="1"/>
  <c r="E29" i="61"/>
  <c r="F29" i="61" s="1"/>
  <c r="J29" i="61" s="1"/>
  <c r="P29" i="61" s="1"/>
  <c r="E47" i="61"/>
  <c r="F47" i="61" s="1"/>
  <c r="J47" i="61" s="1"/>
  <c r="P47" i="61" s="1"/>
  <c r="E32" i="61"/>
  <c r="F32" i="61" s="1"/>
  <c r="J32" i="61" s="1"/>
  <c r="P32" i="61" s="1"/>
  <c r="E27" i="61"/>
  <c r="F27" i="61" s="1"/>
  <c r="J27" i="61" s="1"/>
  <c r="P27" i="61" s="1"/>
  <c r="E18" i="61"/>
  <c r="F18" i="61" s="1"/>
  <c r="J18" i="61" s="1"/>
  <c r="P18" i="61" s="1"/>
  <c r="J36" i="53"/>
  <c r="P36" i="53" s="1"/>
  <c r="I24" i="56"/>
  <c r="H48" i="57"/>
  <c r="P30" i="61"/>
  <c r="E32" i="1"/>
  <c r="F32" i="1" s="1"/>
  <c r="J32" i="1" s="1"/>
  <c r="J49" i="58"/>
  <c r="P49" i="58" s="1"/>
  <c r="L23" i="52"/>
  <c r="O23" i="59"/>
  <c r="O23" i="58"/>
  <c r="O41" i="59"/>
  <c r="O41" i="58"/>
  <c r="O57" i="59"/>
  <c r="S57" i="59" s="1"/>
  <c r="O57" i="58"/>
  <c r="S57" i="58" s="1"/>
  <c r="O55" i="59"/>
  <c r="O55" i="58"/>
  <c r="H15" i="57"/>
  <c r="O56" i="58"/>
  <c r="O20" i="58"/>
  <c r="C15" i="59"/>
  <c r="D15" i="59" s="1"/>
  <c r="C34" i="59"/>
  <c r="D34" i="59" s="1"/>
  <c r="C29" i="59"/>
  <c r="D29" i="59" s="1"/>
  <c r="C49" i="59"/>
  <c r="D49" i="59" s="1"/>
  <c r="C35" i="59"/>
  <c r="D35" i="59" s="1"/>
  <c r="C30" i="59"/>
  <c r="D30" i="59" s="1"/>
  <c r="C51" i="59"/>
  <c r="D51" i="59" s="1"/>
  <c r="H40" i="52"/>
  <c r="C42" i="57"/>
  <c r="D42" i="57" s="1"/>
  <c r="L42" i="57"/>
  <c r="H42" i="57"/>
  <c r="C39" i="57"/>
  <c r="D39" i="57" s="1"/>
  <c r="H39" i="57"/>
  <c r="L39" i="57"/>
  <c r="C49" i="57"/>
  <c r="D49" i="57" s="1"/>
  <c r="H49" i="57"/>
  <c r="L49" i="57"/>
  <c r="O24" i="57"/>
  <c r="O24" i="56"/>
  <c r="H25" i="59"/>
  <c r="L25" i="59"/>
  <c r="H21" i="59"/>
  <c r="L21" i="59"/>
  <c r="H52" i="59"/>
  <c r="L52" i="59"/>
  <c r="H35" i="1"/>
  <c r="C35" i="1"/>
  <c r="D35" i="1" s="1"/>
  <c r="L35" i="1"/>
  <c r="C6" i="1"/>
  <c r="D6" i="1" s="1"/>
  <c r="H6" i="1"/>
  <c r="L6" i="1"/>
  <c r="H17" i="52"/>
  <c r="C17" i="52"/>
  <c r="D17" i="52" s="1"/>
  <c r="L17" i="52"/>
  <c r="H10" i="52"/>
  <c r="C10" i="52"/>
  <c r="D10" i="52" s="1"/>
  <c r="L10" i="52"/>
  <c r="H45" i="52"/>
  <c r="C45" i="52"/>
  <c r="D45" i="52" s="1"/>
  <c r="L45" i="52"/>
  <c r="E24" i="1"/>
  <c r="F24" i="1" s="1"/>
  <c r="J24" i="1" s="1"/>
  <c r="E23" i="58"/>
  <c r="F23" i="58" s="1"/>
  <c r="J23" i="58" s="1"/>
  <c r="P23" i="58" s="1"/>
  <c r="E37" i="53"/>
  <c r="F37" i="53" s="1"/>
  <c r="J37" i="53" s="1"/>
  <c r="P37" i="53" s="1"/>
  <c r="E8" i="53"/>
  <c r="F8" i="53" s="1"/>
  <c r="J8" i="53" s="1"/>
  <c r="P8" i="53" s="1"/>
  <c r="E44" i="53"/>
  <c r="F44" i="53" s="1"/>
  <c r="J44" i="53" s="1"/>
  <c r="P44" i="53" s="1"/>
  <c r="E41" i="53"/>
  <c r="F41" i="53" s="1"/>
  <c r="J41" i="53" s="1"/>
  <c r="P41" i="53" s="1"/>
  <c r="E51" i="61"/>
  <c r="F51" i="61" s="1"/>
  <c r="J51" i="61" s="1"/>
  <c r="P51" i="61" s="1"/>
  <c r="E46" i="61"/>
  <c r="F46" i="61" s="1"/>
  <c r="J46" i="61" s="1"/>
  <c r="P46" i="61" s="1"/>
  <c r="P36" i="61"/>
  <c r="D5" i="1"/>
  <c r="C5" i="52"/>
  <c r="D5" i="52" s="1"/>
  <c r="O54" i="58"/>
  <c r="O54" i="59"/>
  <c r="N15" i="57"/>
  <c r="N15" i="58"/>
  <c r="C13" i="59"/>
  <c r="C27" i="59"/>
  <c r="D27" i="59" s="1"/>
  <c r="C39" i="59"/>
  <c r="D39" i="59" s="1"/>
  <c r="C36" i="59"/>
  <c r="D36" i="59" s="1"/>
  <c r="O32" i="59"/>
  <c r="C22" i="57"/>
  <c r="D22" i="57" s="1"/>
  <c r="H22" i="57"/>
  <c r="L22" i="57"/>
  <c r="H38" i="57"/>
  <c r="C38" i="57"/>
  <c r="D38" i="57" s="1"/>
  <c r="L38" i="57"/>
  <c r="H29" i="57"/>
  <c r="C29" i="57"/>
  <c r="D29" i="57" s="1"/>
  <c r="L29" i="57"/>
  <c r="O31" i="59"/>
  <c r="L16" i="57"/>
  <c r="C24" i="57"/>
  <c r="D24" i="57" s="1"/>
  <c r="H24" i="57"/>
  <c r="L24" i="57"/>
  <c r="C44" i="57"/>
  <c r="D44" i="57" s="1"/>
  <c r="L44" i="57"/>
  <c r="H44" i="57"/>
  <c r="H21" i="57"/>
  <c r="C21" i="57"/>
  <c r="D21" i="57" s="1"/>
  <c r="L21" i="57"/>
  <c r="H28" i="57"/>
  <c r="C28" i="57"/>
  <c r="D28" i="57" s="1"/>
  <c r="L28" i="57"/>
  <c r="C16" i="57"/>
  <c r="D16" i="57" s="1"/>
  <c r="H16" i="57"/>
  <c r="O13" i="57"/>
  <c r="O13" i="56"/>
  <c r="H18" i="59"/>
  <c r="L18" i="59"/>
  <c r="H56" i="59"/>
  <c r="L56" i="59"/>
  <c r="H47" i="59"/>
  <c r="L47" i="59"/>
  <c r="H17" i="59"/>
  <c r="L17" i="59"/>
  <c r="H32" i="59"/>
  <c r="L32" i="59"/>
  <c r="H48" i="59"/>
  <c r="L48" i="59"/>
  <c r="N48" i="60" s="1"/>
  <c r="C20" i="54"/>
  <c r="D20" i="54" s="1"/>
  <c r="C19" i="54"/>
  <c r="D19" i="54" s="1"/>
  <c r="C16" i="54"/>
  <c r="D16" i="54" s="1"/>
  <c r="C51" i="54"/>
  <c r="D51" i="54" s="1"/>
  <c r="H14" i="54"/>
  <c r="C53" i="54"/>
  <c r="D53" i="54" s="1"/>
  <c r="C44" i="54"/>
  <c r="D44" i="54" s="1"/>
  <c r="H46" i="54"/>
  <c r="C15" i="54"/>
  <c r="D15" i="54" s="1"/>
  <c r="C12" i="54"/>
  <c r="D12" i="54" s="1"/>
  <c r="H49" i="54"/>
  <c r="H37" i="54"/>
  <c r="H22" i="54"/>
  <c r="H18" i="54"/>
  <c r="C30" i="54"/>
  <c r="D30" i="54" s="1"/>
  <c r="H48" i="54"/>
  <c r="H17" i="54"/>
  <c r="C34" i="54"/>
  <c r="D34" i="54" s="1"/>
  <c r="C37" i="54"/>
  <c r="D37" i="54" s="1"/>
  <c r="C31" i="54"/>
  <c r="D31" i="54" s="1"/>
  <c r="H25" i="54"/>
  <c r="H12" i="54"/>
  <c r="C46" i="54"/>
  <c r="D46" i="54" s="1"/>
  <c r="C41" i="54"/>
  <c r="D41" i="54" s="1"/>
  <c r="C55" i="54"/>
  <c r="D55" i="54" s="1"/>
  <c r="H38" i="54"/>
  <c r="C32" i="54"/>
  <c r="D32" i="54" s="1"/>
  <c r="C18" i="54"/>
  <c r="D18" i="54" s="1"/>
  <c r="C11" i="54"/>
  <c r="D11" i="54" s="1"/>
  <c r="C21" i="54"/>
  <c r="D21" i="54" s="1"/>
  <c r="C13" i="54"/>
  <c r="D13" i="54" s="1"/>
  <c r="H41" i="54"/>
  <c r="H23" i="54"/>
  <c r="C38" i="54"/>
  <c r="D38" i="54" s="1"/>
  <c r="C29" i="54"/>
  <c r="D29" i="54" s="1"/>
  <c r="H13" i="54"/>
  <c r="C17" i="54"/>
  <c r="D17" i="54" s="1"/>
  <c r="H34" i="54"/>
  <c r="H8" i="54"/>
  <c r="H8" i="55" s="1"/>
  <c r="H30" i="54"/>
  <c r="H36" i="54"/>
  <c r="C36" i="54"/>
  <c r="D36" i="54" s="1"/>
  <c r="H39" i="54"/>
  <c r="C24" i="54"/>
  <c r="D24" i="54" s="1"/>
  <c r="H20" i="54"/>
  <c r="C48" i="54"/>
  <c r="D48" i="54" s="1"/>
  <c r="H27" i="54"/>
  <c r="H32" i="54"/>
  <c r="H19" i="54"/>
  <c r="C43" i="54"/>
  <c r="D43" i="54" s="1"/>
  <c r="C47" i="54"/>
  <c r="D47" i="54" s="1"/>
  <c r="C25" i="54"/>
  <c r="D25" i="54" s="1"/>
  <c r="C56" i="54"/>
  <c r="D56" i="54" s="1"/>
  <c r="H35" i="54"/>
  <c r="C42" i="54"/>
  <c r="D42" i="54" s="1"/>
  <c r="H51" i="54"/>
  <c r="C8" i="54"/>
  <c r="H40" i="54"/>
  <c r="H52" i="54"/>
  <c r="H54" i="54"/>
  <c r="C22" i="54"/>
  <c r="D22" i="54" s="1"/>
  <c r="C54" i="54"/>
  <c r="D54" i="54" s="1"/>
  <c r="C14" i="54"/>
  <c r="D14" i="54" s="1"/>
  <c r="H53" i="54"/>
  <c r="C49" i="54"/>
  <c r="D49" i="54" s="1"/>
  <c r="H42" i="54"/>
  <c r="H44" i="54"/>
  <c r="H31" i="54"/>
  <c r="C45" i="54"/>
  <c r="D45" i="54" s="1"/>
  <c r="C28" i="54"/>
  <c r="D28" i="54" s="1"/>
  <c r="C50" i="54"/>
  <c r="D50" i="54" s="1"/>
  <c r="H11" i="54"/>
  <c r="H26" i="54"/>
  <c r="H55" i="54"/>
  <c r="C23" i="54"/>
  <c r="D23" i="54" s="1"/>
  <c r="H29" i="54"/>
  <c r="H9" i="54"/>
  <c r="H16" i="54"/>
  <c r="H47" i="54"/>
  <c r="H15" i="54"/>
  <c r="C40" i="54"/>
  <c r="D40" i="54" s="1"/>
  <c r="H10" i="54"/>
  <c r="C39" i="54"/>
  <c r="D39" i="54" s="1"/>
  <c r="H33" i="54"/>
  <c r="H28" i="54"/>
  <c r="H21" i="54"/>
  <c r="C35" i="54"/>
  <c r="D35" i="54" s="1"/>
  <c r="C26" i="54"/>
  <c r="D26" i="54" s="1"/>
  <c r="H56" i="54"/>
  <c r="C9" i="54"/>
  <c r="D9" i="54" s="1"/>
  <c r="H24" i="54"/>
  <c r="H50" i="54"/>
  <c r="C33" i="54"/>
  <c r="D33" i="54" s="1"/>
  <c r="L25" i="54"/>
  <c r="L52" i="54"/>
  <c r="L56" i="54"/>
  <c r="L41" i="54"/>
  <c r="L20" i="54"/>
  <c r="L45" i="54"/>
  <c r="L13" i="54"/>
  <c r="L10" i="54"/>
  <c r="L35" i="54"/>
  <c r="L28" i="54"/>
  <c r="L18" i="54"/>
  <c r="H43" i="54"/>
  <c r="C52" i="54"/>
  <c r="D52" i="54" s="1"/>
  <c r="C10" i="54"/>
  <c r="D10" i="54" s="1"/>
  <c r="L50" i="54"/>
  <c r="L22" i="54"/>
  <c r="L27" i="54"/>
  <c r="L38" i="54"/>
  <c r="L42" i="54"/>
  <c r="L47" i="54"/>
  <c r="L8" i="54"/>
  <c r="L33" i="54"/>
  <c r="L19" i="54"/>
  <c r="L21" i="54"/>
  <c r="L40" i="54"/>
  <c r="L17" i="54"/>
  <c r="L34" i="54"/>
  <c r="L12" i="54"/>
  <c r="H45" i="54"/>
  <c r="L26" i="54"/>
  <c r="L32" i="54"/>
  <c r="L31" i="54"/>
  <c r="L37" i="54"/>
  <c r="L48" i="54"/>
  <c r="L29" i="54"/>
  <c r="L39" i="54"/>
  <c r="L44" i="54"/>
  <c r="L14" i="54"/>
  <c r="L16" i="54"/>
  <c r="L11" i="54"/>
  <c r="L9" i="54"/>
  <c r="L23" i="54"/>
  <c r="C27" i="54"/>
  <c r="D27" i="54" s="1"/>
  <c r="L43" i="54"/>
  <c r="L53" i="54"/>
  <c r="L46" i="54"/>
  <c r="L30" i="54"/>
  <c r="L24" i="54"/>
  <c r="L49" i="54"/>
  <c r="L51" i="54"/>
  <c r="L54" i="54"/>
  <c r="L36" i="54"/>
  <c r="L55" i="54"/>
  <c r="L15" i="54"/>
  <c r="C13" i="1"/>
  <c r="D13" i="1" s="1"/>
  <c r="H13" i="1"/>
  <c r="L13" i="1"/>
  <c r="C26" i="1"/>
  <c r="D26" i="1" s="1"/>
  <c r="H26" i="1"/>
  <c r="L26" i="1"/>
  <c r="H17" i="1"/>
  <c r="C17" i="1"/>
  <c r="D17" i="1" s="1"/>
  <c r="L17" i="1"/>
  <c r="H27" i="59"/>
  <c r="H23" i="59"/>
  <c r="C32" i="52"/>
  <c r="D32" i="52" s="1"/>
  <c r="H32" i="52"/>
  <c r="L32" i="52"/>
  <c r="H20" i="52"/>
  <c r="C20" i="52"/>
  <c r="D20" i="52" s="1"/>
  <c r="L20" i="52"/>
  <c r="H11" i="52"/>
  <c r="C11" i="52"/>
  <c r="D11" i="52" s="1"/>
  <c r="L11" i="52"/>
  <c r="H49" i="52"/>
  <c r="C49" i="52"/>
  <c r="D49" i="52" s="1"/>
  <c r="L49" i="52"/>
  <c r="H35" i="52"/>
  <c r="C35" i="52"/>
  <c r="D35" i="52" s="1"/>
  <c r="L35" i="52"/>
  <c r="C38" i="52"/>
  <c r="D38" i="52" s="1"/>
  <c r="H38" i="52"/>
  <c r="L38" i="52"/>
  <c r="H8" i="52"/>
  <c r="C8" i="52"/>
  <c r="D8" i="52" s="1"/>
  <c r="L8" i="52"/>
  <c r="H24" i="52"/>
  <c r="C24" i="52"/>
  <c r="D24" i="52" s="1"/>
  <c r="L24" i="52"/>
  <c r="C46" i="52"/>
  <c r="D46" i="52" s="1"/>
  <c r="H46" i="52"/>
  <c r="L46" i="52"/>
  <c r="H13" i="52"/>
  <c r="C13" i="52"/>
  <c r="D13" i="52" s="1"/>
  <c r="L13" i="52"/>
  <c r="H29" i="52"/>
  <c r="C29" i="52"/>
  <c r="D29" i="52" s="1"/>
  <c r="L29" i="52"/>
  <c r="H14" i="52"/>
  <c r="C14" i="52"/>
  <c r="D14" i="52" s="1"/>
  <c r="L14" i="52"/>
  <c r="H9" i="52"/>
  <c r="C23" i="57"/>
  <c r="D23" i="57" s="1"/>
  <c r="H36" i="57"/>
  <c r="H53" i="57"/>
  <c r="E44" i="1"/>
  <c r="F44" i="1" s="1"/>
  <c r="J44" i="1" s="1"/>
  <c r="E36" i="58"/>
  <c r="F36" i="58" s="1"/>
  <c r="J36" i="58" s="1"/>
  <c r="P36" i="58" s="1"/>
  <c r="E40" i="58"/>
  <c r="F40" i="58" s="1"/>
  <c r="J40" i="58" s="1"/>
  <c r="P40" i="58" s="1"/>
  <c r="E45" i="58"/>
  <c r="F45" i="58" s="1"/>
  <c r="J45" i="58" s="1"/>
  <c r="P45" i="58" s="1"/>
  <c r="E27" i="58"/>
  <c r="F27" i="58" s="1"/>
  <c r="J27" i="58" s="1"/>
  <c r="P27" i="58" s="1"/>
  <c r="E56" i="53"/>
  <c r="F56" i="53" s="1"/>
  <c r="J56" i="53" s="1"/>
  <c r="P56" i="53" s="1"/>
  <c r="N56" i="53"/>
  <c r="E14" i="53"/>
  <c r="F14" i="53" s="1"/>
  <c r="J14" i="53" s="1"/>
  <c r="P14" i="53" s="1"/>
  <c r="E25" i="53"/>
  <c r="F25" i="53" s="1"/>
  <c r="J25" i="53" s="1"/>
  <c r="P25" i="53" s="1"/>
  <c r="E49" i="53"/>
  <c r="F49" i="53" s="1"/>
  <c r="J49" i="53" s="1"/>
  <c r="P49" i="53" s="1"/>
  <c r="E53" i="53"/>
  <c r="F53" i="53" s="1"/>
  <c r="J53" i="53" s="1"/>
  <c r="P53" i="53" s="1"/>
  <c r="E38" i="53"/>
  <c r="F38" i="53" s="1"/>
  <c r="J38" i="53" s="1"/>
  <c r="P38" i="53" s="1"/>
  <c r="E23" i="53"/>
  <c r="F23" i="53" s="1"/>
  <c r="J23" i="53" s="1"/>
  <c r="P23" i="53" s="1"/>
  <c r="E25" i="1"/>
  <c r="F25" i="1" s="1"/>
  <c r="J25" i="1" s="1"/>
  <c r="E15" i="1"/>
  <c r="F15" i="1" s="1"/>
  <c r="J15" i="1" s="1"/>
  <c r="E35" i="61"/>
  <c r="F35" i="61" s="1"/>
  <c r="J35" i="61" s="1"/>
  <c r="P35" i="61" s="1"/>
  <c r="I27" i="53"/>
  <c r="E16" i="61"/>
  <c r="F16" i="61" s="1"/>
  <c r="J16" i="61" s="1"/>
  <c r="P16" i="61" s="1"/>
  <c r="E48" i="61"/>
  <c r="F48" i="61" s="1"/>
  <c r="J48" i="61" s="1"/>
  <c r="P48" i="61" s="1"/>
  <c r="E15" i="61"/>
  <c r="F15" i="61" s="1"/>
  <c r="J15" i="61" s="1"/>
  <c r="P15" i="61" s="1"/>
  <c r="E23" i="61"/>
  <c r="F23" i="61" s="1"/>
  <c r="J23" i="61" s="1"/>
  <c r="P23" i="61" s="1"/>
  <c r="E20" i="61"/>
  <c r="F20" i="61" s="1"/>
  <c r="J20" i="61" s="1"/>
  <c r="P20" i="61" s="1"/>
  <c r="E50" i="61"/>
  <c r="F50" i="61" s="1"/>
  <c r="J50" i="61" s="1"/>
  <c r="P50" i="61" s="1"/>
  <c r="E42" i="61"/>
  <c r="F42" i="61" s="1"/>
  <c r="J42" i="61" s="1"/>
  <c r="P42" i="61" s="1"/>
  <c r="J41" i="56"/>
  <c r="P41" i="56" s="1"/>
  <c r="I16" i="58"/>
  <c r="I53" i="58"/>
  <c r="C48" i="57"/>
  <c r="D48" i="57" s="1"/>
  <c r="E7" i="1"/>
  <c r="F7" i="1" s="1"/>
  <c r="J7" i="1" s="1"/>
  <c r="E34" i="1"/>
  <c r="F34" i="1" s="1"/>
  <c r="J34" i="1" s="1"/>
  <c r="G36" i="61"/>
  <c r="I36" i="61" s="1"/>
  <c r="O69" i="58"/>
  <c r="S69" i="58" s="1"/>
  <c r="J48" i="53"/>
  <c r="P48" i="53" s="1"/>
  <c r="C23" i="52"/>
  <c r="D23" i="52" s="1"/>
  <c r="O68" i="59"/>
  <c r="S68" i="59" s="1"/>
  <c r="O68" i="58"/>
  <c r="S68" i="58" s="1"/>
  <c r="O21" i="58"/>
  <c r="O21" i="59"/>
  <c r="O66" i="59"/>
  <c r="S66" i="59" s="1"/>
  <c r="O66" i="58"/>
  <c r="S66" i="58" s="1"/>
  <c r="O64" i="58"/>
  <c r="S64" i="58" s="1"/>
  <c r="O64" i="59"/>
  <c r="S64" i="59" s="1"/>
  <c r="O63" i="59"/>
  <c r="S63" i="59" s="1"/>
  <c r="O63" i="58"/>
  <c r="S63" i="58" s="1"/>
  <c r="C55" i="59"/>
  <c r="D55" i="59" s="1"/>
  <c r="C14" i="59"/>
  <c r="D14" i="59" s="1"/>
  <c r="C48" i="59"/>
  <c r="D48" i="59" s="1"/>
  <c r="C43" i="59"/>
  <c r="D43" i="59" s="1"/>
  <c r="C50" i="59"/>
  <c r="D50" i="59" s="1"/>
  <c r="C38" i="59"/>
  <c r="D38" i="59" s="1"/>
  <c r="C23" i="59"/>
  <c r="D23" i="59" s="1"/>
  <c r="C20" i="59"/>
  <c r="D20" i="59" s="1"/>
  <c r="C53" i="59"/>
  <c r="D53" i="59" s="1"/>
  <c r="C22" i="59"/>
  <c r="D22" i="59" s="1"/>
  <c r="C33" i="59"/>
  <c r="D33" i="59" s="1"/>
  <c r="E31" i="1" l="1"/>
  <c r="F31" i="1" s="1"/>
  <c r="G31" i="1" s="1"/>
  <c r="I31" i="1" s="1"/>
  <c r="P53" i="61"/>
  <c r="J46" i="1"/>
  <c r="G15" i="53"/>
  <c r="I15" i="53" s="1"/>
  <c r="J53" i="1"/>
  <c r="G54" i="1"/>
  <c r="I54" i="1" s="1"/>
  <c r="I55" i="1"/>
  <c r="E34" i="56"/>
  <c r="F34" i="56" s="1"/>
  <c r="J34" i="56" s="1"/>
  <c r="P34" i="56" s="1"/>
  <c r="E50" i="56"/>
  <c r="F50" i="56" s="1"/>
  <c r="J50" i="56" s="1"/>
  <c r="P50" i="56" s="1"/>
  <c r="E33" i="1"/>
  <c r="F33" i="1" s="1"/>
  <c r="J33" i="1" s="1"/>
  <c r="E52" i="56"/>
  <c r="F52" i="56" s="1"/>
  <c r="J52" i="56" s="1"/>
  <c r="P52" i="56" s="1"/>
  <c r="E8" i="1"/>
  <c r="F8" i="1" s="1"/>
  <c r="G8" i="1" s="1"/>
  <c r="I8" i="1" s="1"/>
  <c r="J39" i="1"/>
  <c r="J16" i="1"/>
  <c r="J18" i="1"/>
  <c r="G20" i="1"/>
  <c r="I20" i="1" s="1"/>
  <c r="P46" i="56"/>
  <c r="E12" i="56"/>
  <c r="F12" i="56" s="1"/>
  <c r="J12" i="56" s="1"/>
  <c r="P12" i="56" s="1"/>
  <c r="G12" i="56"/>
  <c r="I12" i="56" s="1"/>
  <c r="E39" i="56"/>
  <c r="F39" i="56" s="1"/>
  <c r="J39" i="56" s="1"/>
  <c r="P39" i="56" s="1"/>
  <c r="G39" i="56"/>
  <c r="I39" i="56" s="1"/>
  <c r="J38" i="56"/>
  <c r="P38" i="56" s="1"/>
  <c r="E36" i="1"/>
  <c r="F36" i="1" s="1"/>
  <c r="J36" i="1" s="1"/>
  <c r="P16" i="56"/>
  <c r="I30" i="56"/>
  <c r="J8" i="1"/>
  <c r="E15" i="56"/>
  <c r="F15" i="56" s="1"/>
  <c r="J15" i="56" s="1"/>
  <c r="P15" i="56" s="1"/>
  <c r="G15" i="56"/>
  <c r="I15" i="56" s="1"/>
  <c r="E22" i="1"/>
  <c r="F22" i="1" s="1"/>
  <c r="G22" i="1"/>
  <c r="I22" i="1" s="1"/>
  <c r="J27" i="1"/>
  <c r="G12" i="1"/>
  <c r="I12" i="1" s="1"/>
  <c r="E17" i="56"/>
  <c r="F17" i="56" s="1"/>
  <c r="J17" i="56" s="1"/>
  <c r="P17" i="56" s="1"/>
  <c r="G17" i="56"/>
  <c r="I17" i="56" s="1"/>
  <c r="J31" i="1"/>
  <c r="J45" i="1"/>
  <c r="E39" i="1"/>
  <c r="F39" i="1" s="1"/>
  <c r="G39" i="1"/>
  <c r="I39" i="1" s="1"/>
  <c r="J22" i="1"/>
  <c r="G55" i="58"/>
  <c r="I55" i="58" s="1"/>
  <c r="J13" i="58"/>
  <c r="P13" i="58" s="1"/>
  <c r="G46" i="58"/>
  <c r="I46" i="58" s="1"/>
  <c r="G19" i="53"/>
  <c r="I19" i="53" s="1"/>
  <c r="J52" i="57"/>
  <c r="G39" i="53"/>
  <c r="I39" i="53" s="1"/>
  <c r="J30" i="58"/>
  <c r="P30" i="58" s="1"/>
  <c r="G22" i="53"/>
  <c r="I22" i="53" s="1"/>
  <c r="S39" i="53"/>
  <c r="G28" i="58"/>
  <c r="I28" i="58" s="1"/>
  <c r="J12" i="59"/>
  <c r="G46" i="61"/>
  <c r="I46" i="61" s="1"/>
  <c r="G18" i="61"/>
  <c r="I18" i="61" s="1"/>
  <c r="G26" i="61"/>
  <c r="I26" i="61" s="1"/>
  <c r="G43" i="53"/>
  <c r="I43" i="53" s="1"/>
  <c r="G49" i="61"/>
  <c r="I49" i="61" s="1"/>
  <c r="G20" i="61"/>
  <c r="I20" i="61" s="1"/>
  <c r="S36" i="61"/>
  <c r="G56" i="58"/>
  <c r="I56" i="58" s="1"/>
  <c r="G11" i="53"/>
  <c r="I11" i="53" s="1"/>
  <c r="S15" i="58"/>
  <c r="G48" i="61"/>
  <c r="I48" i="61" s="1"/>
  <c r="G16" i="61"/>
  <c r="I16" i="61" s="1"/>
  <c r="S56" i="53"/>
  <c r="G27" i="58"/>
  <c r="I27" i="58" s="1"/>
  <c r="G22" i="56"/>
  <c r="I22" i="56" s="1"/>
  <c r="S30" i="61"/>
  <c r="G31" i="61"/>
  <c r="I31" i="61" s="1"/>
  <c r="G53" i="1"/>
  <c r="I53" i="1" s="1"/>
  <c r="I21" i="59"/>
  <c r="G15" i="61"/>
  <c r="I15" i="61" s="1"/>
  <c r="G33" i="61"/>
  <c r="I33" i="61" s="1"/>
  <c r="G45" i="58"/>
  <c r="I45" i="58" s="1"/>
  <c r="G24" i="58"/>
  <c r="I24" i="58" s="1"/>
  <c r="G12" i="59"/>
  <c r="I12" i="59" s="1"/>
  <c r="G32" i="53"/>
  <c r="I32" i="53" s="1"/>
  <c r="G33" i="53"/>
  <c r="I33" i="53" s="1"/>
  <c r="G34" i="53"/>
  <c r="I34" i="53" s="1"/>
  <c r="G55" i="53"/>
  <c r="I55" i="53" s="1"/>
  <c r="G42" i="61"/>
  <c r="I42" i="61" s="1"/>
  <c r="G37" i="53"/>
  <c r="I37" i="53" s="1"/>
  <c r="G32" i="61"/>
  <c r="I32" i="61" s="1"/>
  <c r="G29" i="61"/>
  <c r="I29" i="61" s="1"/>
  <c r="G17" i="61"/>
  <c r="I17" i="61" s="1"/>
  <c r="G31" i="53"/>
  <c r="I31" i="53" s="1"/>
  <c r="G44" i="61"/>
  <c r="I44" i="61" s="1"/>
  <c r="G51" i="53"/>
  <c r="I51" i="53" s="1"/>
  <c r="G20" i="58"/>
  <c r="I20" i="58" s="1"/>
  <c r="I25" i="59"/>
  <c r="J45" i="59"/>
  <c r="I18" i="59"/>
  <c r="G23" i="61"/>
  <c r="I23" i="61" s="1"/>
  <c r="S48" i="53"/>
  <c r="G29" i="1"/>
  <c r="I29" i="1" s="1"/>
  <c r="G17" i="58"/>
  <c r="I17" i="58" s="1"/>
  <c r="I52" i="59"/>
  <c r="I47" i="59"/>
  <c r="G38" i="61"/>
  <c r="I38" i="61" s="1"/>
  <c r="J15" i="57"/>
  <c r="P15" i="57" s="1"/>
  <c r="S15" i="57" s="1"/>
  <c r="G8" i="53"/>
  <c r="I8" i="53" s="1"/>
  <c r="G47" i="61"/>
  <c r="I47" i="61" s="1"/>
  <c r="G53" i="61"/>
  <c r="I53" i="61" s="1"/>
  <c r="G41" i="61"/>
  <c r="I41" i="61" s="1"/>
  <c r="G27" i="56"/>
  <c r="I27" i="56" s="1"/>
  <c r="G10" i="57"/>
  <c r="I10" i="57" s="1"/>
  <c r="G34" i="58"/>
  <c r="I34" i="58" s="1"/>
  <c r="G21" i="58"/>
  <c r="I21" i="58" s="1"/>
  <c r="G52" i="53"/>
  <c r="I52" i="53" s="1"/>
  <c r="G10" i="53"/>
  <c r="I10" i="53" s="1"/>
  <c r="G33" i="58"/>
  <c r="I33" i="58" s="1"/>
  <c r="G52" i="57"/>
  <c r="I52" i="57" s="1"/>
  <c r="G9" i="53"/>
  <c r="I9" i="53" s="1"/>
  <c r="G29" i="53"/>
  <c r="I29" i="53" s="1"/>
  <c r="G50" i="53"/>
  <c r="I50" i="53" s="1"/>
  <c r="G26" i="56"/>
  <c r="I26" i="56" s="1"/>
  <c r="G47" i="58"/>
  <c r="I47" i="58" s="1"/>
  <c r="S47" i="53"/>
  <c r="E50" i="59"/>
  <c r="F50" i="59" s="1"/>
  <c r="J50" i="59" s="1"/>
  <c r="E46" i="52"/>
  <c r="F46" i="52" s="1"/>
  <c r="J46" i="52" s="1"/>
  <c r="E32" i="52"/>
  <c r="F32" i="52" s="1"/>
  <c r="J32" i="52" s="1"/>
  <c r="N46" i="54"/>
  <c r="E10" i="54"/>
  <c r="F10" i="54" s="1"/>
  <c r="J10" i="54" s="1"/>
  <c r="N52" i="54"/>
  <c r="E50" i="54"/>
  <c r="F50" i="54" s="1"/>
  <c r="J50" i="54" s="1"/>
  <c r="E32" i="54"/>
  <c r="F32" i="54" s="1"/>
  <c r="J32" i="54" s="1"/>
  <c r="E44" i="54"/>
  <c r="F44" i="54" s="1"/>
  <c r="J44" i="54" s="1"/>
  <c r="N10" i="53"/>
  <c r="S10" i="53" s="1"/>
  <c r="N10" i="52"/>
  <c r="N52" i="59"/>
  <c r="E34" i="59"/>
  <c r="F34" i="59" s="1"/>
  <c r="J34" i="59" s="1"/>
  <c r="N19" i="52"/>
  <c r="N19" i="53"/>
  <c r="S19" i="53" s="1"/>
  <c r="N33" i="53"/>
  <c r="S33" i="53" s="1"/>
  <c r="N33" i="52"/>
  <c r="E43" i="57"/>
  <c r="F43" i="57" s="1"/>
  <c r="J43" i="57" s="1"/>
  <c r="E22" i="52"/>
  <c r="F22" i="52" s="1"/>
  <c r="J22" i="52" s="1"/>
  <c r="N26" i="59"/>
  <c r="N41" i="52"/>
  <c r="N29" i="53"/>
  <c r="S29" i="53" s="1"/>
  <c r="N29" i="52"/>
  <c r="E17" i="1"/>
  <c r="F17" i="1" s="1"/>
  <c r="J17" i="1" s="1"/>
  <c r="N51" i="54"/>
  <c r="N48" i="54"/>
  <c r="N33" i="54"/>
  <c r="N28" i="54"/>
  <c r="E39" i="54"/>
  <c r="F39" i="54" s="1"/>
  <c r="J39" i="54" s="1"/>
  <c r="E14" i="54"/>
  <c r="F14" i="54" s="1"/>
  <c r="J14" i="54" s="1"/>
  <c r="E13" i="54"/>
  <c r="F13" i="54" s="1"/>
  <c r="J13" i="54" s="1"/>
  <c r="E30" i="54"/>
  <c r="F30" i="54" s="1"/>
  <c r="J30" i="54" s="1"/>
  <c r="E44" i="57"/>
  <c r="F44" i="57" s="1"/>
  <c r="J44" i="57" s="1"/>
  <c r="N29" i="58"/>
  <c r="S29" i="58" s="1"/>
  <c r="N29" i="57"/>
  <c r="E17" i="52"/>
  <c r="F17" i="52" s="1"/>
  <c r="J17" i="52" s="1"/>
  <c r="N25" i="59"/>
  <c r="E30" i="59"/>
  <c r="F30" i="59" s="1"/>
  <c r="J30" i="59" s="1"/>
  <c r="E25" i="55"/>
  <c r="F25" i="55" s="1"/>
  <c r="J25" i="55" s="1"/>
  <c r="E51" i="52"/>
  <c r="F51" i="52" s="1"/>
  <c r="J51" i="52" s="1"/>
  <c r="P51" i="52" s="1"/>
  <c r="E18" i="57"/>
  <c r="F18" i="57" s="1"/>
  <c r="J18" i="57" s="1"/>
  <c r="E17" i="57"/>
  <c r="F17" i="57" s="1"/>
  <c r="J17" i="57" s="1"/>
  <c r="N43" i="59"/>
  <c r="N13" i="57"/>
  <c r="N13" i="58"/>
  <c r="S13" i="58" s="1"/>
  <c r="E25" i="57"/>
  <c r="F25" i="57" s="1"/>
  <c r="J25" i="57" s="1"/>
  <c r="N40" i="53"/>
  <c r="S40" i="53" s="1"/>
  <c r="N40" i="52"/>
  <c r="N42" i="59"/>
  <c r="N33" i="59"/>
  <c r="N35" i="59"/>
  <c r="E40" i="52"/>
  <c r="F40" i="52" s="1"/>
  <c r="J40" i="52" s="1"/>
  <c r="P40" i="52" s="1"/>
  <c r="E37" i="57"/>
  <c r="F37" i="57" s="1"/>
  <c r="J37" i="57" s="1"/>
  <c r="N34" i="52"/>
  <c r="N34" i="53"/>
  <c r="S34" i="53" s="1"/>
  <c r="E43" i="52"/>
  <c r="F43" i="52" s="1"/>
  <c r="J43" i="52" s="1"/>
  <c r="N16" i="52"/>
  <c r="N16" i="53"/>
  <c r="S16" i="53" s="1"/>
  <c r="E21" i="52"/>
  <c r="F21" i="52" s="1"/>
  <c r="J21" i="52" s="1"/>
  <c r="E24" i="60"/>
  <c r="F24" i="60" s="1"/>
  <c r="J24" i="60" s="1"/>
  <c r="P24" i="60" s="1"/>
  <c r="N50" i="60"/>
  <c r="N50" i="61"/>
  <c r="S50" i="61" s="1"/>
  <c r="N39" i="60"/>
  <c r="N39" i="61"/>
  <c r="S39" i="61" s="1"/>
  <c r="N37" i="61"/>
  <c r="S37" i="61" s="1"/>
  <c r="N37" i="60"/>
  <c r="E27" i="60"/>
  <c r="F27" i="60" s="1"/>
  <c r="J27" i="60" s="1"/>
  <c r="E38" i="60"/>
  <c r="F38" i="60" s="1"/>
  <c r="J38" i="60" s="1"/>
  <c r="P38" i="60" s="1"/>
  <c r="N56" i="57"/>
  <c r="N56" i="58"/>
  <c r="S56" i="58" s="1"/>
  <c r="E44" i="59"/>
  <c r="F44" i="59" s="1"/>
  <c r="J44" i="59" s="1"/>
  <c r="N55" i="52"/>
  <c r="N55" i="53"/>
  <c r="S55" i="53" s="1"/>
  <c r="E44" i="52"/>
  <c r="F44" i="52" s="1"/>
  <c r="J44" i="52" s="1"/>
  <c r="N16" i="56"/>
  <c r="N16" i="55"/>
  <c r="N42" i="56"/>
  <c r="S42" i="56" s="1"/>
  <c r="N42" i="55"/>
  <c r="N21" i="56"/>
  <c r="S21" i="56" s="1"/>
  <c r="N21" i="55"/>
  <c r="N36" i="56"/>
  <c r="S36" i="56" s="1"/>
  <c r="N36" i="55"/>
  <c r="N15" i="56"/>
  <c r="S15" i="56" s="1"/>
  <c r="N15" i="55"/>
  <c r="N27" i="55"/>
  <c r="N27" i="56"/>
  <c r="S27" i="56" s="1"/>
  <c r="N41" i="55"/>
  <c r="N41" i="56"/>
  <c r="S41" i="56" s="1"/>
  <c r="N11" i="55"/>
  <c r="N11" i="56"/>
  <c r="S11" i="56" s="1"/>
  <c r="N52" i="56"/>
  <c r="N52" i="55"/>
  <c r="N22" i="56"/>
  <c r="S22" i="56" s="1"/>
  <c r="N22" i="55"/>
  <c r="N45" i="55"/>
  <c r="N45" i="56"/>
  <c r="S45" i="56" s="1"/>
  <c r="N35" i="56"/>
  <c r="S35" i="56" s="1"/>
  <c r="N35" i="55"/>
  <c r="E48" i="55"/>
  <c r="F48" i="55" s="1"/>
  <c r="J48" i="55" s="1"/>
  <c r="E53" i="55"/>
  <c r="F53" i="55" s="1"/>
  <c r="J53" i="55" s="1"/>
  <c r="E44" i="55"/>
  <c r="F44" i="55" s="1"/>
  <c r="J44" i="55" s="1"/>
  <c r="E12" i="55"/>
  <c r="F12" i="55" s="1"/>
  <c r="J12" i="55" s="1"/>
  <c r="E50" i="55"/>
  <c r="F50" i="55" s="1"/>
  <c r="J50" i="55" s="1"/>
  <c r="E15" i="55"/>
  <c r="F15" i="55" s="1"/>
  <c r="J15" i="55" s="1"/>
  <c r="P15" i="55" s="1"/>
  <c r="E56" i="55"/>
  <c r="F56" i="55" s="1"/>
  <c r="J56" i="55" s="1"/>
  <c r="E24" i="55"/>
  <c r="F24" i="55" s="1"/>
  <c r="J24" i="55" s="1"/>
  <c r="E39" i="55"/>
  <c r="F39" i="55" s="1"/>
  <c r="J39" i="55" s="1"/>
  <c r="E45" i="55"/>
  <c r="F45" i="55" s="1"/>
  <c r="J45" i="55" s="1"/>
  <c r="P45" i="55" s="1"/>
  <c r="E10" i="55"/>
  <c r="F10" i="55" s="1"/>
  <c r="J10" i="55" s="1"/>
  <c r="I17" i="59"/>
  <c r="I56" i="59"/>
  <c r="E20" i="59"/>
  <c r="F20" i="59" s="1"/>
  <c r="J20" i="59" s="1"/>
  <c r="E43" i="59"/>
  <c r="F43" i="59" s="1"/>
  <c r="J43" i="59" s="1"/>
  <c r="P43" i="59" s="1"/>
  <c r="G34" i="1"/>
  <c r="I34" i="1" s="1"/>
  <c r="E48" i="57"/>
  <c r="F48" i="57" s="1"/>
  <c r="J48" i="57" s="1"/>
  <c r="G50" i="61"/>
  <c r="I50" i="61" s="1"/>
  <c r="G15" i="1"/>
  <c r="I15" i="1" s="1"/>
  <c r="G23" i="53"/>
  <c r="I23" i="53" s="1"/>
  <c r="G53" i="53"/>
  <c r="I53" i="53" s="1"/>
  <c r="G25" i="53"/>
  <c r="I25" i="53" s="1"/>
  <c r="G36" i="58"/>
  <c r="I36" i="58" s="1"/>
  <c r="N14" i="52"/>
  <c r="N14" i="53"/>
  <c r="S14" i="53" s="1"/>
  <c r="E29" i="52"/>
  <c r="F29" i="52" s="1"/>
  <c r="J29" i="52" s="1"/>
  <c r="P29" i="52" s="1"/>
  <c r="N24" i="52"/>
  <c r="N24" i="53"/>
  <c r="S24" i="53" s="1"/>
  <c r="E8" i="52"/>
  <c r="F8" i="52" s="1"/>
  <c r="J8" i="52" s="1"/>
  <c r="E38" i="52"/>
  <c r="F38" i="52" s="1"/>
  <c r="J38" i="52" s="1"/>
  <c r="N49" i="52"/>
  <c r="N49" i="53"/>
  <c r="S49" i="53" s="1"/>
  <c r="E11" i="52"/>
  <c r="F11" i="52" s="1"/>
  <c r="J11" i="52" s="1"/>
  <c r="N55" i="54"/>
  <c r="N49" i="54"/>
  <c r="N53" i="54"/>
  <c r="N9" i="54"/>
  <c r="N44" i="54"/>
  <c r="P44" i="54"/>
  <c r="N37" i="54"/>
  <c r="N40" i="54"/>
  <c r="N8" i="54"/>
  <c r="L8" i="55"/>
  <c r="N8" i="55" s="1"/>
  <c r="N27" i="54"/>
  <c r="E52" i="54"/>
  <c r="F52" i="54" s="1"/>
  <c r="J52" i="54" s="1"/>
  <c r="P52" i="54" s="1"/>
  <c r="N35" i="54"/>
  <c r="N20" i="54"/>
  <c r="N25" i="54"/>
  <c r="E9" i="54"/>
  <c r="F9" i="54" s="1"/>
  <c r="J9" i="54" s="1"/>
  <c r="P9" i="54" s="1"/>
  <c r="E28" i="54"/>
  <c r="F28" i="54" s="1"/>
  <c r="J28" i="54" s="1"/>
  <c r="P28" i="54" s="1"/>
  <c r="E54" i="54"/>
  <c r="F54" i="54" s="1"/>
  <c r="J54" i="54" s="1"/>
  <c r="E43" i="54"/>
  <c r="F43" i="54" s="1"/>
  <c r="J43" i="54" s="1"/>
  <c r="E48" i="54"/>
  <c r="F48" i="54" s="1"/>
  <c r="J48" i="54" s="1"/>
  <c r="P48" i="54" s="1"/>
  <c r="E36" i="54"/>
  <c r="F36" i="54" s="1"/>
  <c r="J36" i="54" s="1"/>
  <c r="E38" i="54"/>
  <c r="F38" i="54" s="1"/>
  <c r="J38" i="54" s="1"/>
  <c r="E21" i="54"/>
  <c r="F21" i="54" s="1"/>
  <c r="J21" i="54" s="1"/>
  <c r="E34" i="54"/>
  <c r="F34" i="54" s="1"/>
  <c r="J34" i="54" s="1"/>
  <c r="E12" i="54"/>
  <c r="F12" i="54" s="1"/>
  <c r="J12" i="54" s="1"/>
  <c r="E53" i="54"/>
  <c r="F53" i="54" s="1"/>
  <c r="J53" i="54" s="1"/>
  <c r="P53" i="54" s="1"/>
  <c r="E19" i="54"/>
  <c r="F19" i="54" s="1"/>
  <c r="J19" i="54" s="1"/>
  <c r="N32" i="59"/>
  <c r="N47" i="59"/>
  <c r="N18" i="59"/>
  <c r="E28" i="57"/>
  <c r="F28" i="57" s="1"/>
  <c r="J28" i="57" s="1"/>
  <c r="N24" i="57"/>
  <c r="N24" i="58"/>
  <c r="S24" i="58" s="1"/>
  <c r="E29" i="57"/>
  <c r="F29" i="57" s="1"/>
  <c r="J29" i="57" s="1"/>
  <c r="P29" i="57" s="1"/>
  <c r="E36" i="59"/>
  <c r="F36" i="59" s="1"/>
  <c r="J36" i="59" s="1"/>
  <c r="P36" i="59" s="1"/>
  <c r="E5" i="1"/>
  <c r="F5" i="1" s="1"/>
  <c r="J5" i="1" s="1"/>
  <c r="G51" i="61"/>
  <c r="I51" i="61" s="1"/>
  <c r="G44" i="53"/>
  <c r="I44" i="53" s="1"/>
  <c r="G23" i="58"/>
  <c r="I23" i="58" s="1"/>
  <c r="N45" i="53"/>
  <c r="S45" i="53" s="1"/>
  <c r="N45" i="52"/>
  <c r="E10" i="52"/>
  <c r="F10" i="52" s="1"/>
  <c r="J10" i="52" s="1"/>
  <c r="P10" i="52" s="1"/>
  <c r="E39" i="57"/>
  <c r="F39" i="57" s="1"/>
  <c r="E35" i="59"/>
  <c r="F35" i="59" s="1"/>
  <c r="J35" i="59" s="1"/>
  <c r="P35" i="59" s="1"/>
  <c r="E15" i="59"/>
  <c r="F15" i="59" s="1"/>
  <c r="N23" i="52"/>
  <c r="N23" i="53"/>
  <c r="S23" i="53" s="1"/>
  <c r="G32" i="1"/>
  <c r="I32" i="1" s="1"/>
  <c r="G45" i="53"/>
  <c r="I45" i="53" s="1"/>
  <c r="G40" i="61"/>
  <c r="I40" i="61" s="1"/>
  <c r="G19" i="1"/>
  <c r="I19" i="1" s="1"/>
  <c r="G28" i="53"/>
  <c r="I28" i="53" s="1"/>
  <c r="G54" i="53"/>
  <c r="I54" i="53" s="1"/>
  <c r="G21" i="53"/>
  <c r="I21" i="53" s="1"/>
  <c r="G24" i="53"/>
  <c r="I24" i="53" s="1"/>
  <c r="G49" i="56"/>
  <c r="I49" i="56" s="1"/>
  <c r="G49" i="1"/>
  <c r="I49" i="1" s="1"/>
  <c r="N9" i="52"/>
  <c r="N9" i="53"/>
  <c r="S9" i="53" s="1"/>
  <c r="N31" i="52"/>
  <c r="N31" i="53"/>
  <c r="S31" i="53" s="1"/>
  <c r="E19" i="52"/>
  <c r="F19" i="52" s="1"/>
  <c r="J19" i="52" s="1"/>
  <c r="P19" i="52" s="1"/>
  <c r="N18" i="53"/>
  <c r="S18" i="53" s="1"/>
  <c r="N18" i="52"/>
  <c r="E33" i="52"/>
  <c r="F33" i="52" s="1"/>
  <c r="J33" i="52" s="1"/>
  <c r="P33" i="52" s="1"/>
  <c r="E39" i="52"/>
  <c r="F39" i="52" s="1"/>
  <c r="J39" i="52" s="1"/>
  <c r="N37" i="52"/>
  <c r="N37" i="53"/>
  <c r="S37" i="53" s="1"/>
  <c r="N46" i="58"/>
  <c r="S46" i="58" s="1"/>
  <c r="N46" i="57"/>
  <c r="N14" i="57"/>
  <c r="N14" i="58"/>
  <c r="S14" i="58" s="1"/>
  <c r="N40" i="58"/>
  <c r="S40" i="58" s="1"/>
  <c r="N40" i="57"/>
  <c r="N35" i="57"/>
  <c r="N35" i="58"/>
  <c r="S35" i="58" s="1"/>
  <c r="N54" i="57"/>
  <c r="N54" i="58"/>
  <c r="S54" i="58" s="1"/>
  <c r="N36" i="57"/>
  <c r="N36" i="58"/>
  <c r="S36" i="58" s="1"/>
  <c r="E45" i="57"/>
  <c r="F45" i="57" s="1"/>
  <c r="J45" i="57" s="1"/>
  <c r="E47" i="57"/>
  <c r="F47" i="57" s="1"/>
  <c r="J47" i="57" s="1"/>
  <c r="E36" i="57"/>
  <c r="F36" i="57" s="1"/>
  <c r="E14" i="57"/>
  <c r="F14" i="57" s="1"/>
  <c r="J14" i="57" s="1"/>
  <c r="P14" i="57" s="1"/>
  <c r="E26" i="59"/>
  <c r="F26" i="59" s="1"/>
  <c r="G25" i="61"/>
  <c r="I25" i="61" s="1"/>
  <c r="G30" i="53"/>
  <c r="I30" i="53" s="1"/>
  <c r="N56" i="52"/>
  <c r="E54" i="52"/>
  <c r="F54" i="52" s="1"/>
  <c r="J54" i="52" s="1"/>
  <c r="P54" i="52" s="1"/>
  <c r="E14" i="1"/>
  <c r="F14" i="1" s="1"/>
  <c r="J14" i="1" s="1"/>
  <c r="N14" i="59"/>
  <c r="N37" i="59"/>
  <c r="N16" i="59"/>
  <c r="N29" i="59"/>
  <c r="N54" i="59"/>
  <c r="N50" i="57"/>
  <c r="N50" i="58"/>
  <c r="S50" i="58" s="1"/>
  <c r="E31" i="59"/>
  <c r="F31" i="59" s="1"/>
  <c r="E42" i="59"/>
  <c r="F42" i="59" s="1"/>
  <c r="J42" i="59" s="1"/>
  <c r="P42" i="59" s="1"/>
  <c r="G27" i="1"/>
  <c r="I27" i="1" s="1"/>
  <c r="G34" i="61"/>
  <c r="I34" i="61" s="1"/>
  <c r="G39" i="61"/>
  <c r="I39" i="61" s="1"/>
  <c r="G22" i="61"/>
  <c r="I22" i="61" s="1"/>
  <c r="S38" i="56"/>
  <c r="G47" i="53"/>
  <c r="I47" i="53" s="1"/>
  <c r="G42" i="53"/>
  <c r="I42" i="53" s="1"/>
  <c r="G11" i="56"/>
  <c r="I11" i="56" s="1"/>
  <c r="G50" i="58"/>
  <c r="I50" i="58" s="1"/>
  <c r="E51" i="57"/>
  <c r="F51" i="57" s="1"/>
  <c r="J51" i="57" s="1"/>
  <c r="P51" i="57" s="1"/>
  <c r="N15" i="53"/>
  <c r="S15" i="53" s="1"/>
  <c r="N15" i="52"/>
  <c r="E25" i="52"/>
  <c r="F25" i="52" s="1"/>
  <c r="N6" i="52"/>
  <c r="L6" i="53"/>
  <c r="N6" i="53" s="1"/>
  <c r="E16" i="52"/>
  <c r="F16" i="52" s="1"/>
  <c r="E9" i="1"/>
  <c r="F9" i="1" s="1"/>
  <c r="J9" i="1" s="1"/>
  <c r="N54" i="60"/>
  <c r="N54" i="61"/>
  <c r="S54" i="61" s="1"/>
  <c r="N19" i="60"/>
  <c r="N19" i="61"/>
  <c r="S19" i="61" s="1"/>
  <c r="N47" i="60"/>
  <c r="N47" i="61"/>
  <c r="S47" i="61" s="1"/>
  <c r="N44" i="60"/>
  <c r="N44" i="61"/>
  <c r="S44" i="61" s="1"/>
  <c r="E51" i="60"/>
  <c r="F51" i="60" s="1"/>
  <c r="N46" i="60"/>
  <c r="N46" i="61"/>
  <c r="S46" i="61" s="1"/>
  <c r="N51" i="61"/>
  <c r="S51" i="61" s="1"/>
  <c r="N51" i="60"/>
  <c r="E26" i="60"/>
  <c r="F26" i="60" s="1"/>
  <c r="N27" i="61"/>
  <c r="S27" i="61" s="1"/>
  <c r="P27" i="60"/>
  <c r="N27" i="60"/>
  <c r="N38" i="60"/>
  <c r="N38" i="61"/>
  <c r="S38" i="61" s="1"/>
  <c r="N20" i="60"/>
  <c r="E52" i="60"/>
  <c r="F52" i="60" s="1"/>
  <c r="J52" i="60" s="1"/>
  <c r="E56" i="60"/>
  <c r="F56" i="60" s="1"/>
  <c r="D14" i="60"/>
  <c r="C14" i="61"/>
  <c r="D14" i="61" s="1"/>
  <c r="E22" i="60"/>
  <c r="F22" i="60" s="1"/>
  <c r="J22" i="60" s="1"/>
  <c r="E23" i="60"/>
  <c r="F23" i="60" s="1"/>
  <c r="J23" i="60" s="1"/>
  <c r="E18" i="60"/>
  <c r="F18" i="60" s="1"/>
  <c r="E53" i="60"/>
  <c r="F53" i="60" s="1"/>
  <c r="J53" i="60" s="1"/>
  <c r="E41" i="60"/>
  <c r="F41" i="60" s="1"/>
  <c r="J41" i="60" s="1"/>
  <c r="E43" i="60"/>
  <c r="F43" i="60" s="1"/>
  <c r="J43" i="60" s="1"/>
  <c r="N40" i="59"/>
  <c r="N19" i="59"/>
  <c r="N24" i="59"/>
  <c r="D11" i="57"/>
  <c r="C11" i="58"/>
  <c r="D11" i="58" s="1"/>
  <c r="N26" i="58"/>
  <c r="S26" i="58" s="1"/>
  <c r="N26" i="57"/>
  <c r="E41" i="57"/>
  <c r="F41" i="57" s="1"/>
  <c r="J41" i="57" s="1"/>
  <c r="E24" i="59"/>
  <c r="F24" i="59" s="1"/>
  <c r="J24" i="59" s="1"/>
  <c r="P24" i="59" s="1"/>
  <c r="G43" i="61"/>
  <c r="I43" i="61" s="1"/>
  <c r="E47" i="52"/>
  <c r="F47" i="52" s="1"/>
  <c r="J47" i="52" s="1"/>
  <c r="N28" i="52"/>
  <c r="E7" i="52"/>
  <c r="F7" i="52" s="1"/>
  <c r="J7" i="52" s="1"/>
  <c r="N42" i="53"/>
  <c r="S42" i="53" s="1"/>
  <c r="N42" i="52"/>
  <c r="N53" i="53"/>
  <c r="S53" i="53" s="1"/>
  <c r="N53" i="52"/>
  <c r="E53" i="52"/>
  <c r="F53" i="52" s="1"/>
  <c r="J53" i="52" s="1"/>
  <c r="P53" i="52" s="1"/>
  <c r="N44" i="55"/>
  <c r="P44" i="55"/>
  <c r="N44" i="56"/>
  <c r="S44" i="56" s="1"/>
  <c r="N51" i="55"/>
  <c r="N51" i="56"/>
  <c r="S51" i="56" s="1"/>
  <c r="N31" i="55"/>
  <c r="N31" i="56"/>
  <c r="S31" i="56" s="1"/>
  <c r="N20" i="56"/>
  <c r="S20" i="56" s="1"/>
  <c r="N20" i="55"/>
  <c r="N13" i="55"/>
  <c r="N13" i="56"/>
  <c r="S13" i="56" s="1"/>
  <c r="P56" i="55"/>
  <c r="N56" i="55"/>
  <c r="N56" i="56"/>
  <c r="S56" i="56" s="1"/>
  <c r="N40" i="56"/>
  <c r="S40" i="56" s="1"/>
  <c r="N40" i="55"/>
  <c r="N54" i="56"/>
  <c r="S54" i="56" s="1"/>
  <c r="N54" i="55"/>
  <c r="N19" i="56"/>
  <c r="S19" i="56" s="1"/>
  <c r="N19" i="55"/>
  <c r="N18" i="56"/>
  <c r="S18" i="56" s="1"/>
  <c r="N18" i="55"/>
  <c r="N46" i="56"/>
  <c r="N46" i="55"/>
  <c r="N34" i="55"/>
  <c r="N34" i="56"/>
  <c r="S34" i="56" s="1"/>
  <c r="E43" i="55"/>
  <c r="F43" i="55" s="1"/>
  <c r="J43" i="55" s="1"/>
  <c r="E30" i="55"/>
  <c r="F30" i="55" s="1"/>
  <c r="J30" i="55" s="1"/>
  <c r="E14" i="55"/>
  <c r="F14" i="55" s="1"/>
  <c r="J14" i="55" s="1"/>
  <c r="E32" i="55"/>
  <c r="F32" i="55" s="1"/>
  <c r="J32" i="55" s="1"/>
  <c r="E46" i="55"/>
  <c r="F46" i="55" s="1"/>
  <c r="J46" i="55" s="1"/>
  <c r="P46" i="55" s="1"/>
  <c r="E35" i="55"/>
  <c r="F35" i="55" s="1"/>
  <c r="J35" i="55" s="1"/>
  <c r="P35" i="55" s="1"/>
  <c r="E11" i="55"/>
  <c r="F11" i="55" s="1"/>
  <c r="J11" i="55" s="1"/>
  <c r="P11" i="55" s="1"/>
  <c r="E19" i="55"/>
  <c r="F19" i="55" s="1"/>
  <c r="J19" i="55" s="1"/>
  <c r="P19" i="55" s="1"/>
  <c r="E20" i="55"/>
  <c r="F20" i="55" s="1"/>
  <c r="J20" i="55" s="1"/>
  <c r="P20" i="55" s="1"/>
  <c r="E17" i="55"/>
  <c r="F17" i="55" s="1"/>
  <c r="J17" i="55" s="1"/>
  <c r="I18" i="55"/>
  <c r="E31" i="57"/>
  <c r="F31" i="57" s="1"/>
  <c r="J21" i="59"/>
  <c r="P21" i="59" s="1"/>
  <c r="G45" i="59"/>
  <c r="I45" i="59" s="1"/>
  <c r="J17" i="59"/>
  <c r="J56" i="59"/>
  <c r="E53" i="59"/>
  <c r="F53" i="59" s="1"/>
  <c r="J53" i="59" s="1"/>
  <c r="E55" i="59"/>
  <c r="F55" i="59" s="1"/>
  <c r="N8" i="52"/>
  <c r="P8" i="52"/>
  <c r="E20" i="52"/>
  <c r="F20" i="52" s="1"/>
  <c r="N15" i="54"/>
  <c r="N14" i="54"/>
  <c r="P14" i="54"/>
  <c r="N17" i="54"/>
  <c r="N45" i="54"/>
  <c r="E23" i="54"/>
  <c r="F23" i="54" s="1"/>
  <c r="J23" i="54" s="1"/>
  <c r="E47" i="54"/>
  <c r="F47" i="54" s="1"/>
  <c r="E29" i="54"/>
  <c r="F29" i="54" s="1"/>
  <c r="J29" i="54" s="1"/>
  <c r="E37" i="54"/>
  <c r="F37" i="54" s="1"/>
  <c r="E21" i="57"/>
  <c r="F21" i="57" s="1"/>
  <c r="J21" i="57" s="1"/>
  <c r="E38" i="57"/>
  <c r="F38" i="57" s="1"/>
  <c r="J38" i="57" s="1"/>
  <c r="E42" i="57"/>
  <c r="F42" i="57" s="1"/>
  <c r="J42" i="57" s="1"/>
  <c r="E7" i="54"/>
  <c r="F7" i="54" s="1"/>
  <c r="E51" i="1"/>
  <c r="F51" i="1" s="1"/>
  <c r="J51" i="1" s="1"/>
  <c r="N51" i="57"/>
  <c r="N51" i="58"/>
  <c r="S51" i="58" s="1"/>
  <c r="N43" i="57"/>
  <c r="P43" i="57"/>
  <c r="N43" i="58"/>
  <c r="S43" i="58" s="1"/>
  <c r="E12" i="57"/>
  <c r="F12" i="57" s="1"/>
  <c r="J12" i="57" s="1"/>
  <c r="P12" i="57" s="1"/>
  <c r="P50" i="59"/>
  <c r="N50" i="59"/>
  <c r="E55" i="57"/>
  <c r="F55" i="57" s="1"/>
  <c r="J55" i="57" s="1"/>
  <c r="P55" i="57" s="1"/>
  <c r="P23" i="60"/>
  <c r="N23" i="61"/>
  <c r="S23" i="61" s="1"/>
  <c r="N23" i="60"/>
  <c r="N33" i="60"/>
  <c r="N33" i="61"/>
  <c r="S33" i="61" s="1"/>
  <c r="E54" i="60"/>
  <c r="F54" i="60" s="1"/>
  <c r="J54" i="60" s="1"/>
  <c r="P54" i="60" s="1"/>
  <c r="E32" i="60"/>
  <c r="F32" i="60" s="1"/>
  <c r="N42" i="60"/>
  <c r="N42" i="61"/>
  <c r="S42" i="61" s="1"/>
  <c r="E19" i="60"/>
  <c r="F19" i="60" s="1"/>
  <c r="J19" i="60" s="1"/>
  <c r="P19" i="60" s="1"/>
  <c r="N24" i="60"/>
  <c r="N24" i="61"/>
  <c r="S24" i="61" s="1"/>
  <c r="P32" i="55"/>
  <c r="N32" i="55"/>
  <c r="N32" i="56"/>
  <c r="S32" i="56" s="1"/>
  <c r="E23" i="59"/>
  <c r="F23" i="59" s="1"/>
  <c r="J23" i="59" s="1"/>
  <c r="P23" i="59" s="1"/>
  <c r="P46" i="52"/>
  <c r="N46" i="52"/>
  <c r="N46" i="53"/>
  <c r="S46" i="53" s="1"/>
  <c r="E49" i="52"/>
  <c r="F49" i="52" s="1"/>
  <c r="J49" i="52" s="1"/>
  <c r="P49" i="52" s="1"/>
  <c r="N24" i="54"/>
  <c r="N11" i="54"/>
  <c r="N31" i="54"/>
  <c r="N21" i="54"/>
  <c r="P21" i="54"/>
  <c r="N22" i="54"/>
  <c r="P10" i="54"/>
  <c r="N10" i="54"/>
  <c r="N41" i="54"/>
  <c r="E40" i="54"/>
  <c r="F40" i="54" s="1"/>
  <c r="J40" i="54" s="1"/>
  <c r="P40" i="54" s="1"/>
  <c r="E45" i="54"/>
  <c r="F45" i="54" s="1"/>
  <c r="J45" i="54" s="1"/>
  <c r="P45" i="54" s="1"/>
  <c r="E22" i="54"/>
  <c r="F22" i="54" s="1"/>
  <c r="J22" i="54" s="1"/>
  <c r="P22" i="54" s="1"/>
  <c r="D8" i="54"/>
  <c r="C8" i="55"/>
  <c r="D8" i="55" s="1"/>
  <c r="E56" i="54"/>
  <c r="F56" i="54" s="1"/>
  <c r="J56" i="54" s="1"/>
  <c r="E17" i="54"/>
  <c r="F17" i="54" s="1"/>
  <c r="J17" i="54" s="1"/>
  <c r="P17" i="54" s="1"/>
  <c r="E11" i="54"/>
  <c r="F11" i="54" s="1"/>
  <c r="J11" i="54" s="1"/>
  <c r="P11" i="54" s="1"/>
  <c r="E55" i="54"/>
  <c r="F55" i="54" s="1"/>
  <c r="J55" i="54" s="1"/>
  <c r="P55" i="54" s="1"/>
  <c r="E15" i="54"/>
  <c r="F15" i="54" s="1"/>
  <c r="J15" i="54" s="1"/>
  <c r="P15" i="54" s="1"/>
  <c r="E20" i="54"/>
  <c r="F20" i="54" s="1"/>
  <c r="J20" i="54" s="1"/>
  <c r="P20" i="54" s="1"/>
  <c r="N22" i="57"/>
  <c r="N22" i="58"/>
  <c r="S22" i="58" s="1"/>
  <c r="E39" i="59"/>
  <c r="F39" i="59" s="1"/>
  <c r="J39" i="59" s="1"/>
  <c r="E45" i="52"/>
  <c r="F45" i="52" s="1"/>
  <c r="J45" i="52" s="1"/>
  <c r="P45" i="52" s="1"/>
  <c r="E35" i="1"/>
  <c r="F35" i="1" s="1"/>
  <c r="J35" i="1" s="1"/>
  <c r="N21" i="59"/>
  <c r="E49" i="57"/>
  <c r="F49" i="57" s="1"/>
  <c r="J49" i="57" s="1"/>
  <c r="E49" i="59"/>
  <c r="F49" i="59" s="1"/>
  <c r="J49" i="59" s="1"/>
  <c r="P49" i="59" s="1"/>
  <c r="E53" i="57"/>
  <c r="F53" i="57" s="1"/>
  <c r="J53" i="57" s="1"/>
  <c r="P53" i="57" s="1"/>
  <c r="N50" i="52"/>
  <c r="N50" i="53"/>
  <c r="S50" i="53" s="1"/>
  <c r="E31" i="52"/>
  <c r="F31" i="52" s="1"/>
  <c r="J31" i="52" s="1"/>
  <c r="P31" i="52" s="1"/>
  <c r="N52" i="53"/>
  <c r="S52" i="53" s="1"/>
  <c r="N52" i="52"/>
  <c r="N51" i="52"/>
  <c r="N51" i="53"/>
  <c r="S51" i="53" s="1"/>
  <c r="E23" i="1"/>
  <c r="F23" i="1" s="1"/>
  <c r="J23" i="1" s="1"/>
  <c r="N12" i="58"/>
  <c r="S12" i="58" s="1"/>
  <c r="N12" i="57"/>
  <c r="N53" i="57"/>
  <c r="N53" i="58"/>
  <c r="S53" i="58" s="1"/>
  <c r="P47" i="57"/>
  <c r="N47" i="57"/>
  <c r="N47" i="58"/>
  <c r="S47" i="58" s="1"/>
  <c r="P48" i="57"/>
  <c r="N48" i="57"/>
  <c r="N48" i="58"/>
  <c r="S48" i="58" s="1"/>
  <c r="N17" i="58"/>
  <c r="S17" i="58" s="1"/>
  <c r="P17" i="57"/>
  <c r="N17" i="57"/>
  <c r="N37" i="57"/>
  <c r="P37" i="57"/>
  <c r="N37" i="58"/>
  <c r="S37" i="58" s="1"/>
  <c r="E35" i="57"/>
  <c r="F35" i="57" s="1"/>
  <c r="J35" i="57" s="1"/>
  <c r="P35" i="57" s="1"/>
  <c r="E19" i="57"/>
  <c r="F19" i="57" s="1"/>
  <c r="J19" i="57" s="1"/>
  <c r="E30" i="57"/>
  <c r="F30" i="57" s="1"/>
  <c r="J30" i="57" s="1"/>
  <c r="P44" i="59"/>
  <c r="N44" i="59"/>
  <c r="P30" i="59"/>
  <c r="N30" i="59"/>
  <c r="L13" i="60"/>
  <c r="N13" i="60" s="1"/>
  <c r="N13" i="59"/>
  <c r="E13" i="57"/>
  <c r="F13" i="57" s="1"/>
  <c r="J13" i="57" s="1"/>
  <c r="P13" i="57" s="1"/>
  <c r="E28" i="59"/>
  <c r="F28" i="59" s="1"/>
  <c r="J28" i="59" s="1"/>
  <c r="P22" i="52"/>
  <c r="N22" i="52"/>
  <c r="N22" i="53"/>
  <c r="S22" i="53" s="1"/>
  <c r="E56" i="52"/>
  <c r="F56" i="52" s="1"/>
  <c r="J56" i="52" s="1"/>
  <c r="P56" i="52" s="1"/>
  <c r="N38" i="59"/>
  <c r="N15" i="59"/>
  <c r="N45" i="59"/>
  <c r="P45" i="59"/>
  <c r="N49" i="59"/>
  <c r="P34" i="59"/>
  <c r="N34" i="59"/>
  <c r="N36" i="59"/>
  <c r="N55" i="57"/>
  <c r="N55" i="58"/>
  <c r="S55" i="58" s="1"/>
  <c r="E50" i="57"/>
  <c r="F50" i="57" s="1"/>
  <c r="J50" i="57" s="1"/>
  <c r="P50" i="57" s="1"/>
  <c r="E54" i="59"/>
  <c r="F54" i="59" s="1"/>
  <c r="E40" i="59"/>
  <c r="F40" i="59" s="1"/>
  <c r="J40" i="59" s="1"/>
  <c r="P40" i="59" s="1"/>
  <c r="E40" i="57"/>
  <c r="F40" i="57" s="1"/>
  <c r="E21" i="55"/>
  <c r="F21" i="55" s="1"/>
  <c r="J21" i="55" s="1"/>
  <c r="P21" i="55" s="1"/>
  <c r="E34" i="52"/>
  <c r="F34" i="52" s="1"/>
  <c r="N26" i="53"/>
  <c r="S26" i="53" s="1"/>
  <c r="N26" i="52"/>
  <c r="E15" i="52"/>
  <c r="F15" i="52" s="1"/>
  <c r="J15" i="52" s="1"/>
  <c r="P15" i="52" s="1"/>
  <c r="E41" i="52"/>
  <c r="F41" i="52" s="1"/>
  <c r="J41" i="52" s="1"/>
  <c r="P41" i="52" s="1"/>
  <c r="N43" i="52"/>
  <c r="P43" i="52"/>
  <c r="N43" i="53"/>
  <c r="S43" i="53" s="1"/>
  <c r="D6" i="52"/>
  <c r="C6" i="53"/>
  <c r="D6" i="53" s="1"/>
  <c r="P21" i="52"/>
  <c r="N21" i="53"/>
  <c r="S21" i="53" s="1"/>
  <c r="N21" i="52"/>
  <c r="N46" i="59"/>
  <c r="E56" i="1"/>
  <c r="F56" i="1" s="1"/>
  <c r="N56" i="60"/>
  <c r="N56" i="61"/>
  <c r="S56" i="61" s="1"/>
  <c r="N34" i="60"/>
  <c r="N34" i="61"/>
  <c r="S34" i="61" s="1"/>
  <c r="N43" i="60"/>
  <c r="N43" i="61"/>
  <c r="S43" i="61" s="1"/>
  <c r="P43" i="60"/>
  <c r="N25" i="60"/>
  <c r="N25" i="61"/>
  <c r="S25" i="61" s="1"/>
  <c r="N53" i="60"/>
  <c r="N53" i="61"/>
  <c r="S53" i="61" s="1"/>
  <c r="P53" i="60"/>
  <c r="N49" i="61"/>
  <c r="S49" i="61" s="1"/>
  <c r="N49" i="60"/>
  <c r="N52" i="60"/>
  <c r="P52" i="60"/>
  <c r="N52" i="61"/>
  <c r="S52" i="61" s="1"/>
  <c r="N29" i="61"/>
  <c r="S29" i="61" s="1"/>
  <c r="N29" i="60"/>
  <c r="N31" i="60"/>
  <c r="N31" i="61"/>
  <c r="S31" i="61" s="1"/>
  <c r="E39" i="60"/>
  <c r="F39" i="60" s="1"/>
  <c r="E55" i="60"/>
  <c r="F55" i="60" s="1"/>
  <c r="J55" i="60" s="1"/>
  <c r="E49" i="60"/>
  <c r="F49" i="60" s="1"/>
  <c r="E46" i="60"/>
  <c r="F46" i="60" s="1"/>
  <c r="N26" i="61"/>
  <c r="S26" i="61" s="1"/>
  <c r="N26" i="60"/>
  <c r="E17" i="60"/>
  <c r="F17" i="60" s="1"/>
  <c r="J17" i="60" s="1"/>
  <c r="P17" i="60" s="1"/>
  <c r="E29" i="60"/>
  <c r="F29" i="60" s="1"/>
  <c r="J29" i="60" s="1"/>
  <c r="P29" i="60" s="1"/>
  <c r="E21" i="60"/>
  <c r="F21" i="60" s="1"/>
  <c r="J21" i="60" s="1"/>
  <c r="E42" i="60"/>
  <c r="F42" i="60" s="1"/>
  <c r="J42" i="60" s="1"/>
  <c r="P42" i="60" s="1"/>
  <c r="E31" i="60"/>
  <c r="F31" i="60" s="1"/>
  <c r="J31" i="60" s="1"/>
  <c r="P31" i="60" s="1"/>
  <c r="E50" i="60"/>
  <c r="F50" i="60" s="1"/>
  <c r="E34" i="60"/>
  <c r="F34" i="60" s="1"/>
  <c r="J34" i="60" s="1"/>
  <c r="P34" i="60" s="1"/>
  <c r="E34" i="57"/>
  <c r="F34" i="57" s="1"/>
  <c r="J34" i="57" s="1"/>
  <c r="N27" i="57"/>
  <c r="N27" i="58"/>
  <c r="S27" i="58" s="1"/>
  <c r="E26" i="57"/>
  <c r="F26" i="57" s="1"/>
  <c r="J26" i="57" s="1"/>
  <c r="P26" i="57" s="1"/>
  <c r="E56" i="57"/>
  <c r="F56" i="57" s="1"/>
  <c r="S48" i="61"/>
  <c r="E41" i="59"/>
  <c r="F41" i="59" s="1"/>
  <c r="N48" i="52"/>
  <c r="E28" i="52"/>
  <c r="F28" i="52" s="1"/>
  <c r="E55" i="52"/>
  <c r="F55" i="52" s="1"/>
  <c r="J55" i="52" s="1"/>
  <c r="P55" i="52" s="1"/>
  <c r="N27" i="52"/>
  <c r="N27" i="53"/>
  <c r="S27" i="53" s="1"/>
  <c r="N44" i="52"/>
  <c r="P44" i="52"/>
  <c r="N44" i="53"/>
  <c r="S44" i="53" s="1"/>
  <c r="N55" i="56"/>
  <c r="S55" i="56" s="1"/>
  <c r="N55" i="55"/>
  <c r="N26" i="55"/>
  <c r="N26" i="56"/>
  <c r="S26" i="56" s="1"/>
  <c r="N10" i="55"/>
  <c r="N10" i="56"/>
  <c r="S10" i="56" s="1"/>
  <c r="P10" i="55"/>
  <c r="N47" i="56"/>
  <c r="S47" i="56" s="1"/>
  <c r="N47" i="55"/>
  <c r="N23" i="55"/>
  <c r="N23" i="56"/>
  <c r="S23" i="56" s="1"/>
  <c r="N38" i="55"/>
  <c r="N29" i="56"/>
  <c r="S29" i="56" s="1"/>
  <c r="N29" i="55"/>
  <c r="N14" i="55"/>
  <c r="N14" i="56"/>
  <c r="S14" i="56" s="1"/>
  <c r="P14" i="55"/>
  <c r="N25" i="55"/>
  <c r="P25" i="55"/>
  <c r="N25" i="56"/>
  <c r="S25" i="56" s="1"/>
  <c r="N30" i="56"/>
  <c r="S30" i="56" s="1"/>
  <c r="N30" i="55"/>
  <c r="P30" i="55"/>
  <c r="N49" i="56"/>
  <c r="S49" i="56" s="1"/>
  <c r="N49" i="55"/>
  <c r="E38" i="55"/>
  <c r="F38" i="55" s="1"/>
  <c r="J38" i="55" s="1"/>
  <c r="P38" i="55" s="1"/>
  <c r="E49" i="55"/>
  <c r="F49" i="55" s="1"/>
  <c r="E34" i="55"/>
  <c r="F34" i="55" s="1"/>
  <c r="J34" i="55" s="1"/>
  <c r="P34" i="55" s="1"/>
  <c r="E37" i="55"/>
  <c r="F37" i="55" s="1"/>
  <c r="E16" i="55"/>
  <c r="F16" i="55" s="1"/>
  <c r="J16" i="55" s="1"/>
  <c r="P16" i="55" s="1"/>
  <c r="E41" i="55"/>
  <c r="F41" i="55" s="1"/>
  <c r="E31" i="55"/>
  <c r="F31" i="55" s="1"/>
  <c r="J31" i="55" s="1"/>
  <c r="P31" i="55" s="1"/>
  <c r="E42" i="55"/>
  <c r="F42" i="55" s="1"/>
  <c r="J42" i="55" s="1"/>
  <c r="P42" i="55" s="1"/>
  <c r="E29" i="55"/>
  <c r="F29" i="55" s="1"/>
  <c r="J29" i="55" s="1"/>
  <c r="P29" i="55" s="1"/>
  <c r="E22" i="55"/>
  <c r="F22" i="55" s="1"/>
  <c r="E36" i="55"/>
  <c r="F36" i="55" s="1"/>
  <c r="J36" i="55" s="1"/>
  <c r="P36" i="55" s="1"/>
  <c r="E13" i="55"/>
  <c r="F13" i="55" s="1"/>
  <c r="J18" i="55"/>
  <c r="P18" i="55" s="1"/>
  <c r="J32" i="59"/>
  <c r="P32" i="59" s="1"/>
  <c r="E13" i="52"/>
  <c r="F13" i="52" s="1"/>
  <c r="P11" i="52"/>
  <c r="N11" i="53"/>
  <c r="S11" i="53" s="1"/>
  <c r="N11" i="52"/>
  <c r="E26" i="1"/>
  <c r="F26" i="1" s="1"/>
  <c r="N23" i="54"/>
  <c r="P23" i="54"/>
  <c r="N26" i="54"/>
  <c r="N38" i="54"/>
  <c r="P38" i="54"/>
  <c r="E35" i="54"/>
  <c r="F35" i="54" s="1"/>
  <c r="J35" i="54" s="1"/>
  <c r="P35" i="54" s="1"/>
  <c r="E42" i="54"/>
  <c r="F42" i="54" s="1"/>
  <c r="J42" i="54" s="1"/>
  <c r="E46" i="54"/>
  <c r="F46" i="54" s="1"/>
  <c r="E16" i="54"/>
  <c r="F16" i="54" s="1"/>
  <c r="J16" i="54" s="1"/>
  <c r="P16" i="54" s="1"/>
  <c r="N28" i="57"/>
  <c r="P28" i="57"/>
  <c r="N28" i="58"/>
  <c r="S28" i="58" s="1"/>
  <c r="N16" i="57"/>
  <c r="N16" i="58"/>
  <c r="S16" i="58" s="1"/>
  <c r="E22" i="57"/>
  <c r="F22" i="57" s="1"/>
  <c r="J22" i="57" s="1"/>
  <c r="P22" i="57" s="1"/>
  <c r="D13" i="59"/>
  <c r="C13" i="60"/>
  <c r="D13" i="60" s="1"/>
  <c r="E5" i="52"/>
  <c r="F5" i="52" s="1"/>
  <c r="J5" i="52" s="1"/>
  <c r="S41" i="53"/>
  <c r="E6" i="1"/>
  <c r="F6" i="1" s="1"/>
  <c r="J6" i="1" s="1"/>
  <c r="P49" i="57"/>
  <c r="N49" i="57"/>
  <c r="N49" i="58"/>
  <c r="S49" i="58" s="1"/>
  <c r="E30" i="52"/>
  <c r="F30" i="52" s="1"/>
  <c r="J30" i="52" s="1"/>
  <c r="N33" i="58"/>
  <c r="S33" i="58" s="1"/>
  <c r="N33" i="57"/>
  <c r="N20" i="57"/>
  <c r="N20" i="58"/>
  <c r="S20" i="58" s="1"/>
  <c r="N23" i="57"/>
  <c r="N23" i="58"/>
  <c r="S23" i="58" s="1"/>
  <c r="E33" i="57"/>
  <c r="F33" i="57" s="1"/>
  <c r="J33" i="57" s="1"/>
  <c r="P33" i="57" s="1"/>
  <c r="P53" i="59"/>
  <c r="N53" i="59"/>
  <c r="N54" i="52"/>
  <c r="N54" i="53"/>
  <c r="S54" i="53" s="1"/>
  <c r="N27" i="59"/>
  <c r="E37" i="59"/>
  <c r="F37" i="59" s="1"/>
  <c r="J37" i="59" s="1"/>
  <c r="P37" i="59" s="1"/>
  <c r="E12" i="52"/>
  <c r="F12" i="52" s="1"/>
  <c r="J12" i="52" s="1"/>
  <c r="E36" i="52"/>
  <c r="F36" i="52" s="1"/>
  <c r="J36" i="52" s="1"/>
  <c r="E11" i="1"/>
  <c r="F11" i="1" s="1"/>
  <c r="J11" i="1" s="1"/>
  <c r="N15" i="60"/>
  <c r="N15" i="61"/>
  <c r="S15" i="61" s="1"/>
  <c r="N17" i="61"/>
  <c r="S17" i="61" s="1"/>
  <c r="N17" i="60"/>
  <c r="N32" i="60"/>
  <c r="N32" i="61"/>
  <c r="S32" i="61" s="1"/>
  <c r="N36" i="60"/>
  <c r="E15" i="60"/>
  <c r="F15" i="60" s="1"/>
  <c r="J15" i="60" s="1"/>
  <c r="P15" i="60" s="1"/>
  <c r="E30" i="60"/>
  <c r="F30" i="60" s="1"/>
  <c r="E36" i="60"/>
  <c r="F36" i="60" s="1"/>
  <c r="J36" i="60" s="1"/>
  <c r="P36" i="60" s="1"/>
  <c r="N34" i="57"/>
  <c r="P34" i="57"/>
  <c r="N34" i="58"/>
  <c r="S34" i="58" s="1"/>
  <c r="P47" i="52"/>
  <c r="N47" i="52"/>
  <c r="E33" i="59"/>
  <c r="F33" i="59" s="1"/>
  <c r="J33" i="59" s="1"/>
  <c r="P33" i="59" s="1"/>
  <c r="E48" i="59"/>
  <c r="F48" i="59" s="1"/>
  <c r="J48" i="59" s="1"/>
  <c r="P48" i="59" s="1"/>
  <c r="E23" i="52"/>
  <c r="F23" i="52" s="1"/>
  <c r="J23" i="52" s="1"/>
  <c r="P23" i="52" s="1"/>
  <c r="N8" i="53"/>
  <c r="S8" i="53" s="1"/>
  <c r="E14" i="52"/>
  <c r="F14" i="52" s="1"/>
  <c r="E24" i="52"/>
  <c r="F24" i="52" s="1"/>
  <c r="J24" i="52" s="1"/>
  <c r="P24" i="52" s="1"/>
  <c r="N35" i="52"/>
  <c r="N35" i="53"/>
  <c r="S35" i="53" s="1"/>
  <c r="P32" i="52"/>
  <c r="N32" i="52"/>
  <c r="N32" i="53"/>
  <c r="S32" i="53" s="1"/>
  <c r="N36" i="54"/>
  <c r="P36" i="54"/>
  <c r="N43" i="54"/>
  <c r="P43" i="54"/>
  <c r="P39" i="54"/>
  <c r="N39" i="54"/>
  <c r="N12" i="54"/>
  <c r="P12" i="54"/>
  <c r="N47" i="54"/>
  <c r="E33" i="54"/>
  <c r="F33" i="54" s="1"/>
  <c r="J33" i="54" s="1"/>
  <c r="P33" i="54" s="1"/>
  <c r="E49" i="54"/>
  <c r="F49" i="54" s="1"/>
  <c r="J49" i="54" s="1"/>
  <c r="P49" i="54" s="1"/>
  <c r="E22" i="59"/>
  <c r="F22" i="59" s="1"/>
  <c r="J22" i="59" s="1"/>
  <c r="E38" i="59"/>
  <c r="F38" i="59" s="1"/>
  <c r="J38" i="59" s="1"/>
  <c r="P38" i="59" s="1"/>
  <c r="E14" i="59"/>
  <c r="F14" i="59" s="1"/>
  <c r="J14" i="59" s="1"/>
  <c r="P14" i="59" s="1"/>
  <c r="G7" i="1"/>
  <c r="I7" i="1" s="1"/>
  <c r="G35" i="61"/>
  <c r="I35" i="61" s="1"/>
  <c r="G25" i="1"/>
  <c r="I25" i="1" s="1"/>
  <c r="G38" i="53"/>
  <c r="I38" i="53" s="1"/>
  <c r="G49" i="53"/>
  <c r="I49" i="53" s="1"/>
  <c r="G14" i="53"/>
  <c r="I14" i="53" s="1"/>
  <c r="G56" i="53"/>
  <c r="I56" i="53" s="1"/>
  <c r="G40" i="58"/>
  <c r="I40" i="58" s="1"/>
  <c r="G44" i="1"/>
  <c r="I44" i="1" s="1"/>
  <c r="E23" i="57"/>
  <c r="F23" i="57" s="1"/>
  <c r="J23" i="57" s="1"/>
  <c r="P23" i="57" s="1"/>
  <c r="N13" i="52"/>
  <c r="N13" i="53"/>
  <c r="S13" i="53" s="1"/>
  <c r="P38" i="52"/>
  <c r="N38" i="52"/>
  <c r="N38" i="53"/>
  <c r="S38" i="53" s="1"/>
  <c r="E35" i="52"/>
  <c r="F35" i="52" s="1"/>
  <c r="J35" i="52" s="1"/>
  <c r="P35" i="52" s="1"/>
  <c r="N20" i="52"/>
  <c r="N20" i="53"/>
  <c r="S20" i="53" s="1"/>
  <c r="E13" i="1"/>
  <c r="F13" i="1" s="1"/>
  <c r="J13" i="1" s="1"/>
  <c r="P54" i="54"/>
  <c r="N54" i="54"/>
  <c r="N30" i="54"/>
  <c r="P30" i="54"/>
  <c r="E27" i="54"/>
  <c r="F27" i="54" s="1"/>
  <c r="J27" i="54" s="1"/>
  <c r="P27" i="54" s="1"/>
  <c r="N16" i="54"/>
  <c r="P29" i="54"/>
  <c r="N29" i="54"/>
  <c r="N32" i="54"/>
  <c r="P32" i="54"/>
  <c r="N34" i="54"/>
  <c r="P34" i="54"/>
  <c r="P19" i="54"/>
  <c r="N19" i="54"/>
  <c r="N42" i="54"/>
  <c r="P42" i="54"/>
  <c r="P50" i="54"/>
  <c r="N50" i="54"/>
  <c r="N18" i="54"/>
  <c r="N13" i="54"/>
  <c r="P13" i="54"/>
  <c r="P56" i="54"/>
  <c r="N56" i="54"/>
  <c r="E26" i="54"/>
  <c r="F26" i="54" s="1"/>
  <c r="J26" i="54" s="1"/>
  <c r="P26" i="54" s="1"/>
  <c r="E25" i="54"/>
  <c r="F25" i="54" s="1"/>
  <c r="J25" i="54" s="1"/>
  <c r="P25" i="54" s="1"/>
  <c r="E24" i="54"/>
  <c r="F24" i="54" s="1"/>
  <c r="J24" i="54" s="1"/>
  <c r="P24" i="54" s="1"/>
  <c r="E18" i="54"/>
  <c r="F18" i="54" s="1"/>
  <c r="J18" i="54" s="1"/>
  <c r="P18" i="54" s="1"/>
  <c r="E41" i="54"/>
  <c r="F41" i="54" s="1"/>
  <c r="J41" i="54" s="1"/>
  <c r="P41" i="54" s="1"/>
  <c r="E31" i="54"/>
  <c r="F31" i="54" s="1"/>
  <c r="J31" i="54" s="1"/>
  <c r="P31" i="54" s="1"/>
  <c r="E51" i="54"/>
  <c r="F51" i="54" s="1"/>
  <c r="J51" i="54" s="1"/>
  <c r="P51" i="54" s="1"/>
  <c r="N48" i="59"/>
  <c r="P17" i="59"/>
  <c r="N17" i="59"/>
  <c r="P56" i="59"/>
  <c r="N56" i="59"/>
  <c r="E16" i="57"/>
  <c r="F16" i="57" s="1"/>
  <c r="J16" i="57" s="1"/>
  <c r="P16" i="57" s="1"/>
  <c r="P21" i="57"/>
  <c r="N21" i="57"/>
  <c r="N21" i="58"/>
  <c r="S21" i="58" s="1"/>
  <c r="P44" i="57"/>
  <c r="N44" i="57"/>
  <c r="N44" i="58"/>
  <c r="S44" i="58" s="1"/>
  <c r="E24" i="57"/>
  <c r="F24" i="57" s="1"/>
  <c r="J24" i="57" s="1"/>
  <c r="P24" i="57" s="1"/>
  <c r="N38" i="57"/>
  <c r="N38" i="58"/>
  <c r="S38" i="58" s="1"/>
  <c r="P38" i="57"/>
  <c r="E27" i="59"/>
  <c r="F27" i="59" s="1"/>
  <c r="J27" i="59" s="1"/>
  <c r="P27" i="59" s="1"/>
  <c r="S20" i="61"/>
  <c r="G41" i="53"/>
  <c r="I41" i="53" s="1"/>
  <c r="G24" i="1"/>
  <c r="I24" i="1" s="1"/>
  <c r="N17" i="53"/>
  <c r="S17" i="53" s="1"/>
  <c r="N17" i="52"/>
  <c r="P17" i="52"/>
  <c r="N39" i="57"/>
  <c r="N39" i="58"/>
  <c r="S39" i="58" s="1"/>
  <c r="P42" i="57"/>
  <c r="N42" i="57"/>
  <c r="N42" i="58"/>
  <c r="S42" i="58" s="1"/>
  <c r="E51" i="59"/>
  <c r="F51" i="59" s="1"/>
  <c r="J51" i="59" s="1"/>
  <c r="P51" i="59" s="1"/>
  <c r="E29" i="59"/>
  <c r="F29" i="59" s="1"/>
  <c r="J29" i="59" s="1"/>
  <c r="P29" i="59" s="1"/>
  <c r="G27" i="61"/>
  <c r="I27" i="61" s="1"/>
  <c r="S28" i="53"/>
  <c r="G16" i="53"/>
  <c r="I16" i="53" s="1"/>
  <c r="G40" i="1"/>
  <c r="I40" i="1" s="1"/>
  <c r="G35" i="53"/>
  <c r="I35" i="53" s="1"/>
  <c r="G18" i="53"/>
  <c r="I18" i="53" s="1"/>
  <c r="G13" i="53"/>
  <c r="I13" i="53" s="1"/>
  <c r="G46" i="53"/>
  <c r="I46" i="53" s="1"/>
  <c r="E7" i="53"/>
  <c r="F7" i="53" s="1"/>
  <c r="J7" i="53" s="1"/>
  <c r="P7" i="53" s="1"/>
  <c r="E52" i="55"/>
  <c r="F52" i="55" s="1"/>
  <c r="J52" i="55" s="1"/>
  <c r="P52" i="55" s="1"/>
  <c r="E50" i="52"/>
  <c r="F50" i="52" s="1"/>
  <c r="J50" i="52" s="1"/>
  <c r="P50" i="52" s="1"/>
  <c r="P30" i="52"/>
  <c r="N30" i="52"/>
  <c r="N30" i="53"/>
  <c r="S30" i="53" s="1"/>
  <c r="E52" i="52"/>
  <c r="F52" i="52" s="1"/>
  <c r="J52" i="52" s="1"/>
  <c r="P52" i="52" s="1"/>
  <c r="E18" i="52"/>
  <c r="F18" i="52" s="1"/>
  <c r="J18" i="52" s="1"/>
  <c r="P18" i="52" s="1"/>
  <c r="P39" i="52"/>
  <c r="N39" i="52"/>
  <c r="E37" i="52"/>
  <c r="F37" i="52" s="1"/>
  <c r="J37" i="52" s="1"/>
  <c r="P37" i="52" s="1"/>
  <c r="E10" i="1"/>
  <c r="F10" i="1" s="1"/>
  <c r="J10" i="1" s="1"/>
  <c r="P30" i="57"/>
  <c r="N30" i="58"/>
  <c r="S30" i="58" s="1"/>
  <c r="N30" i="57"/>
  <c r="P52" i="57"/>
  <c r="N52" i="57"/>
  <c r="N52" i="58"/>
  <c r="S52" i="58" s="1"/>
  <c r="N32" i="57"/>
  <c r="N32" i="58"/>
  <c r="S32" i="58" s="1"/>
  <c r="P19" i="57"/>
  <c r="N19" i="58"/>
  <c r="S19" i="58" s="1"/>
  <c r="N19" i="57"/>
  <c r="P45" i="57"/>
  <c r="N45" i="57"/>
  <c r="N45" i="58"/>
  <c r="S45" i="58" s="1"/>
  <c r="P18" i="57"/>
  <c r="N18" i="57"/>
  <c r="N18" i="58"/>
  <c r="S18" i="58" s="1"/>
  <c r="E46" i="57"/>
  <c r="F46" i="57" s="1"/>
  <c r="J46" i="57" s="1"/>
  <c r="P46" i="57" s="1"/>
  <c r="E32" i="57"/>
  <c r="F32" i="57" s="1"/>
  <c r="J32" i="57" s="1"/>
  <c r="P32" i="57" s="1"/>
  <c r="E54" i="57"/>
  <c r="F54" i="57" s="1"/>
  <c r="J54" i="57" s="1"/>
  <c r="P54" i="57" s="1"/>
  <c r="E20" i="57"/>
  <c r="F20" i="57" s="1"/>
  <c r="J20" i="57" s="1"/>
  <c r="P20" i="57" s="1"/>
  <c r="P25" i="57"/>
  <c r="N25" i="57"/>
  <c r="N25" i="58"/>
  <c r="S25" i="58" s="1"/>
  <c r="G37" i="61"/>
  <c r="I37" i="61" s="1"/>
  <c r="G24" i="61"/>
  <c r="I24" i="61" s="1"/>
  <c r="N28" i="59"/>
  <c r="P28" i="59"/>
  <c r="N23" i="59"/>
  <c r="N55" i="59"/>
  <c r="N41" i="59"/>
  <c r="P22" i="59"/>
  <c r="N22" i="59"/>
  <c r="E19" i="59"/>
  <c r="F19" i="59" s="1"/>
  <c r="J19" i="59" s="1"/>
  <c r="P19" i="59" s="1"/>
  <c r="E16" i="59"/>
  <c r="F16" i="59" s="1"/>
  <c r="J16" i="59" s="1"/>
  <c r="P16" i="59" s="1"/>
  <c r="G46" i="1"/>
  <c r="I46" i="1" s="1"/>
  <c r="G19" i="61"/>
  <c r="I19" i="61" s="1"/>
  <c r="G28" i="61"/>
  <c r="I28" i="61" s="1"/>
  <c r="G21" i="61"/>
  <c r="I21" i="61" s="1"/>
  <c r="G28" i="1"/>
  <c r="I28" i="1" s="1"/>
  <c r="G47" i="56"/>
  <c r="I47" i="56" s="1"/>
  <c r="G35" i="58"/>
  <c r="I35" i="58" s="1"/>
  <c r="G54" i="58"/>
  <c r="I54" i="58" s="1"/>
  <c r="G22" i="58"/>
  <c r="I22" i="58" s="1"/>
  <c r="E9" i="52"/>
  <c r="F9" i="52" s="1"/>
  <c r="J9" i="52" s="1"/>
  <c r="P9" i="52" s="1"/>
  <c r="N12" i="52"/>
  <c r="P12" i="52"/>
  <c r="N12" i="53"/>
  <c r="S12" i="53" s="1"/>
  <c r="E26" i="52"/>
  <c r="F26" i="52" s="1"/>
  <c r="J26" i="52" s="1"/>
  <c r="P26" i="52" s="1"/>
  <c r="N25" i="52"/>
  <c r="N25" i="53"/>
  <c r="S25" i="53" s="1"/>
  <c r="N36" i="52"/>
  <c r="N36" i="53"/>
  <c r="S36" i="53" s="1"/>
  <c r="P36" i="52"/>
  <c r="E38" i="1"/>
  <c r="F38" i="1" s="1"/>
  <c r="J38" i="1" s="1"/>
  <c r="N40" i="60"/>
  <c r="N40" i="61"/>
  <c r="S40" i="61" s="1"/>
  <c r="N35" i="60"/>
  <c r="N35" i="61"/>
  <c r="S35" i="61" s="1"/>
  <c r="N41" i="60"/>
  <c r="N41" i="61"/>
  <c r="S41" i="61" s="1"/>
  <c r="P41" i="60"/>
  <c r="N30" i="60"/>
  <c r="N28" i="61"/>
  <c r="S28" i="61" s="1"/>
  <c r="N28" i="60"/>
  <c r="N18" i="60"/>
  <c r="N18" i="61"/>
  <c r="S18" i="61" s="1"/>
  <c r="N14" i="60"/>
  <c r="L14" i="61"/>
  <c r="N14" i="61" s="1"/>
  <c r="N21" i="60"/>
  <c r="P21" i="60"/>
  <c r="N21" i="61"/>
  <c r="S21" i="61" s="1"/>
  <c r="E45" i="60"/>
  <c r="F45" i="60" s="1"/>
  <c r="J45" i="60" s="1"/>
  <c r="P45" i="60" s="1"/>
  <c r="N22" i="60"/>
  <c r="P22" i="60"/>
  <c r="N22" i="61"/>
  <c r="S22" i="61" s="1"/>
  <c r="N55" i="60"/>
  <c r="P55" i="60"/>
  <c r="N55" i="61"/>
  <c r="S55" i="61" s="1"/>
  <c r="E47" i="60"/>
  <c r="F47" i="60" s="1"/>
  <c r="J47" i="60" s="1"/>
  <c r="P47" i="60" s="1"/>
  <c r="E25" i="60"/>
  <c r="F25" i="60" s="1"/>
  <c r="J25" i="60" s="1"/>
  <c r="P25" i="60" s="1"/>
  <c r="E33" i="60"/>
  <c r="F33" i="60" s="1"/>
  <c r="J33" i="60" s="1"/>
  <c r="P33" i="60" s="1"/>
  <c r="E35" i="60"/>
  <c r="F35" i="60" s="1"/>
  <c r="J35" i="60" s="1"/>
  <c r="P35" i="60" s="1"/>
  <c r="E20" i="60"/>
  <c r="F20" i="60" s="1"/>
  <c r="J20" i="60" s="1"/>
  <c r="P20" i="60" s="1"/>
  <c r="E16" i="60"/>
  <c r="F16" i="60" s="1"/>
  <c r="J16" i="60" s="1"/>
  <c r="P16" i="60" s="1"/>
  <c r="E37" i="60"/>
  <c r="F37" i="60" s="1"/>
  <c r="J37" i="60" s="1"/>
  <c r="P37" i="60" s="1"/>
  <c r="E28" i="60"/>
  <c r="F28" i="60" s="1"/>
  <c r="J28" i="60" s="1"/>
  <c r="P28" i="60" s="1"/>
  <c r="E40" i="60"/>
  <c r="F40" i="60" s="1"/>
  <c r="J40" i="60" s="1"/>
  <c r="P40" i="60" s="1"/>
  <c r="N16" i="60"/>
  <c r="N16" i="61"/>
  <c r="S16" i="61" s="1"/>
  <c r="E44" i="60"/>
  <c r="F44" i="60" s="1"/>
  <c r="J44" i="60" s="1"/>
  <c r="P44" i="60" s="1"/>
  <c r="E48" i="60"/>
  <c r="F48" i="60" s="1"/>
  <c r="J48" i="60" s="1"/>
  <c r="P48" i="60" s="1"/>
  <c r="S48" i="60" s="1"/>
  <c r="N45" i="60"/>
  <c r="N45" i="61"/>
  <c r="S45" i="61" s="1"/>
  <c r="N31" i="59"/>
  <c r="P20" i="59"/>
  <c r="N20" i="59"/>
  <c r="N39" i="59"/>
  <c r="P39" i="59"/>
  <c r="L11" i="58"/>
  <c r="N11" i="58" s="1"/>
  <c r="N11" i="57"/>
  <c r="E27" i="57"/>
  <c r="F27" i="57" s="1"/>
  <c r="J27" i="57" s="1"/>
  <c r="P27" i="57" s="1"/>
  <c r="P41" i="57"/>
  <c r="N41" i="57"/>
  <c r="N41" i="58"/>
  <c r="S41" i="58" s="1"/>
  <c r="E46" i="59"/>
  <c r="F46" i="59" s="1"/>
  <c r="G52" i="61"/>
  <c r="I52" i="61" s="1"/>
  <c r="G55" i="61"/>
  <c r="I55" i="61" s="1"/>
  <c r="G40" i="53"/>
  <c r="I40" i="53" s="1"/>
  <c r="E48" i="52"/>
  <c r="F48" i="52" s="1"/>
  <c r="J48" i="52" s="1"/>
  <c r="P48" i="52" s="1"/>
  <c r="P7" i="52"/>
  <c r="N7" i="52"/>
  <c r="N7" i="53"/>
  <c r="E27" i="52"/>
  <c r="F27" i="52" s="1"/>
  <c r="J27" i="52" s="1"/>
  <c r="P27" i="52" s="1"/>
  <c r="E42" i="52"/>
  <c r="F42" i="52" s="1"/>
  <c r="J42" i="52" s="1"/>
  <c r="P42" i="52" s="1"/>
  <c r="P48" i="55"/>
  <c r="N48" i="55"/>
  <c r="N48" i="56"/>
  <c r="S48" i="56" s="1"/>
  <c r="N9" i="55"/>
  <c r="L9" i="56"/>
  <c r="N9" i="56" s="1"/>
  <c r="N28" i="55"/>
  <c r="N28" i="56"/>
  <c r="S28" i="56" s="1"/>
  <c r="P17" i="55"/>
  <c r="N17" i="55"/>
  <c r="N17" i="56"/>
  <c r="S17" i="56" s="1"/>
  <c r="N50" i="55"/>
  <c r="P50" i="55"/>
  <c r="N50" i="56"/>
  <c r="S50" i="56" s="1"/>
  <c r="N37" i="56"/>
  <c r="S37" i="56" s="1"/>
  <c r="N37" i="55"/>
  <c r="N33" i="55"/>
  <c r="N33" i="56"/>
  <c r="S33" i="56" s="1"/>
  <c r="N12" i="56"/>
  <c r="S12" i="56" s="1"/>
  <c r="N12" i="55"/>
  <c r="P12" i="55"/>
  <c r="N53" i="55"/>
  <c r="P53" i="55"/>
  <c r="N53" i="56"/>
  <c r="S53" i="56" s="1"/>
  <c r="P24" i="55"/>
  <c r="N24" i="55"/>
  <c r="N24" i="56"/>
  <c r="S24" i="56" s="1"/>
  <c r="P39" i="55"/>
  <c r="N39" i="56"/>
  <c r="S39" i="56" s="1"/>
  <c r="N39" i="55"/>
  <c r="N43" i="55"/>
  <c r="P43" i="55"/>
  <c r="N43" i="56"/>
  <c r="S43" i="56" s="1"/>
  <c r="E54" i="55"/>
  <c r="F54" i="55" s="1"/>
  <c r="J54" i="55" s="1"/>
  <c r="P54" i="55" s="1"/>
  <c r="E33" i="55"/>
  <c r="F33" i="55" s="1"/>
  <c r="E40" i="55"/>
  <c r="F40" i="55" s="1"/>
  <c r="J40" i="55" s="1"/>
  <c r="P40" i="55" s="1"/>
  <c r="E47" i="55"/>
  <c r="F47" i="55" s="1"/>
  <c r="E23" i="55"/>
  <c r="F23" i="55" s="1"/>
  <c r="J23" i="55" s="1"/>
  <c r="P23" i="55" s="1"/>
  <c r="E51" i="55"/>
  <c r="F51" i="55" s="1"/>
  <c r="E55" i="55"/>
  <c r="F55" i="55" s="1"/>
  <c r="E28" i="55"/>
  <c r="F28" i="55" s="1"/>
  <c r="E27" i="55"/>
  <c r="F27" i="55" s="1"/>
  <c r="J27" i="55" s="1"/>
  <c r="P27" i="55" s="1"/>
  <c r="E26" i="55"/>
  <c r="F26" i="55" s="1"/>
  <c r="C9" i="56"/>
  <c r="D9" i="56" s="1"/>
  <c r="D9" i="55"/>
  <c r="N51" i="59"/>
  <c r="N31" i="57"/>
  <c r="N31" i="58"/>
  <c r="S31" i="58" s="1"/>
  <c r="G15" i="57"/>
  <c r="I15" i="57" s="1"/>
  <c r="J25" i="59"/>
  <c r="P25" i="59" s="1"/>
  <c r="J52" i="59"/>
  <c r="P52" i="59" s="1"/>
  <c r="I32" i="59"/>
  <c r="J47" i="59"/>
  <c r="P47" i="59" s="1"/>
  <c r="J18" i="59"/>
  <c r="P18" i="59" s="1"/>
  <c r="G35" i="54" l="1"/>
  <c r="I35" i="54" s="1"/>
  <c r="G52" i="56"/>
  <c r="I52" i="56" s="1"/>
  <c r="G50" i="56"/>
  <c r="I50" i="56" s="1"/>
  <c r="S46" i="56"/>
  <c r="S52" i="56"/>
  <c r="S16" i="56"/>
  <c r="G36" i="1"/>
  <c r="I36" i="1" s="1"/>
  <c r="G33" i="1"/>
  <c r="I33" i="1" s="1"/>
  <c r="G34" i="56"/>
  <c r="I34" i="56" s="1"/>
  <c r="G31" i="55"/>
  <c r="I31" i="55" s="1"/>
  <c r="G17" i="54"/>
  <c r="I17" i="54" s="1"/>
  <c r="G21" i="52"/>
  <c r="I21" i="52" s="1"/>
  <c r="G40" i="52"/>
  <c r="I40" i="52" s="1"/>
  <c r="G52" i="55"/>
  <c r="I52" i="55" s="1"/>
  <c r="G40" i="55"/>
  <c r="I40" i="55" s="1"/>
  <c r="G19" i="57"/>
  <c r="I19" i="57" s="1"/>
  <c r="G42" i="54"/>
  <c r="I42" i="54" s="1"/>
  <c r="G55" i="60"/>
  <c r="I55" i="60" s="1"/>
  <c r="G40" i="54"/>
  <c r="I40" i="54" s="1"/>
  <c r="G46" i="55"/>
  <c r="I46" i="55" s="1"/>
  <c r="S33" i="59"/>
  <c r="S39" i="52"/>
  <c r="G29" i="59"/>
  <c r="I29" i="59" s="1"/>
  <c r="G29" i="55"/>
  <c r="I29" i="55" s="1"/>
  <c r="G29" i="60"/>
  <c r="I29" i="60" s="1"/>
  <c r="G28" i="59"/>
  <c r="I28" i="59" s="1"/>
  <c r="G49" i="57"/>
  <c r="I49" i="57" s="1"/>
  <c r="G14" i="55"/>
  <c r="I14" i="55" s="1"/>
  <c r="G54" i="52"/>
  <c r="I54" i="52" s="1"/>
  <c r="G43" i="57"/>
  <c r="I43" i="57" s="1"/>
  <c r="G50" i="55"/>
  <c r="I50" i="55" s="1"/>
  <c r="G54" i="55"/>
  <c r="I54" i="55" s="1"/>
  <c r="G16" i="59"/>
  <c r="I16" i="59" s="1"/>
  <c r="S52" i="57"/>
  <c r="G14" i="59"/>
  <c r="I14" i="59" s="1"/>
  <c r="G48" i="59"/>
  <c r="I48" i="59" s="1"/>
  <c r="G36" i="60"/>
  <c r="I36" i="60" s="1"/>
  <c r="G11" i="1"/>
  <c r="I11" i="1" s="1"/>
  <c r="S43" i="60"/>
  <c r="G56" i="52"/>
  <c r="I56" i="52" s="1"/>
  <c r="G55" i="54"/>
  <c r="I55" i="54" s="1"/>
  <c r="G22" i="54"/>
  <c r="I22" i="54" s="1"/>
  <c r="G41" i="60"/>
  <c r="I41" i="60" s="1"/>
  <c r="G23" i="60"/>
  <c r="I23" i="60" s="1"/>
  <c r="G45" i="57"/>
  <c r="I45" i="57" s="1"/>
  <c r="G36" i="54"/>
  <c r="I36" i="54" s="1"/>
  <c r="G54" i="54"/>
  <c r="I54" i="54" s="1"/>
  <c r="G44" i="59"/>
  <c r="I44" i="59" s="1"/>
  <c r="G17" i="57"/>
  <c r="I17" i="57" s="1"/>
  <c r="S12" i="55"/>
  <c r="S36" i="59"/>
  <c r="S47" i="52"/>
  <c r="S34" i="57"/>
  <c r="S17" i="60"/>
  <c r="S34" i="59"/>
  <c r="S44" i="59"/>
  <c r="G27" i="55"/>
  <c r="I27" i="55" s="1"/>
  <c r="G25" i="60"/>
  <c r="I25" i="60" s="1"/>
  <c r="S42" i="54"/>
  <c r="G21" i="57"/>
  <c r="I21" i="57" s="1"/>
  <c r="G9" i="52"/>
  <c r="I9" i="52" s="1"/>
  <c r="G10" i="1"/>
  <c r="I10" i="1" s="1"/>
  <c r="G16" i="54"/>
  <c r="I16" i="54" s="1"/>
  <c r="G36" i="55"/>
  <c r="I36" i="55" s="1"/>
  <c r="G55" i="52"/>
  <c r="I55" i="52" s="1"/>
  <c r="G26" i="57"/>
  <c r="I26" i="57" s="1"/>
  <c r="G34" i="60"/>
  <c r="I34" i="60" s="1"/>
  <c r="G42" i="60"/>
  <c r="I42" i="60" s="1"/>
  <c r="G40" i="59"/>
  <c r="I40" i="59" s="1"/>
  <c r="G31" i="52"/>
  <c r="I31" i="52" s="1"/>
  <c r="G39" i="59"/>
  <c r="I39" i="59" s="1"/>
  <c r="G20" i="54"/>
  <c r="I20" i="54" s="1"/>
  <c r="G42" i="57"/>
  <c r="I42" i="57" s="1"/>
  <c r="G11" i="55"/>
  <c r="I11" i="55" s="1"/>
  <c r="G21" i="54"/>
  <c r="I21" i="54" s="1"/>
  <c r="G39" i="55"/>
  <c r="I39" i="55" s="1"/>
  <c r="G44" i="55"/>
  <c r="I44" i="55" s="1"/>
  <c r="G24" i="60"/>
  <c r="I24" i="60" s="1"/>
  <c r="G25" i="57"/>
  <c r="I25" i="57" s="1"/>
  <c r="G51" i="52"/>
  <c r="I51" i="52" s="1"/>
  <c r="S25" i="57"/>
  <c r="S21" i="57"/>
  <c r="G26" i="54"/>
  <c r="I26" i="54" s="1"/>
  <c r="G12" i="52"/>
  <c r="I12" i="52" s="1"/>
  <c r="G15" i="52"/>
  <c r="I15" i="52" s="1"/>
  <c r="G35" i="1"/>
  <c r="I35" i="1" s="1"/>
  <c r="S10" i="54"/>
  <c r="G49" i="52"/>
  <c r="I49" i="52" s="1"/>
  <c r="G20" i="55"/>
  <c r="I20" i="55" s="1"/>
  <c r="G43" i="55"/>
  <c r="I43" i="55" s="1"/>
  <c r="G28" i="57"/>
  <c r="I28" i="57" s="1"/>
  <c r="S32" i="59"/>
  <c r="G12" i="54"/>
  <c r="I12" i="54" s="1"/>
  <c r="G14" i="57"/>
  <c r="I14" i="57" s="1"/>
  <c r="G33" i="52"/>
  <c r="I33" i="52" s="1"/>
  <c r="G19" i="54"/>
  <c r="I19" i="54" s="1"/>
  <c r="G52" i="54"/>
  <c r="I52" i="54" s="1"/>
  <c r="G38" i="52"/>
  <c r="I38" i="52" s="1"/>
  <c r="G10" i="54"/>
  <c r="I10" i="54" s="1"/>
  <c r="S43" i="55"/>
  <c r="S48" i="55"/>
  <c r="S7" i="53"/>
  <c r="S41" i="60"/>
  <c r="S18" i="57"/>
  <c r="S30" i="52"/>
  <c r="S43" i="54"/>
  <c r="S24" i="59"/>
  <c r="S50" i="54"/>
  <c r="S19" i="54"/>
  <c r="S16" i="54"/>
  <c r="S51" i="52"/>
  <c r="S32" i="55"/>
  <c r="G27" i="52"/>
  <c r="I27" i="52" s="1"/>
  <c r="G44" i="60"/>
  <c r="I44" i="60" s="1"/>
  <c r="S12" i="52"/>
  <c r="S22" i="59"/>
  <c r="G52" i="52"/>
  <c r="I52" i="52" s="1"/>
  <c r="G27" i="59"/>
  <c r="I27" i="59" s="1"/>
  <c r="S48" i="59"/>
  <c r="G31" i="54"/>
  <c r="I31" i="54" s="1"/>
  <c r="S34" i="54"/>
  <c r="G13" i="1"/>
  <c r="I13" i="1" s="1"/>
  <c r="G35" i="52"/>
  <c r="I35" i="52" s="1"/>
  <c r="G22" i="59"/>
  <c r="I22" i="59" s="1"/>
  <c r="G33" i="54"/>
  <c r="I33" i="54" s="1"/>
  <c r="S32" i="52"/>
  <c r="G42" i="55"/>
  <c r="I42" i="55" s="1"/>
  <c r="G16" i="55"/>
  <c r="I16" i="55" s="1"/>
  <c r="G34" i="57"/>
  <c r="I34" i="57" s="1"/>
  <c r="S21" i="52"/>
  <c r="G41" i="52"/>
  <c r="I41" i="52" s="1"/>
  <c r="S49" i="59"/>
  <c r="S30" i="59"/>
  <c r="G30" i="57"/>
  <c r="I30" i="57" s="1"/>
  <c r="G49" i="59"/>
  <c r="I49" i="59" s="1"/>
  <c r="G17" i="55"/>
  <c r="I17" i="55" s="1"/>
  <c r="G47" i="52"/>
  <c r="I47" i="52" s="1"/>
  <c r="G41" i="57"/>
  <c r="I41" i="57" s="1"/>
  <c r="S27" i="60"/>
  <c r="G14" i="1"/>
  <c r="I14" i="1" s="1"/>
  <c r="G39" i="52"/>
  <c r="I39" i="52" s="1"/>
  <c r="G53" i="54"/>
  <c r="I53" i="54" s="1"/>
  <c r="G48" i="57"/>
  <c r="I48" i="57" s="1"/>
  <c r="G48" i="55"/>
  <c r="I48" i="55" s="1"/>
  <c r="G30" i="59"/>
  <c r="I30" i="59" s="1"/>
  <c r="S17" i="54"/>
  <c r="G48" i="52"/>
  <c r="I48" i="52" s="1"/>
  <c r="G20" i="60"/>
  <c r="I20" i="60" s="1"/>
  <c r="G33" i="60"/>
  <c r="I33" i="60" s="1"/>
  <c r="G51" i="54"/>
  <c r="I51" i="54" s="1"/>
  <c r="S36" i="54"/>
  <c r="S53" i="57"/>
  <c r="G55" i="57"/>
  <c r="I55" i="57" s="1"/>
  <c r="G12" i="57"/>
  <c r="I12" i="57" s="1"/>
  <c r="G38" i="57"/>
  <c r="I38" i="57" s="1"/>
  <c r="S53" i="52"/>
  <c r="G38" i="60"/>
  <c r="I38" i="60" s="1"/>
  <c r="G23" i="55"/>
  <c r="I23" i="55" s="1"/>
  <c r="S39" i="59"/>
  <c r="G48" i="60"/>
  <c r="I48" i="60" s="1"/>
  <c r="G37" i="60"/>
  <c r="I37" i="60" s="1"/>
  <c r="G35" i="60"/>
  <c r="I35" i="60" s="1"/>
  <c r="G38" i="1"/>
  <c r="I38" i="1" s="1"/>
  <c r="S19" i="57"/>
  <c r="S17" i="52"/>
  <c r="G18" i="54"/>
  <c r="I18" i="54" s="1"/>
  <c r="S38" i="52"/>
  <c r="G49" i="54"/>
  <c r="I49" i="54" s="1"/>
  <c r="G23" i="52"/>
  <c r="I23" i="52" s="1"/>
  <c r="G33" i="59"/>
  <c r="I33" i="59" s="1"/>
  <c r="G37" i="59"/>
  <c r="I37" i="59" s="1"/>
  <c r="G6" i="1"/>
  <c r="I6" i="1" s="1"/>
  <c r="S10" i="55"/>
  <c r="G17" i="60"/>
  <c r="I17" i="60" s="1"/>
  <c r="S34" i="60"/>
  <c r="G21" i="55"/>
  <c r="I21" i="55" s="1"/>
  <c r="S47" i="57"/>
  <c r="G23" i="1"/>
  <c r="I23" i="1" s="1"/>
  <c r="G53" i="57"/>
  <c r="I53" i="57" s="1"/>
  <c r="G45" i="52"/>
  <c r="I45" i="52" s="1"/>
  <c r="G15" i="54"/>
  <c r="I15" i="54" s="1"/>
  <c r="G11" i="54"/>
  <c r="I11" i="54" s="1"/>
  <c r="G56" i="54"/>
  <c r="I56" i="54" s="1"/>
  <c r="G54" i="60"/>
  <c r="I54" i="60" s="1"/>
  <c r="G29" i="54"/>
  <c r="I29" i="54" s="1"/>
  <c r="S14" i="54"/>
  <c r="S8" i="52"/>
  <c r="G35" i="55"/>
  <c r="I35" i="55" s="1"/>
  <c r="G32" i="55"/>
  <c r="I32" i="55" s="1"/>
  <c r="G30" i="55"/>
  <c r="I30" i="55" s="1"/>
  <c r="G22" i="60"/>
  <c r="I22" i="60" s="1"/>
  <c r="G38" i="54"/>
  <c r="I38" i="54" s="1"/>
  <c r="G48" i="54"/>
  <c r="I48" i="54" s="1"/>
  <c r="S44" i="54"/>
  <c r="G8" i="52"/>
  <c r="I8" i="52" s="1"/>
  <c r="G27" i="60"/>
  <c r="I27" i="60" s="1"/>
  <c r="G17" i="52"/>
  <c r="I17" i="52" s="1"/>
  <c r="G13" i="54"/>
  <c r="I13" i="54" s="1"/>
  <c r="G32" i="54"/>
  <c r="I32" i="54" s="1"/>
  <c r="G46" i="52"/>
  <c r="I46" i="52" s="1"/>
  <c r="J28" i="55"/>
  <c r="P28" i="55" s="1"/>
  <c r="S28" i="55" s="1"/>
  <c r="G28" i="55"/>
  <c r="I28" i="55" s="1"/>
  <c r="J33" i="55"/>
  <c r="P33" i="55" s="1"/>
  <c r="S33" i="55" s="1"/>
  <c r="G33" i="55"/>
  <c r="I33" i="55" s="1"/>
  <c r="J46" i="59"/>
  <c r="P46" i="59" s="1"/>
  <c r="S46" i="59" s="1"/>
  <c r="G46" i="59"/>
  <c r="I46" i="59" s="1"/>
  <c r="E9" i="55"/>
  <c r="F9" i="55" s="1"/>
  <c r="J9" i="55" s="1"/>
  <c r="P9" i="55" s="1"/>
  <c r="J55" i="55"/>
  <c r="P55" i="55" s="1"/>
  <c r="G55" i="55"/>
  <c r="I55" i="55" s="1"/>
  <c r="J26" i="55"/>
  <c r="P26" i="55" s="1"/>
  <c r="S26" i="55" s="1"/>
  <c r="G26" i="55"/>
  <c r="I26" i="55" s="1"/>
  <c r="J47" i="55"/>
  <c r="P47" i="55" s="1"/>
  <c r="G47" i="55"/>
  <c r="I47" i="55" s="1"/>
  <c r="J51" i="55"/>
  <c r="P51" i="55" s="1"/>
  <c r="S51" i="55" s="1"/>
  <c r="G51" i="55"/>
  <c r="I51" i="55" s="1"/>
  <c r="S51" i="59"/>
  <c r="G42" i="52"/>
  <c r="I42" i="52" s="1"/>
  <c r="S41" i="57"/>
  <c r="S35" i="60"/>
  <c r="S36" i="52"/>
  <c r="G26" i="52"/>
  <c r="I26" i="52" s="1"/>
  <c r="G20" i="57"/>
  <c r="I20" i="57" s="1"/>
  <c r="G32" i="57"/>
  <c r="I32" i="57" s="1"/>
  <c r="S45" i="57"/>
  <c r="G37" i="52"/>
  <c r="I37" i="52" s="1"/>
  <c r="G18" i="52"/>
  <c r="I18" i="52" s="1"/>
  <c r="G51" i="59"/>
  <c r="I51" i="59" s="1"/>
  <c r="G24" i="57"/>
  <c r="I24" i="57" s="1"/>
  <c r="G16" i="57"/>
  <c r="I16" i="57" s="1"/>
  <c r="S18" i="54"/>
  <c r="J30" i="60"/>
  <c r="P30" i="60" s="1"/>
  <c r="S30" i="60" s="1"/>
  <c r="G30" i="60"/>
  <c r="I30" i="60" s="1"/>
  <c r="G5" i="52"/>
  <c r="I5" i="52" s="1"/>
  <c r="S26" i="54"/>
  <c r="S11" i="52"/>
  <c r="J41" i="55"/>
  <c r="P41" i="55" s="1"/>
  <c r="G41" i="55"/>
  <c r="I41" i="55" s="1"/>
  <c r="G34" i="55"/>
  <c r="I34" i="55" s="1"/>
  <c r="J28" i="52"/>
  <c r="P28" i="52" s="1"/>
  <c r="S28" i="52" s="1"/>
  <c r="G28" i="52"/>
  <c r="I28" i="52" s="1"/>
  <c r="J50" i="60"/>
  <c r="P50" i="60" s="1"/>
  <c r="S50" i="60" s="1"/>
  <c r="G50" i="60"/>
  <c r="I50" i="60" s="1"/>
  <c r="J40" i="57"/>
  <c r="P40" i="57" s="1"/>
  <c r="G40" i="57"/>
  <c r="I40" i="57" s="1"/>
  <c r="S38" i="59"/>
  <c r="S22" i="57"/>
  <c r="S11" i="54"/>
  <c r="J47" i="54"/>
  <c r="P47" i="54" s="1"/>
  <c r="S47" i="54" s="1"/>
  <c r="G47" i="54"/>
  <c r="I47" i="54" s="1"/>
  <c r="J55" i="59"/>
  <c r="P55" i="59" s="1"/>
  <c r="S55" i="59" s="1"/>
  <c r="G55" i="59"/>
  <c r="I55" i="59" s="1"/>
  <c r="S34" i="55"/>
  <c r="J51" i="60"/>
  <c r="P51" i="60" s="1"/>
  <c r="S51" i="60" s="1"/>
  <c r="G51" i="60"/>
  <c r="I51" i="60" s="1"/>
  <c r="S54" i="60"/>
  <c r="J31" i="59"/>
  <c r="P31" i="59" s="1"/>
  <c r="S31" i="59" s="1"/>
  <c r="G31" i="59"/>
  <c r="I31" i="59" s="1"/>
  <c r="S35" i="57"/>
  <c r="S31" i="52"/>
  <c r="J15" i="59"/>
  <c r="P15" i="59" s="1"/>
  <c r="G15" i="59"/>
  <c r="I15" i="59" s="1"/>
  <c r="S45" i="52"/>
  <c r="S17" i="55"/>
  <c r="S7" i="52"/>
  <c r="S20" i="59"/>
  <c r="G28" i="60"/>
  <c r="I28" i="60" s="1"/>
  <c r="G16" i="60"/>
  <c r="I16" i="60" s="1"/>
  <c r="S17" i="59"/>
  <c r="G41" i="54"/>
  <c r="I41" i="54" s="1"/>
  <c r="G24" i="54"/>
  <c r="I24" i="54" s="1"/>
  <c r="J14" i="52"/>
  <c r="P14" i="52" s="1"/>
  <c r="G14" i="52"/>
  <c r="I14" i="52" s="1"/>
  <c r="S23" i="57"/>
  <c r="S33" i="57"/>
  <c r="E13" i="60"/>
  <c r="F13" i="60" s="1"/>
  <c r="J13" i="60" s="1"/>
  <c r="J46" i="54"/>
  <c r="P46" i="54" s="1"/>
  <c r="G46" i="54"/>
  <c r="I46" i="54" s="1"/>
  <c r="J22" i="55"/>
  <c r="P22" i="55" s="1"/>
  <c r="S22" i="55" s="1"/>
  <c r="G22" i="55"/>
  <c r="I22" i="55" s="1"/>
  <c r="S48" i="52"/>
  <c r="J46" i="60"/>
  <c r="P46" i="60" s="1"/>
  <c r="S46" i="60" s="1"/>
  <c r="G46" i="60"/>
  <c r="I46" i="60" s="1"/>
  <c r="J39" i="60"/>
  <c r="P39" i="60" s="1"/>
  <c r="G39" i="60"/>
  <c r="I39" i="60" s="1"/>
  <c r="J56" i="1"/>
  <c r="G56" i="1"/>
  <c r="I56" i="1" s="1"/>
  <c r="J34" i="52"/>
  <c r="P34" i="52" s="1"/>
  <c r="G34" i="52"/>
  <c r="I34" i="52" s="1"/>
  <c r="J32" i="60"/>
  <c r="P32" i="60" s="1"/>
  <c r="S32" i="60" s="1"/>
  <c r="G32" i="60"/>
  <c r="I32" i="60" s="1"/>
  <c r="S33" i="60"/>
  <c r="J37" i="54"/>
  <c r="P37" i="54" s="1"/>
  <c r="S37" i="54" s="1"/>
  <c r="G37" i="54"/>
  <c r="I37" i="54" s="1"/>
  <c r="J20" i="52"/>
  <c r="P20" i="52" s="1"/>
  <c r="S20" i="52" s="1"/>
  <c r="G20" i="52"/>
  <c r="I20" i="52" s="1"/>
  <c r="J56" i="60"/>
  <c r="P56" i="60" s="1"/>
  <c r="G56" i="60"/>
  <c r="I56" i="60" s="1"/>
  <c r="J25" i="52"/>
  <c r="P25" i="52" s="1"/>
  <c r="S25" i="52" s="1"/>
  <c r="G25" i="52"/>
  <c r="I25" i="52" s="1"/>
  <c r="S16" i="59"/>
  <c r="S13" i="57"/>
  <c r="S16" i="60"/>
  <c r="S22" i="60"/>
  <c r="S28" i="60"/>
  <c r="S40" i="60"/>
  <c r="S28" i="59"/>
  <c r="S13" i="54"/>
  <c r="S32" i="54"/>
  <c r="S30" i="54"/>
  <c r="S12" i="54"/>
  <c r="S35" i="52"/>
  <c r="G15" i="60"/>
  <c r="I15" i="60" s="1"/>
  <c r="S15" i="60"/>
  <c r="G36" i="52"/>
  <c r="I36" i="52" s="1"/>
  <c r="S54" i="52"/>
  <c r="G33" i="57"/>
  <c r="I33" i="57" s="1"/>
  <c r="S23" i="54"/>
  <c r="J13" i="55"/>
  <c r="P13" i="55" s="1"/>
  <c r="S13" i="55" s="1"/>
  <c r="G13" i="55"/>
  <c r="I13" i="55" s="1"/>
  <c r="J49" i="55"/>
  <c r="P49" i="55" s="1"/>
  <c r="S49" i="55" s="1"/>
  <c r="G49" i="55"/>
  <c r="I49" i="55" s="1"/>
  <c r="S55" i="55"/>
  <c r="S44" i="52"/>
  <c r="J56" i="57"/>
  <c r="P56" i="57" s="1"/>
  <c r="S56" i="57" s="1"/>
  <c r="G56" i="57"/>
  <c r="I56" i="57" s="1"/>
  <c r="S27" i="57"/>
  <c r="G31" i="60"/>
  <c r="I31" i="60" s="1"/>
  <c r="G21" i="60"/>
  <c r="I21" i="60" s="1"/>
  <c r="J49" i="60"/>
  <c r="P49" i="60" s="1"/>
  <c r="S49" i="60" s="1"/>
  <c r="G49" i="60"/>
  <c r="I49" i="60" s="1"/>
  <c r="J7" i="54"/>
  <c r="G7" i="54"/>
  <c r="I7" i="54" s="1"/>
  <c r="J31" i="57"/>
  <c r="P31" i="57" s="1"/>
  <c r="S31" i="57" s="1"/>
  <c r="G31" i="57"/>
  <c r="I31" i="57" s="1"/>
  <c r="J18" i="60"/>
  <c r="P18" i="60" s="1"/>
  <c r="S18" i="60" s="1"/>
  <c r="G18" i="60"/>
  <c r="I18" i="60" s="1"/>
  <c r="J16" i="52"/>
  <c r="P16" i="52" s="1"/>
  <c r="S16" i="52" s="1"/>
  <c r="G16" i="52"/>
  <c r="I16" i="52" s="1"/>
  <c r="J36" i="57"/>
  <c r="P36" i="57" s="1"/>
  <c r="G36" i="57"/>
  <c r="I36" i="57" s="1"/>
  <c r="J39" i="57"/>
  <c r="P39" i="57" s="1"/>
  <c r="S39" i="57" s="1"/>
  <c r="G39" i="57"/>
  <c r="I39" i="57" s="1"/>
  <c r="E9" i="56"/>
  <c r="F9" i="56" s="1"/>
  <c r="J9" i="56" s="1"/>
  <c r="S39" i="55"/>
  <c r="S24" i="55"/>
  <c r="S53" i="55"/>
  <c r="S50" i="55"/>
  <c r="S9" i="55"/>
  <c r="G27" i="57"/>
  <c r="I27" i="57" s="1"/>
  <c r="S45" i="60"/>
  <c r="G40" i="60"/>
  <c r="I40" i="60" s="1"/>
  <c r="G47" i="60"/>
  <c r="I47" i="60" s="1"/>
  <c r="S55" i="60"/>
  <c r="G45" i="60"/>
  <c r="I45" i="60" s="1"/>
  <c r="S21" i="60"/>
  <c r="G19" i="59"/>
  <c r="I19" i="59" s="1"/>
  <c r="S23" i="59"/>
  <c r="G54" i="57"/>
  <c r="I54" i="57" s="1"/>
  <c r="G46" i="57"/>
  <c r="I46" i="57" s="1"/>
  <c r="S32" i="57"/>
  <c r="S30" i="57"/>
  <c r="G50" i="52"/>
  <c r="I50" i="52" s="1"/>
  <c r="G7" i="53"/>
  <c r="S42" i="57"/>
  <c r="S38" i="57"/>
  <c r="S44" i="57"/>
  <c r="S56" i="59"/>
  <c r="G25" i="54"/>
  <c r="I25" i="54" s="1"/>
  <c r="S56" i="54"/>
  <c r="S29" i="54"/>
  <c r="G27" i="54"/>
  <c r="I27" i="54" s="1"/>
  <c r="S54" i="54"/>
  <c r="G23" i="57"/>
  <c r="I23" i="57" s="1"/>
  <c r="G38" i="59"/>
  <c r="I38" i="59" s="1"/>
  <c r="S39" i="54"/>
  <c r="G24" i="52"/>
  <c r="I24" i="52" s="1"/>
  <c r="S36" i="60"/>
  <c r="S27" i="59"/>
  <c r="G30" i="52"/>
  <c r="I30" i="52" s="1"/>
  <c r="G22" i="57"/>
  <c r="I22" i="57" s="1"/>
  <c r="S16" i="57"/>
  <c r="S38" i="54"/>
  <c r="J26" i="1"/>
  <c r="G26" i="1"/>
  <c r="I26" i="1" s="1"/>
  <c r="J13" i="52"/>
  <c r="P13" i="52" s="1"/>
  <c r="S13" i="52" s="1"/>
  <c r="G13" i="52"/>
  <c r="I13" i="52" s="1"/>
  <c r="J37" i="55"/>
  <c r="P37" i="55" s="1"/>
  <c r="S37" i="55" s="1"/>
  <c r="G37" i="55"/>
  <c r="I37" i="55" s="1"/>
  <c r="G38" i="55"/>
  <c r="I38" i="55" s="1"/>
  <c r="S14" i="55"/>
  <c r="S23" i="55"/>
  <c r="J41" i="59"/>
  <c r="P41" i="59" s="1"/>
  <c r="S41" i="59" s="1"/>
  <c r="G41" i="59"/>
  <c r="I41" i="59" s="1"/>
  <c r="E6" i="52"/>
  <c r="F6" i="52" s="1"/>
  <c r="J6" i="52" s="1"/>
  <c r="P6" i="52" s="1"/>
  <c r="S6" i="52" s="1"/>
  <c r="S26" i="52"/>
  <c r="J54" i="59"/>
  <c r="P54" i="59" s="1"/>
  <c r="G54" i="59"/>
  <c r="I54" i="59" s="1"/>
  <c r="J26" i="60"/>
  <c r="P26" i="60" s="1"/>
  <c r="S26" i="60" s="1"/>
  <c r="G26" i="60"/>
  <c r="I26" i="60" s="1"/>
  <c r="S54" i="59"/>
  <c r="S14" i="59"/>
  <c r="J26" i="59"/>
  <c r="P26" i="59" s="1"/>
  <c r="S26" i="59" s="1"/>
  <c r="G26" i="59"/>
  <c r="I26" i="59" s="1"/>
  <c r="S23" i="52"/>
  <c r="S25" i="60"/>
  <c r="G50" i="57"/>
  <c r="I50" i="57" s="1"/>
  <c r="S15" i="59"/>
  <c r="S37" i="57"/>
  <c r="S50" i="52"/>
  <c r="S21" i="59"/>
  <c r="E8" i="55"/>
  <c r="F8" i="55" s="1"/>
  <c r="J8" i="55" s="1"/>
  <c r="S31" i="54"/>
  <c r="S42" i="60"/>
  <c r="S23" i="60"/>
  <c r="S15" i="54"/>
  <c r="S46" i="55"/>
  <c r="S54" i="55"/>
  <c r="S20" i="55"/>
  <c r="S31" i="55"/>
  <c r="S26" i="57"/>
  <c r="E11" i="57"/>
  <c r="F11" i="57" s="1"/>
  <c r="J11" i="57" s="1"/>
  <c r="P11" i="57" s="1"/>
  <c r="S11" i="57" s="1"/>
  <c r="E14" i="60"/>
  <c r="F14" i="60" s="1"/>
  <c r="J14" i="60" s="1"/>
  <c r="P14" i="60" s="1"/>
  <c r="S14" i="60" s="1"/>
  <c r="S47" i="60"/>
  <c r="S15" i="52"/>
  <c r="S50" i="57"/>
  <c r="S29" i="59"/>
  <c r="S37" i="59"/>
  <c r="S56" i="52"/>
  <c r="S36" i="57"/>
  <c r="S54" i="57"/>
  <c r="S40" i="57"/>
  <c r="S14" i="57"/>
  <c r="S18" i="52"/>
  <c r="S47" i="59"/>
  <c r="S9" i="54"/>
  <c r="S49" i="54"/>
  <c r="G56" i="55"/>
  <c r="I56" i="55" s="1"/>
  <c r="S27" i="55"/>
  <c r="S55" i="52"/>
  <c r="S37" i="60"/>
  <c r="G43" i="52"/>
  <c r="I43" i="52" s="1"/>
  <c r="S34" i="52"/>
  <c r="S43" i="59"/>
  <c r="G18" i="57"/>
  <c r="I18" i="57" s="1"/>
  <c r="G25" i="55"/>
  <c r="I25" i="55" s="1"/>
  <c r="S29" i="57"/>
  <c r="S51" i="54"/>
  <c r="G34" i="59"/>
  <c r="I34" i="59" s="1"/>
  <c r="G44" i="54"/>
  <c r="I44" i="54" s="1"/>
  <c r="G50" i="54"/>
  <c r="I50" i="54" s="1"/>
  <c r="G32" i="52"/>
  <c r="I32" i="52" s="1"/>
  <c r="G50" i="59"/>
  <c r="I50" i="59" s="1"/>
  <c r="S53" i="59"/>
  <c r="S20" i="57"/>
  <c r="S49" i="57"/>
  <c r="E13" i="59"/>
  <c r="F13" i="59" s="1"/>
  <c r="J13" i="59" s="1"/>
  <c r="P13" i="59" s="1"/>
  <c r="S13" i="59" s="1"/>
  <c r="S28" i="57"/>
  <c r="S30" i="55"/>
  <c r="S25" i="55"/>
  <c r="S29" i="55"/>
  <c r="S38" i="55"/>
  <c r="S47" i="55"/>
  <c r="S27" i="52"/>
  <c r="S31" i="60"/>
  <c r="S53" i="60"/>
  <c r="S56" i="60"/>
  <c r="E6" i="53"/>
  <c r="F6" i="53" s="1"/>
  <c r="J6" i="53" s="1"/>
  <c r="S43" i="52"/>
  <c r="G35" i="57"/>
  <c r="I35" i="57" s="1"/>
  <c r="S17" i="57"/>
  <c r="S48" i="57"/>
  <c r="S12" i="57"/>
  <c r="S52" i="52"/>
  <c r="E8" i="54"/>
  <c r="F8" i="54" s="1"/>
  <c r="J8" i="54" s="1"/>
  <c r="P8" i="54" s="1"/>
  <c r="S8" i="54" s="1"/>
  <c r="G45" i="54"/>
  <c r="I45" i="54" s="1"/>
  <c r="S41" i="54"/>
  <c r="S22" i="54"/>
  <c r="S24" i="54"/>
  <c r="S46" i="52"/>
  <c r="G19" i="60"/>
  <c r="I19" i="60" s="1"/>
  <c r="S50" i="59"/>
  <c r="S51" i="57"/>
  <c r="S45" i="54"/>
  <c r="G19" i="55"/>
  <c r="I19" i="55" s="1"/>
  <c r="S19" i="55"/>
  <c r="G53" i="52"/>
  <c r="I53" i="52" s="1"/>
  <c r="S42" i="52"/>
  <c r="G7" i="52"/>
  <c r="I7" i="52" s="1"/>
  <c r="S40" i="59"/>
  <c r="S20" i="60"/>
  <c r="S38" i="60"/>
  <c r="S44" i="60"/>
  <c r="S9" i="52"/>
  <c r="G36" i="59"/>
  <c r="I36" i="59" s="1"/>
  <c r="G43" i="54"/>
  <c r="I43" i="54" s="1"/>
  <c r="G28" i="54"/>
  <c r="I28" i="54" s="1"/>
  <c r="S25" i="54"/>
  <c r="S35" i="54"/>
  <c r="S27" i="54"/>
  <c r="S40" i="54"/>
  <c r="S53" i="54"/>
  <c r="S55" i="54"/>
  <c r="S24" i="52"/>
  <c r="G43" i="59"/>
  <c r="I43" i="59" s="1"/>
  <c r="G45" i="55"/>
  <c r="I45" i="55" s="1"/>
  <c r="G24" i="55"/>
  <c r="I24" i="55" s="1"/>
  <c r="G15" i="55"/>
  <c r="I15" i="55" s="1"/>
  <c r="G12" i="55"/>
  <c r="I12" i="55" s="1"/>
  <c r="G53" i="55"/>
  <c r="I53" i="55" s="1"/>
  <c r="S45" i="55"/>
  <c r="S21" i="55"/>
  <c r="G44" i="52"/>
  <c r="I44" i="52" s="1"/>
  <c r="S39" i="60"/>
  <c r="G37" i="57"/>
  <c r="I37" i="57" s="1"/>
  <c r="S42" i="59"/>
  <c r="S25" i="59"/>
  <c r="G30" i="54"/>
  <c r="I30" i="54" s="1"/>
  <c r="G14" i="54"/>
  <c r="I14" i="54" s="1"/>
  <c r="G17" i="1"/>
  <c r="I17" i="1" s="1"/>
  <c r="S10" i="52"/>
  <c r="S24" i="57"/>
  <c r="S18" i="59"/>
  <c r="S49" i="52"/>
  <c r="S35" i="55"/>
  <c r="S41" i="55"/>
  <c r="S36" i="55"/>
  <c r="S16" i="55"/>
  <c r="S35" i="59"/>
  <c r="S28" i="54"/>
  <c r="S48" i="54"/>
  <c r="S41" i="52"/>
  <c r="S33" i="52"/>
  <c r="S19" i="52"/>
  <c r="S52" i="59"/>
  <c r="S46" i="54"/>
  <c r="S29" i="60"/>
  <c r="S52" i="60"/>
  <c r="S55" i="57"/>
  <c r="S45" i="59"/>
  <c r="S22" i="52"/>
  <c r="G13" i="57"/>
  <c r="I13" i="57" s="1"/>
  <c r="S21" i="54"/>
  <c r="G23" i="59"/>
  <c r="I23" i="59" s="1"/>
  <c r="S24" i="60"/>
  <c r="S43" i="57"/>
  <c r="G51" i="1"/>
  <c r="I51" i="1" s="1"/>
  <c r="G23" i="54"/>
  <c r="I23" i="54" s="1"/>
  <c r="G53" i="59"/>
  <c r="I53" i="59" s="1"/>
  <c r="S18" i="55"/>
  <c r="S40" i="55"/>
  <c r="S56" i="55"/>
  <c r="S44" i="55"/>
  <c r="G24" i="59"/>
  <c r="I24" i="59" s="1"/>
  <c r="E11" i="58"/>
  <c r="F11" i="58" s="1"/>
  <c r="J11" i="58" s="1"/>
  <c r="S19" i="59"/>
  <c r="G43" i="60"/>
  <c r="I43" i="60" s="1"/>
  <c r="G53" i="60"/>
  <c r="I53" i="60" s="1"/>
  <c r="E14" i="61"/>
  <c r="F14" i="61" s="1"/>
  <c r="J14" i="61" s="1"/>
  <c r="G52" i="60"/>
  <c r="I52" i="60" s="1"/>
  <c r="S19" i="60"/>
  <c r="G9" i="1"/>
  <c r="I9" i="1" s="1"/>
  <c r="G51" i="57"/>
  <c r="I51" i="57" s="1"/>
  <c r="G42" i="59"/>
  <c r="I42" i="59" s="1"/>
  <c r="G47" i="57"/>
  <c r="I47" i="57" s="1"/>
  <c r="S46" i="57"/>
  <c r="S37" i="52"/>
  <c r="G19" i="52"/>
  <c r="I19" i="52" s="1"/>
  <c r="G35" i="59"/>
  <c r="I35" i="59" s="1"/>
  <c r="G10" i="52"/>
  <c r="I10" i="52" s="1"/>
  <c r="G5" i="1"/>
  <c r="G29" i="57"/>
  <c r="I29" i="57" s="1"/>
  <c r="G34" i="54"/>
  <c r="I34" i="54" s="1"/>
  <c r="G9" i="54"/>
  <c r="I9" i="54" s="1"/>
  <c r="S20" i="54"/>
  <c r="G11" i="52"/>
  <c r="I11" i="52" s="1"/>
  <c r="G29" i="52"/>
  <c r="I29" i="52" s="1"/>
  <c r="S14" i="52"/>
  <c r="G20" i="59"/>
  <c r="I20" i="59" s="1"/>
  <c r="G10" i="55"/>
  <c r="I10" i="55" s="1"/>
  <c r="S52" i="55"/>
  <c r="S11" i="55"/>
  <c r="S15" i="55"/>
  <c r="S42" i="55"/>
  <c r="S40" i="52"/>
  <c r="G44" i="57"/>
  <c r="I44" i="57" s="1"/>
  <c r="G39" i="54"/>
  <c r="I39" i="54" s="1"/>
  <c r="S33" i="54"/>
  <c r="S29" i="52"/>
  <c r="G22" i="52"/>
  <c r="I22" i="52" s="1"/>
  <c r="S52" i="54"/>
  <c r="G9" i="56" l="1"/>
  <c r="I9" i="56" s="1"/>
  <c r="G9" i="55"/>
  <c r="I9" i="55" s="1"/>
  <c r="G6" i="52"/>
  <c r="G13" i="60"/>
  <c r="I13" i="60" s="1"/>
  <c r="T2" i="59"/>
  <c r="T2" i="57"/>
  <c r="T39" i="57" s="1"/>
  <c r="Q5" i="52"/>
  <c r="S5" i="52" s="1"/>
  <c r="T2" i="52" s="1"/>
  <c r="T35" i="52" s="1"/>
  <c r="I5" i="1"/>
  <c r="G8" i="54"/>
  <c r="G6" i="53"/>
  <c r="I6" i="53" s="1"/>
  <c r="G11" i="57"/>
  <c r="G8" i="55"/>
  <c r="I8" i="55" s="1"/>
  <c r="G13" i="59"/>
  <c r="Q6" i="53"/>
  <c r="S6" i="53" s="1"/>
  <c r="I6" i="52"/>
  <c r="G14" i="61"/>
  <c r="I14" i="61" s="1"/>
  <c r="G11" i="58"/>
  <c r="I11" i="58" s="1"/>
  <c r="G14" i="60"/>
  <c r="I7" i="53"/>
  <c r="Q7" i="54"/>
  <c r="S7" i="54" s="1"/>
  <c r="Q9" i="56" l="1"/>
  <c r="S9" i="56" s="1"/>
  <c r="T31" i="52"/>
  <c r="T67" i="59"/>
  <c r="T48" i="59"/>
  <c r="T34" i="59"/>
  <c r="T60" i="59"/>
  <c r="T24" i="59"/>
  <c r="T65" i="59"/>
  <c r="T68" i="59"/>
  <c r="D10" i="50"/>
  <c r="T30" i="59"/>
  <c r="T57" i="59"/>
  <c r="T64" i="59"/>
  <c r="T59" i="59"/>
  <c r="T63" i="59"/>
  <c r="T12" i="59"/>
  <c r="T36" i="59"/>
  <c r="T49" i="59"/>
  <c r="T33" i="59"/>
  <c r="T32" i="59"/>
  <c r="T58" i="59"/>
  <c r="T22" i="59"/>
  <c r="T69" i="59"/>
  <c r="T39" i="59"/>
  <c r="T66" i="59"/>
  <c r="T61" i="59"/>
  <c r="T62" i="59"/>
  <c r="T44" i="59"/>
  <c r="T41" i="59"/>
  <c r="T16" i="59"/>
  <c r="T21" i="59"/>
  <c r="I14" i="60"/>
  <c r="Q14" i="61"/>
  <c r="S14" i="61" s="1"/>
  <c r="T57" i="52"/>
  <c r="T66" i="52"/>
  <c r="T62" i="52"/>
  <c r="T60" i="52"/>
  <c r="T67" i="52"/>
  <c r="T64" i="52"/>
  <c r="T69" i="52"/>
  <c r="T68" i="52"/>
  <c r="T63" i="52"/>
  <c r="D3" i="50"/>
  <c r="T65" i="52"/>
  <c r="T61" i="52"/>
  <c r="T59" i="52"/>
  <c r="T58" i="52"/>
  <c r="T53" i="52"/>
  <c r="T21" i="52"/>
  <c r="T51" i="52"/>
  <c r="T30" i="52"/>
  <c r="T39" i="52"/>
  <c r="T12" i="52"/>
  <c r="T17" i="52"/>
  <c r="T47" i="52"/>
  <c r="T38" i="52"/>
  <c r="T32" i="52"/>
  <c r="T8" i="52"/>
  <c r="T18" i="59"/>
  <c r="T33" i="52"/>
  <c r="T45" i="57"/>
  <c r="T33" i="57"/>
  <c r="T32" i="57"/>
  <c r="T2" i="53"/>
  <c r="T6" i="53" s="1"/>
  <c r="T54" i="57"/>
  <c r="Q13" i="60"/>
  <c r="S13" i="60" s="1"/>
  <c r="I13" i="59"/>
  <c r="T6" i="52"/>
  <c r="T22" i="52"/>
  <c r="T35" i="59"/>
  <c r="T37" i="52"/>
  <c r="T23" i="59"/>
  <c r="T37" i="59"/>
  <c r="T34" i="52"/>
  <c r="Q8" i="55"/>
  <c r="S8" i="55" s="1"/>
  <c r="I8" i="54"/>
  <c r="T9" i="52"/>
  <c r="T10" i="52"/>
  <c r="T29" i="52"/>
  <c r="T49" i="57"/>
  <c r="T43" i="52"/>
  <c r="T42" i="52"/>
  <c r="T45" i="52"/>
  <c r="T28" i="52"/>
  <c r="T25" i="52"/>
  <c r="T46" i="59"/>
  <c r="T20" i="52"/>
  <c r="T36" i="52"/>
  <c r="T2" i="54"/>
  <c r="T50" i="57"/>
  <c r="T52" i="52"/>
  <c r="T24" i="52"/>
  <c r="T45" i="59"/>
  <c r="T14" i="52"/>
  <c r="T48" i="52"/>
  <c r="T54" i="52"/>
  <c r="T42" i="57"/>
  <c r="T14" i="59"/>
  <c r="T47" i="59"/>
  <c r="T50" i="59"/>
  <c r="T55" i="57"/>
  <c r="T30" i="57"/>
  <c r="T16" i="57"/>
  <c r="T40" i="57"/>
  <c r="T29" i="57"/>
  <c r="T49" i="52"/>
  <c r="T46" i="57"/>
  <c r="T15" i="52"/>
  <c r="T12" i="57"/>
  <c r="T20" i="59"/>
  <c r="T44" i="57"/>
  <c r="T50" i="52"/>
  <c r="T13" i="59"/>
  <c r="T38" i="59"/>
  <c r="T55" i="59"/>
  <c r="T28" i="59"/>
  <c r="T27" i="57"/>
  <c r="T54" i="59"/>
  <c r="T36" i="57"/>
  <c r="T43" i="57"/>
  <c r="T22" i="57"/>
  <c r="T13" i="57"/>
  <c r="T44" i="52"/>
  <c r="T27" i="52"/>
  <c r="T25" i="59"/>
  <c r="T52" i="59"/>
  <c r="T41" i="57"/>
  <c r="T38" i="57"/>
  <c r="T20" i="57"/>
  <c r="T51" i="57"/>
  <c r="T56" i="52"/>
  <c r="T43" i="59"/>
  <c r="T46" i="52"/>
  <c r="T51" i="59"/>
  <c r="T17" i="59"/>
  <c r="T31" i="57"/>
  <c r="T13" i="52"/>
  <c r="T23" i="57"/>
  <c r="T56" i="59"/>
  <c r="T23" i="52"/>
  <c r="T26" i="57"/>
  <c r="T18" i="52"/>
  <c r="T42" i="59"/>
  <c r="T19" i="52"/>
  <c r="T56" i="57"/>
  <c r="T24" i="57"/>
  <c r="T2" i="56"/>
  <c r="T7" i="52"/>
  <c r="T15" i="59"/>
  <c r="T29" i="59"/>
  <c r="T53" i="59"/>
  <c r="T17" i="57"/>
  <c r="T40" i="59"/>
  <c r="T26" i="59"/>
  <c r="T19" i="59"/>
  <c r="T16" i="52"/>
  <c r="T11" i="52"/>
  <c r="T37" i="57"/>
  <c r="I11" i="57"/>
  <c r="Q11" i="58"/>
  <c r="S11" i="58" s="1"/>
  <c r="T55" i="52"/>
  <c r="T28" i="57"/>
  <c r="T48" i="57"/>
  <c r="T41" i="52"/>
  <c r="T40" i="52"/>
  <c r="T14" i="57"/>
  <c r="T5" i="52"/>
  <c r="T31" i="59"/>
  <c r="T35" i="57"/>
  <c r="T27" i="59"/>
  <c r="T26" i="52"/>
  <c r="T11" i="57"/>
  <c r="T68" i="57"/>
  <c r="T65" i="57"/>
  <c r="D8" i="50"/>
  <c r="T10" i="57"/>
  <c r="T62" i="57"/>
  <c r="T34" i="57"/>
  <c r="T61" i="57"/>
  <c r="T59" i="57"/>
  <c r="T69" i="57"/>
  <c r="T15" i="57"/>
  <c r="T60" i="57"/>
  <c r="T63" i="57"/>
  <c r="T19" i="57"/>
  <c r="T53" i="57"/>
  <c r="T58" i="57"/>
  <c r="T64" i="57"/>
  <c r="T67" i="57"/>
  <c r="T25" i="57"/>
  <c r="T66" i="57"/>
  <c r="T18" i="57"/>
  <c r="T57" i="57"/>
  <c r="T21" i="57"/>
  <c r="T52" i="57"/>
  <c r="T47" i="57"/>
  <c r="T30" i="56" l="1"/>
  <c r="T58" i="56"/>
  <c r="T43" i="56"/>
  <c r="T16" i="56"/>
  <c r="T17" i="56"/>
  <c r="T57" i="56"/>
  <c r="T27" i="56"/>
  <c r="T56" i="56"/>
  <c r="T68" i="56"/>
  <c r="T69" i="56"/>
  <c r="T28" i="56"/>
  <c r="T14" i="56"/>
  <c r="T38" i="56"/>
  <c r="T10" i="56"/>
  <c r="T41" i="56"/>
  <c r="T39" i="56"/>
  <c r="T45" i="56"/>
  <c r="T15" i="56"/>
  <c r="T21" i="56"/>
  <c r="T55" i="56"/>
  <c r="T35" i="56"/>
  <c r="T54" i="56"/>
  <c r="T40" i="56"/>
  <c r="T47" i="56"/>
  <c r="T37" i="56"/>
  <c r="T64" i="56"/>
  <c r="T48" i="56"/>
  <c r="T13" i="56"/>
  <c r="T36" i="56"/>
  <c r="T59" i="56"/>
  <c r="T63" i="56"/>
  <c r="T20" i="56"/>
  <c r="T29" i="56"/>
  <c r="T26" i="56"/>
  <c r="T18" i="56"/>
  <c r="T11" i="56"/>
  <c r="T23" i="56"/>
  <c r="T65" i="56"/>
  <c r="T32" i="56"/>
  <c r="T46" i="56"/>
  <c r="T42" i="56"/>
  <c r="T44" i="56"/>
  <c r="T61" i="56"/>
  <c r="T66" i="56"/>
  <c r="T52" i="56"/>
  <c r="D7" i="50"/>
  <c r="T67" i="56"/>
  <c r="T25" i="56"/>
  <c r="T60" i="56"/>
  <c r="T19" i="56"/>
  <c r="T51" i="56"/>
  <c r="T62" i="56"/>
  <c r="T49" i="56"/>
  <c r="T31" i="56"/>
  <c r="T34" i="56"/>
  <c r="T22" i="56"/>
  <c r="T33" i="56"/>
  <c r="T53" i="56"/>
  <c r="T24" i="56"/>
  <c r="T12" i="56"/>
  <c r="T50" i="56"/>
  <c r="T2" i="61"/>
  <c r="F8" i="50"/>
  <c r="O8" i="50"/>
  <c r="P8" i="50" s="1"/>
  <c r="S70" i="52"/>
  <c r="T9" i="56"/>
  <c r="T33" i="53"/>
  <c r="T64" i="53"/>
  <c r="T56" i="53"/>
  <c r="T60" i="53"/>
  <c r="T23" i="53"/>
  <c r="T47" i="53"/>
  <c r="T21" i="53"/>
  <c r="T14" i="53"/>
  <c r="T57" i="53"/>
  <c r="T29" i="53"/>
  <c r="T42" i="53"/>
  <c r="T32" i="53"/>
  <c r="T44" i="53"/>
  <c r="T25" i="53"/>
  <c r="T66" i="53"/>
  <c r="T63" i="53"/>
  <c r="T12" i="53"/>
  <c r="T41" i="53"/>
  <c r="T58" i="53"/>
  <c r="T9" i="53"/>
  <c r="T19" i="53"/>
  <c r="T59" i="53"/>
  <c r="T34" i="53"/>
  <c r="T39" i="53"/>
  <c r="T54" i="53"/>
  <c r="T7" i="53"/>
  <c r="T51" i="53"/>
  <c r="T8" i="53"/>
  <c r="T31" i="53"/>
  <c r="T67" i="53"/>
  <c r="T36" i="53"/>
  <c r="T38" i="53"/>
  <c r="D4" i="50"/>
  <c r="L4" i="50" s="1"/>
  <c r="M4" i="50" s="1"/>
  <c r="T48" i="53"/>
  <c r="T16" i="53"/>
  <c r="T40" i="53"/>
  <c r="T55" i="53"/>
  <c r="T28" i="53"/>
  <c r="T17" i="53"/>
  <c r="T20" i="53"/>
  <c r="T27" i="53"/>
  <c r="T15" i="53"/>
  <c r="T53" i="53"/>
  <c r="T11" i="53"/>
  <c r="T50" i="53"/>
  <c r="T46" i="53"/>
  <c r="T68" i="53"/>
  <c r="T52" i="53"/>
  <c r="T18" i="53"/>
  <c r="T65" i="53"/>
  <c r="T24" i="53"/>
  <c r="T35" i="53"/>
  <c r="T43" i="53"/>
  <c r="T37" i="53"/>
  <c r="T49" i="53"/>
  <c r="T69" i="53"/>
  <c r="T45" i="53"/>
  <c r="T13" i="53"/>
  <c r="T61" i="53"/>
  <c r="T30" i="53"/>
  <c r="T62" i="53"/>
  <c r="T22" i="53"/>
  <c r="T26" i="53"/>
  <c r="T10" i="53"/>
  <c r="S70" i="59"/>
  <c r="T21" i="54"/>
  <c r="T17" i="54"/>
  <c r="T58" i="54"/>
  <c r="D5" i="50"/>
  <c r="T66" i="54"/>
  <c r="T16" i="54"/>
  <c r="T64" i="54"/>
  <c r="T34" i="54"/>
  <c r="T68" i="54"/>
  <c r="T62" i="54"/>
  <c r="T65" i="54"/>
  <c r="T69" i="54"/>
  <c r="T14" i="54"/>
  <c r="T57" i="54"/>
  <c r="T36" i="54"/>
  <c r="T44" i="54"/>
  <c r="T61" i="54"/>
  <c r="T63" i="54"/>
  <c r="T10" i="54"/>
  <c r="T59" i="54"/>
  <c r="T50" i="54"/>
  <c r="T67" i="54"/>
  <c r="T43" i="54"/>
  <c r="T19" i="54"/>
  <c r="T60" i="54"/>
  <c r="T42" i="54"/>
  <c r="T47" i="54"/>
  <c r="T13" i="54"/>
  <c r="T45" i="54"/>
  <c r="T51" i="54"/>
  <c r="T56" i="54"/>
  <c r="T32" i="54"/>
  <c r="T31" i="54"/>
  <c r="T29" i="54"/>
  <c r="T35" i="54"/>
  <c r="T53" i="54"/>
  <c r="T9" i="54"/>
  <c r="T54" i="54"/>
  <c r="T55" i="54"/>
  <c r="T28" i="54"/>
  <c r="T41" i="54"/>
  <c r="T23" i="54"/>
  <c r="T18" i="54"/>
  <c r="T46" i="54"/>
  <c r="T25" i="54"/>
  <c r="T24" i="54"/>
  <c r="T15" i="54"/>
  <c r="T37" i="54"/>
  <c r="T48" i="54"/>
  <c r="T40" i="54"/>
  <c r="T26" i="54"/>
  <c r="T33" i="54"/>
  <c r="T38" i="54"/>
  <c r="T20" i="54"/>
  <c r="T49" i="54"/>
  <c r="T12" i="54"/>
  <c r="T11" i="54"/>
  <c r="T22" i="54"/>
  <c r="T30" i="54"/>
  <c r="T52" i="54"/>
  <c r="T8" i="54"/>
  <c r="T27" i="54"/>
  <c r="T39" i="54"/>
  <c r="U10" i="50"/>
  <c r="V10" i="50" s="1"/>
  <c r="G10" i="50" s="1"/>
  <c r="F10" i="50"/>
  <c r="T2" i="55"/>
  <c r="T8" i="55" s="1"/>
  <c r="S70" i="57"/>
  <c r="T2" i="58"/>
  <c r="T7" i="54"/>
  <c r="T2" i="60"/>
  <c r="T13" i="60" s="1"/>
  <c r="L3" i="50"/>
  <c r="M3" i="50" s="1"/>
  <c r="F3" i="50"/>
  <c r="S70" i="53" l="1"/>
  <c r="T61" i="61"/>
  <c r="T64" i="61"/>
  <c r="T38" i="61"/>
  <c r="T49" i="61"/>
  <c r="T42" i="61"/>
  <c r="T60" i="61"/>
  <c r="T59" i="61"/>
  <c r="T30" i="61"/>
  <c r="T65" i="61"/>
  <c r="T29" i="61"/>
  <c r="T66" i="61"/>
  <c r="T37" i="61"/>
  <c r="T36" i="61"/>
  <c r="T26" i="61"/>
  <c r="T43" i="61"/>
  <c r="T28" i="61"/>
  <c r="T50" i="61"/>
  <c r="T58" i="61"/>
  <c r="T16" i="61"/>
  <c r="T54" i="61"/>
  <c r="T33" i="61"/>
  <c r="T45" i="61"/>
  <c r="T63" i="61"/>
  <c r="T48" i="61"/>
  <c r="T31" i="61"/>
  <c r="T55" i="61"/>
  <c r="T27" i="61"/>
  <c r="T40" i="61"/>
  <c r="T23" i="61"/>
  <c r="T17" i="61"/>
  <c r="T15" i="61"/>
  <c r="T53" i="61"/>
  <c r="T67" i="61"/>
  <c r="T56" i="61"/>
  <c r="T47" i="61"/>
  <c r="T21" i="61"/>
  <c r="T69" i="61"/>
  <c r="T35" i="61"/>
  <c r="T62" i="61"/>
  <c r="T22" i="61"/>
  <c r="T19" i="61"/>
  <c r="T25" i="61"/>
  <c r="T44" i="61"/>
  <c r="D12" i="50"/>
  <c r="T39" i="61"/>
  <c r="T34" i="61"/>
  <c r="T52" i="61"/>
  <c r="T41" i="61"/>
  <c r="T18" i="61"/>
  <c r="T51" i="61"/>
  <c r="T24" i="61"/>
  <c r="T32" i="61"/>
  <c r="T20" i="61"/>
  <c r="T68" i="61"/>
  <c r="T57" i="61"/>
  <c r="T46" i="61"/>
  <c r="L7" i="50"/>
  <c r="M7" i="50" s="1"/>
  <c r="L8" i="50"/>
  <c r="M8" i="50" s="1"/>
  <c r="F7" i="50"/>
  <c r="T40" i="58"/>
  <c r="T17" i="58"/>
  <c r="T38" i="58"/>
  <c r="T32" i="58"/>
  <c r="T59" i="58"/>
  <c r="T30" i="58"/>
  <c r="T14" i="58"/>
  <c r="T58" i="58"/>
  <c r="T12" i="58"/>
  <c r="T18" i="58"/>
  <c r="T41" i="58"/>
  <c r="T34" i="58"/>
  <c r="D9" i="50"/>
  <c r="L10" i="50" s="1"/>
  <c r="M10" i="50" s="1"/>
  <c r="T46" i="58"/>
  <c r="T23" i="58"/>
  <c r="T57" i="58"/>
  <c r="T53" i="58"/>
  <c r="T37" i="58"/>
  <c r="T67" i="58"/>
  <c r="T43" i="58"/>
  <c r="T16" i="58"/>
  <c r="T54" i="58"/>
  <c r="T55" i="58"/>
  <c r="T25" i="58"/>
  <c r="T26" i="58"/>
  <c r="T29" i="58"/>
  <c r="T44" i="58"/>
  <c r="T13" i="58"/>
  <c r="T35" i="58"/>
  <c r="T51" i="58"/>
  <c r="T20" i="58"/>
  <c r="T24" i="58"/>
  <c r="T36" i="58"/>
  <c r="T52" i="58"/>
  <c r="T22" i="58"/>
  <c r="T61" i="58"/>
  <c r="T49" i="58"/>
  <c r="T48" i="58"/>
  <c r="T65" i="58"/>
  <c r="T47" i="58"/>
  <c r="T42" i="58"/>
  <c r="T21" i="58"/>
  <c r="T28" i="58"/>
  <c r="T50" i="58"/>
  <c r="T15" i="58"/>
  <c r="T60" i="58"/>
  <c r="T39" i="58"/>
  <c r="T68" i="58"/>
  <c r="T27" i="58"/>
  <c r="T66" i="58"/>
  <c r="T33" i="58"/>
  <c r="T69" i="58"/>
  <c r="T63" i="58"/>
  <c r="T62" i="58"/>
  <c r="T64" i="58"/>
  <c r="T56" i="58"/>
  <c r="T45" i="58"/>
  <c r="T31" i="58"/>
  <c r="T19" i="58"/>
  <c r="T14" i="61"/>
  <c r="R5" i="50"/>
  <c r="S5" i="50" s="1"/>
  <c r="F5" i="50"/>
  <c r="L5" i="50"/>
  <c r="M5" i="50" s="1"/>
  <c r="O4" i="50"/>
  <c r="P4" i="50" s="1"/>
  <c r="F4" i="50"/>
  <c r="O5" i="50"/>
  <c r="P5" i="50" s="1"/>
  <c r="S70" i="54"/>
  <c r="S70" i="56"/>
  <c r="T60" i="60"/>
  <c r="D11" i="50"/>
  <c r="T57" i="60"/>
  <c r="T65" i="60"/>
  <c r="T63" i="60"/>
  <c r="T61" i="60"/>
  <c r="T68" i="60"/>
  <c r="T64" i="60"/>
  <c r="T67" i="60"/>
  <c r="T58" i="60"/>
  <c r="T62" i="60"/>
  <c r="T69" i="60"/>
  <c r="T66" i="60"/>
  <c r="T59" i="60"/>
  <c r="T48" i="60"/>
  <c r="T27" i="60"/>
  <c r="T34" i="60"/>
  <c r="T17" i="60"/>
  <c r="T43" i="60"/>
  <c r="T41" i="60"/>
  <c r="T14" i="60"/>
  <c r="T32" i="60"/>
  <c r="T53" i="60"/>
  <c r="T39" i="60"/>
  <c r="T20" i="60"/>
  <c r="T21" i="60"/>
  <c r="T51" i="60"/>
  <c r="T52" i="60"/>
  <c r="T45" i="60"/>
  <c r="T28" i="60"/>
  <c r="T46" i="60"/>
  <c r="T44" i="60"/>
  <c r="T54" i="60"/>
  <c r="T26" i="60"/>
  <c r="T40" i="60"/>
  <c r="T25" i="60"/>
  <c r="T30" i="60"/>
  <c r="T47" i="60"/>
  <c r="T49" i="60"/>
  <c r="T18" i="60"/>
  <c r="T16" i="60"/>
  <c r="T38" i="60"/>
  <c r="T37" i="60"/>
  <c r="T31" i="60"/>
  <c r="T33" i="60"/>
  <c r="T24" i="60"/>
  <c r="T50" i="60"/>
  <c r="T42" i="60"/>
  <c r="T22" i="60"/>
  <c r="T15" i="60"/>
  <c r="T35" i="60"/>
  <c r="T36" i="60"/>
  <c r="T19" i="60"/>
  <c r="T23" i="60"/>
  <c r="T29" i="60"/>
  <c r="T56" i="60"/>
  <c r="T55" i="60"/>
  <c r="T11" i="58"/>
  <c r="T9" i="55"/>
  <c r="T63" i="55"/>
  <c r="T57" i="55"/>
  <c r="T69" i="55"/>
  <c r="T64" i="55"/>
  <c r="D6" i="50"/>
  <c r="O6" i="50" s="1"/>
  <c r="P6" i="50" s="1"/>
  <c r="T59" i="55"/>
  <c r="T10" i="55"/>
  <c r="T58" i="55"/>
  <c r="T61" i="55"/>
  <c r="T65" i="55"/>
  <c r="T66" i="55"/>
  <c r="T68" i="55"/>
  <c r="T67" i="55"/>
  <c r="T60" i="55"/>
  <c r="T62" i="55"/>
  <c r="T43" i="55"/>
  <c r="T12" i="55"/>
  <c r="T48" i="55"/>
  <c r="T32" i="55"/>
  <c r="T37" i="55"/>
  <c r="T31" i="55"/>
  <c r="T24" i="55"/>
  <c r="T45" i="55"/>
  <c r="T18" i="55"/>
  <c r="T26" i="55"/>
  <c r="T53" i="55"/>
  <c r="T33" i="55"/>
  <c r="T34" i="55"/>
  <c r="T47" i="55"/>
  <c r="T15" i="55"/>
  <c r="T16" i="55"/>
  <c r="T20" i="55"/>
  <c r="T50" i="55"/>
  <c r="T13" i="55"/>
  <c r="T11" i="55"/>
  <c r="T44" i="55"/>
  <c r="T19" i="55"/>
  <c r="T27" i="55"/>
  <c r="T52" i="55"/>
  <c r="T21" i="55"/>
  <c r="T25" i="55"/>
  <c r="T46" i="55"/>
  <c r="T49" i="55"/>
  <c r="T14" i="55"/>
  <c r="T22" i="55"/>
  <c r="T30" i="55"/>
  <c r="T39" i="55"/>
  <c r="T42" i="55"/>
  <c r="T40" i="55"/>
  <c r="T29" i="55"/>
  <c r="T54" i="55"/>
  <c r="T41" i="55"/>
  <c r="T23" i="55"/>
  <c r="T55" i="55"/>
  <c r="T17" i="55"/>
  <c r="T35" i="55"/>
  <c r="T56" i="55"/>
  <c r="T38" i="55"/>
  <c r="T36" i="55"/>
  <c r="T51" i="55"/>
  <c r="T28" i="55"/>
  <c r="S70" i="60" l="1"/>
  <c r="S70" i="55"/>
  <c r="G4" i="50"/>
  <c r="R6" i="50"/>
  <c r="S6" i="50" s="1"/>
  <c r="G5" i="50" s="1"/>
  <c r="L9" i="50"/>
  <c r="M9" i="50" s="1"/>
  <c r="F6" i="50"/>
  <c r="U6" i="50"/>
  <c r="V6" i="50" s="1"/>
  <c r="G6" i="50" s="1"/>
  <c r="L6" i="50"/>
  <c r="M6" i="50" s="1"/>
  <c r="G3" i="50" s="1"/>
  <c r="F12" i="50"/>
  <c r="O12" i="50"/>
  <c r="P12" i="50" s="1"/>
  <c r="G12" i="50" s="1"/>
  <c r="S70" i="58"/>
  <c r="L11" i="50"/>
  <c r="M11" i="50" s="1"/>
  <c r="L12" i="50"/>
  <c r="M12" i="50" s="1"/>
  <c r="F11" i="50"/>
  <c r="S70" i="61"/>
  <c r="F9" i="50"/>
  <c r="R9" i="50"/>
  <c r="S9" i="50" s="1"/>
  <c r="R10" i="50"/>
  <c r="S10" i="50" s="1"/>
  <c r="O9" i="50"/>
  <c r="P9" i="50" s="1"/>
  <c r="O10" i="50"/>
  <c r="P10" i="50" s="1"/>
  <c r="G7" i="50"/>
  <c r="G11" i="50" l="1"/>
  <c r="G8" i="50"/>
  <c r="G9" i="50"/>
</calcChain>
</file>

<file path=xl/sharedStrings.xml><?xml version="1.0" encoding="utf-8"?>
<sst xmlns="http://schemas.openxmlformats.org/spreadsheetml/2006/main" count="416" uniqueCount="61">
  <si>
    <t>Age</t>
  </si>
  <si>
    <t>Experience Adjustment</t>
  </si>
  <si>
    <t>Expected Pretax Income</t>
  </si>
  <si>
    <t>Experience Premium</t>
  </si>
  <si>
    <t>Experience Normalization</t>
  </si>
  <si>
    <t>Years of Education</t>
  </si>
  <si>
    <t>Expected Compensation</t>
  </si>
  <si>
    <t>Tuition</t>
  </si>
  <si>
    <t>Completion Probability</t>
  </si>
  <si>
    <t>Unemployment Probability</t>
  </si>
  <si>
    <t>2011 Tax Table, standard deduction 5800, personal exemption 3700, 10% state taxes &amp; local taxes, FICA, $300/week unemployment benefit</t>
  </si>
  <si>
    <t>Start Age</t>
  </si>
  <si>
    <t xml:space="preserve">Taxable Income </t>
  </si>
  <si>
    <t>Return to Education</t>
  </si>
  <si>
    <t>Expected Value</t>
  </si>
  <si>
    <t>Expected Present Value</t>
  </si>
  <si>
    <t>Years of Experience</t>
  </si>
  <si>
    <t>School Happiness</t>
  </si>
  <si>
    <t xml:space="preserve">Expected After-Tax Income </t>
  </si>
  <si>
    <t xml:space="preserve">Expected Taxes </t>
  </si>
  <si>
    <t>Initial Unemployment</t>
  </si>
  <si>
    <t>Return Rate</t>
  </si>
  <si>
    <t>Year 1 Probability Distribution</t>
  </si>
  <si>
    <t>Year 2 Probability Distribution</t>
  </si>
  <si>
    <t>Year 3 Probability Distribution</t>
  </si>
  <si>
    <t>Year 4 Probability Distribution</t>
  </si>
  <si>
    <t>Year 1 Stopping Return</t>
  </si>
  <si>
    <t>Year 2 Stopping Return</t>
  </si>
  <si>
    <t>Year 3 Stopping Return</t>
  </si>
  <si>
    <t>Year 4 Stopping Return</t>
  </si>
  <si>
    <t>Year 1 Stopping Rate</t>
  </si>
  <si>
    <t>Year 2 Stopping Rate</t>
  </si>
  <si>
    <t>Year 3 Stopping Rate</t>
  </si>
  <si>
    <t>Year 4 Stopping Rate</t>
  </si>
  <si>
    <t>Degree Return</t>
  </si>
  <si>
    <t xml:space="preserve"> Pretax Income</t>
  </si>
  <si>
    <t>Benefits</t>
  </si>
  <si>
    <t xml:space="preserve"> Pretax Income if Employed (including student earnings)</t>
  </si>
  <si>
    <t xml:space="preserve"> Benefits if Employed</t>
  </si>
  <si>
    <t>High School Tuition</t>
  </si>
  <si>
    <t>College Tuition</t>
  </si>
  <si>
    <t>School Feelings</t>
  </si>
  <si>
    <t>Participation Rate</t>
  </si>
  <si>
    <t>Social Income</t>
  </si>
  <si>
    <t>Social Benefits</t>
  </si>
  <si>
    <t>Social Unemployment</t>
  </si>
  <si>
    <t>Social Participation</t>
  </si>
  <si>
    <t>Average Net Tax Rate</t>
  </si>
  <si>
    <t>Expected Productivity if Participating</t>
  </si>
  <si>
    <t>Participation</t>
  </si>
  <si>
    <t>Nonparticipation Transfers</t>
  </si>
  <si>
    <t>Crime Risk Factor</t>
  </si>
  <si>
    <t>Crime Risk Factor from crimeworksheet.xls</t>
  </si>
  <si>
    <t>Social Crime Cost</t>
  </si>
  <si>
    <t>Expected Crime Costs</t>
  </si>
  <si>
    <t>Enhanced Participation Benefit</t>
  </si>
  <si>
    <t>Initial Social Participation</t>
  </si>
  <si>
    <t>Social Return to Education</t>
  </si>
  <si>
    <t>Crime Reduction Benefit</t>
  </si>
  <si>
    <t>Expected Productivity Benefit</t>
  </si>
  <si>
    <t>All other variables from metasocialcutpoorr.xls and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</si>
</sst>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0.0000000"/>
    <numFmt numFmtId="166" formatCode="0.0000"/>
    <numFmt numFmtId="167" formatCode="0.0"/>
    <numFmt numFmtId="168" formatCode="0.0%"/>
  </numFmts>
  <fonts count="8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164" fontId="3" fillId="0" borderId="0" applyFont="0" applyAlignment="0"/>
    <xf numFmtId="3" fontId="3" fillId="0" borderId="0"/>
    <xf numFmtId="1" fontId="3" fillId="0" borderId="0"/>
    <xf numFmtId="168" fontId="3" fillId="0" borderId="0"/>
    <xf numFmtId="164" fontId="6" fillId="0" borderId="0"/>
  </cellStyleXfs>
  <cellXfs count="32">
    <xf numFmtId="0" fontId="0" fillId="0" borderId="0" xfId="0"/>
    <xf numFmtId="164" fontId="0" fillId="0" borderId="0" xfId="0" applyNumberFormat="1"/>
    <xf numFmtId="164" fontId="3" fillId="0" borderId="0" xfId="0" applyNumberFormat="1" applyFont="1"/>
    <xf numFmtId="164" fontId="4" fillId="0" borderId="0" xfId="0" applyNumberFormat="1" applyFont="1"/>
    <xf numFmtId="165" fontId="0" fillId="0" borderId="0" xfId="0" applyNumberFormat="1"/>
    <xf numFmtId="1" fontId="0" fillId="0" borderId="0" xfId="0" applyNumberFormat="1"/>
    <xf numFmtId="166" fontId="0" fillId="0" borderId="0" xfId="0" applyNumberFormat="1"/>
    <xf numFmtId="1" fontId="3" fillId="0" borderId="0" xfId="0" applyNumberFormat="1" applyFont="1"/>
    <xf numFmtId="164" fontId="1" fillId="0" borderId="0" xfId="0" applyNumberFormat="1" applyFont="1"/>
    <xf numFmtId="0" fontId="1" fillId="0" borderId="0" xfId="0" applyFont="1"/>
    <xf numFmtId="164" fontId="1" fillId="0" borderId="0" xfId="0" applyNumberFormat="1" applyFont="1" applyAlignment="1">
      <alignment horizontal="right"/>
    </xf>
    <xf numFmtId="164" fontId="1" fillId="0" borderId="0" xfId="0" applyNumberFormat="1" applyFont="1" applyBorder="1" applyAlignment="1">
      <alignment vertical="top" wrapText="1"/>
    </xf>
    <xf numFmtId="164" fontId="5" fillId="0" borderId="0" xfId="0" applyNumberFormat="1" applyFont="1"/>
    <xf numFmtId="2" fontId="0" fillId="0" borderId="0" xfId="0" applyNumberFormat="1"/>
    <xf numFmtId="0" fontId="3" fillId="0" borderId="0" xfId="0" applyNumberFormat="1" applyFont="1"/>
    <xf numFmtId="167" fontId="1" fillId="0" borderId="0" xfId="0" applyNumberFormat="1" applyFont="1"/>
    <xf numFmtId="0" fontId="3" fillId="0" borderId="0" xfId="0" applyNumberFormat="1" applyFont="1" applyBorder="1"/>
    <xf numFmtId="0" fontId="4" fillId="0" borderId="0" xfId="0" applyNumberFormat="1" applyFont="1" applyBorder="1" applyAlignment="1">
      <alignment vertical="top" wrapText="1"/>
    </xf>
    <xf numFmtId="1" fontId="1" fillId="0" borderId="0" xfId="0" applyNumberFormat="1" applyFont="1"/>
    <xf numFmtId="3" fontId="0" fillId="0" borderId="0" xfId="0" applyNumberFormat="1" applyAlignment="1">
      <alignment horizontal="right" vertical="center"/>
    </xf>
    <xf numFmtId="164" fontId="0" fillId="0" borderId="0" xfId="0" applyNumberFormat="1" applyFont="1"/>
    <xf numFmtId="3" fontId="3" fillId="0" borderId="0" xfId="2"/>
    <xf numFmtId="1" fontId="3" fillId="0" borderId="0" xfId="3"/>
    <xf numFmtId="164" fontId="0" fillId="0" borderId="0" xfId="1" applyFont="1" applyAlignment="1">
      <alignment horizontal="right" vertical="center"/>
    </xf>
    <xf numFmtId="3" fontId="0" fillId="0" borderId="0" xfId="0" applyNumberFormat="1" applyFont="1"/>
    <xf numFmtId="164" fontId="3" fillId="0" borderId="0" xfId="1"/>
    <xf numFmtId="1" fontId="0" fillId="0" borderId="0" xfId="0" applyNumberFormat="1" applyFont="1"/>
    <xf numFmtId="0" fontId="0" fillId="0" borderId="0" xfId="0" applyNumberFormat="1" applyFont="1" applyBorder="1"/>
    <xf numFmtId="164" fontId="0" fillId="0" borderId="0" xfId="1" applyFont="1"/>
    <xf numFmtId="49" fontId="1" fillId="0" borderId="0" xfId="0" applyNumberFormat="1" applyFont="1"/>
    <xf numFmtId="0" fontId="7" fillId="0" borderId="0" xfId="0" applyFont="1" applyAlignment="1">
      <alignment horizontal="right" vertical="center"/>
    </xf>
    <xf numFmtId="164" fontId="0" fillId="0" borderId="0" xfId="1" applyFont="1" applyAlignment="1">
      <alignment horizontal="right" vertical="center" wrapText="1"/>
    </xf>
  </cellXfs>
  <cellStyles count="6">
    <cellStyle name="3Decimals" xfId="1"/>
    <cellStyle name="NoDecimals" xfId="2"/>
    <cellStyle name="NoDecimalsNoComma" xfId="3"/>
    <cellStyle name="Normal" xfId="0" builtinId="0" customBuiltin="1"/>
    <cellStyle name="PercentOneDecimal" xfId="4"/>
    <cellStyle name="Style 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2"/>
  <sheetViews>
    <sheetView tabSelected="1" workbookViewId="0">
      <selection activeCell="F17" sqref="F17"/>
    </sheetView>
  </sheetViews>
  <sheetFormatPr defaultRowHeight="12.75" x14ac:dyDescent="0.2"/>
  <cols>
    <col min="1" max="1" width="9.140625" style="18"/>
    <col min="2" max="3" width="12.42578125" style="8" customWidth="1"/>
    <col min="4" max="7" width="9.140625" style="8"/>
    <col min="8" max="8" width="9.5703125" style="8" customWidth="1"/>
    <col min="9" max="10" width="9.140625" style="8"/>
    <col min="11" max="11" width="9.5703125" style="8" customWidth="1"/>
    <col min="12" max="12" width="9.140625" style="9"/>
    <col min="13" max="16384" width="9.140625" style="8"/>
  </cols>
  <sheetData>
    <row r="1" spans="1:24" x14ac:dyDescent="0.2">
      <c r="A1" s="18" t="s">
        <v>5</v>
      </c>
      <c r="B1" s="20" t="s">
        <v>35</v>
      </c>
      <c r="C1" s="20" t="s">
        <v>36</v>
      </c>
      <c r="D1" s="8" t="s">
        <v>9</v>
      </c>
      <c r="E1" s="8" t="s">
        <v>8</v>
      </c>
      <c r="F1" s="20" t="s">
        <v>42</v>
      </c>
      <c r="H1" s="8" t="s">
        <v>3</v>
      </c>
      <c r="I1" s="8" t="s">
        <v>4</v>
      </c>
      <c r="L1" s="9" t="s">
        <v>16</v>
      </c>
      <c r="M1" s="8" t="s">
        <v>1</v>
      </c>
      <c r="N1" s="20" t="s">
        <v>0</v>
      </c>
      <c r="O1" s="20" t="s">
        <v>51</v>
      </c>
      <c r="P1" s="8" t="s">
        <v>39</v>
      </c>
      <c r="Q1" s="8" t="s">
        <v>40</v>
      </c>
      <c r="R1" s="8" t="s">
        <v>41</v>
      </c>
      <c r="S1" s="20" t="s">
        <v>50</v>
      </c>
      <c r="T1" s="20" t="s">
        <v>43</v>
      </c>
      <c r="U1" s="20" t="s">
        <v>44</v>
      </c>
      <c r="V1" s="20" t="s">
        <v>45</v>
      </c>
      <c r="W1" s="20" t="s">
        <v>53</v>
      </c>
      <c r="X1" s="20" t="s">
        <v>46</v>
      </c>
    </row>
    <row r="2" spans="1:24" x14ac:dyDescent="0.2">
      <c r="A2" s="18">
        <v>8</v>
      </c>
      <c r="B2" s="19">
        <v>26017</v>
      </c>
      <c r="C2" s="19">
        <v>11968</v>
      </c>
      <c r="D2" s="31">
        <v>0.111</v>
      </c>
      <c r="E2" s="23">
        <v>1</v>
      </c>
      <c r="F2" s="31">
        <v>0.51700000000000002</v>
      </c>
      <c r="H2" s="8">
        <v>2.5000000000000001E-2</v>
      </c>
      <c r="I2" s="10">
        <f>AVERAGE(M2:M53)</f>
        <v>2.0085479604911836</v>
      </c>
      <c r="J2" s="13"/>
      <c r="K2" s="18"/>
      <c r="L2" s="9">
        <v>0</v>
      </c>
      <c r="M2" s="8">
        <f t="shared" ref="M2:M33" si="0">(1+experiencepremium)^L2</f>
        <v>1</v>
      </c>
      <c r="N2" s="22">
        <v>14</v>
      </c>
      <c r="O2" s="30">
        <v>1.0940000000000001</v>
      </c>
      <c r="P2" s="24">
        <v>11298</v>
      </c>
      <c r="Q2" s="24">
        <v>8279</v>
      </c>
      <c r="R2" s="8">
        <v>0.28000000000000003</v>
      </c>
      <c r="S2" s="22">
        <f>4362+2192</f>
        <v>6554</v>
      </c>
      <c r="T2" s="19">
        <v>25751</v>
      </c>
      <c r="U2" s="19">
        <v>11846</v>
      </c>
      <c r="V2" s="23">
        <v>0.104</v>
      </c>
      <c r="W2" s="19">
        <v>13867</v>
      </c>
      <c r="X2" s="23">
        <v>0.53200000000000003</v>
      </c>
    </row>
    <row r="3" spans="1:24" x14ac:dyDescent="0.2">
      <c r="A3" s="18">
        <v>9</v>
      </c>
      <c r="B3" s="19">
        <v>27512</v>
      </c>
      <c r="C3" s="19">
        <v>12655</v>
      </c>
      <c r="D3" s="31">
        <v>0.105</v>
      </c>
      <c r="E3" s="23">
        <v>0.878</v>
      </c>
      <c r="F3" s="31">
        <v>0.53100000000000003</v>
      </c>
      <c r="I3" s="10">
        <f>AVERAGE(M2:M52)</f>
        <v>1.978852107996969</v>
      </c>
      <c r="J3" s="13"/>
      <c r="K3" s="18"/>
      <c r="L3" s="9">
        <v>1</v>
      </c>
      <c r="M3" s="8">
        <f t="shared" si="0"/>
        <v>1.0249999999999999</v>
      </c>
      <c r="N3" s="22">
        <v>15</v>
      </c>
      <c r="O3" s="30">
        <v>1.8560000000000001</v>
      </c>
      <c r="Q3" s="15"/>
      <c r="R3" s="15"/>
      <c r="T3" s="19">
        <v>27371</v>
      </c>
      <c r="U3" s="19">
        <v>12591</v>
      </c>
      <c r="V3" s="23">
        <v>0.10199999999999999</v>
      </c>
      <c r="W3" s="19">
        <v>13585</v>
      </c>
      <c r="X3" s="23">
        <v>0.53800000000000003</v>
      </c>
    </row>
    <row r="4" spans="1:24" x14ac:dyDescent="0.2">
      <c r="A4" s="18">
        <v>10</v>
      </c>
      <c r="B4" s="19">
        <v>29093</v>
      </c>
      <c r="C4" s="19">
        <v>13383</v>
      </c>
      <c r="D4" s="31">
        <v>0.1</v>
      </c>
      <c r="E4" s="23">
        <v>0.878</v>
      </c>
      <c r="F4" s="31">
        <v>0.54500000000000004</v>
      </c>
      <c r="I4" s="10">
        <f>AVERAGE(M2:M51)</f>
        <v>1.9496869757628374</v>
      </c>
      <c r="J4" s="13"/>
      <c r="K4" s="18"/>
      <c r="L4" s="9">
        <v>2</v>
      </c>
      <c r="M4" s="8">
        <f t="shared" si="0"/>
        <v>1.0506249999999999</v>
      </c>
      <c r="N4" s="22">
        <v>16</v>
      </c>
      <c r="O4" s="30">
        <v>2.3479999999999999</v>
      </c>
      <c r="Q4" s="15"/>
      <c r="R4" s="15"/>
      <c r="T4" s="19">
        <v>29093</v>
      </c>
      <c r="U4" s="19">
        <v>13383</v>
      </c>
      <c r="V4" s="23">
        <v>0.1</v>
      </c>
      <c r="W4" s="19">
        <v>13308</v>
      </c>
      <c r="X4" s="23">
        <v>0.54500000000000004</v>
      </c>
    </row>
    <row r="5" spans="1:24" x14ac:dyDescent="0.2">
      <c r="A5" s="18">
        <v>11</v>
      </c>
      <c r="B5" s="19">
        <v>30765</v>
      </c>
      <c r="C5" s="19">
        <v>14152</v>
      </c>
      <c r="D5" s="31">
        <v>9.5000000000000001E-2</v>
      </c>
      <c r="E5" s="23">
        <v>0.878</v>
      </c>
      <c r="F5" s="31">
        <v>0.55900000000000005</v>
      </c>
      <c r="I5" s="10">
        <f>AVERAGE(M2:M50)</f>
        <v>1.9210422854781857</v>
      </c>
      <c r="J5" s="13"/>
      <c r="K5" s="18"/>
      <c r="L5" s="9">
        <v>3</v>
      </c>
      <c r="M5" s="8">
        <f t="shared" si="0"/>
        <v>1.0768906249999999</v>
      </c>
      <c r="N5" s="22">
        <v>17</v>
      </c>
      <c r="O5" s="30">
        <v>2.7120000000000002</v>
      </c>
      <c r="Q5" s="15"/>
      <c r="R5" s="15"/>
      <c r="T5" s="19">
        <v>30923</v>
      </c>
      <c r="U5" s="19">
        <v>14225</v>
      </c>
      <c r="V5" s="23">
        <v>9.8000000000000004E-2</v>
      </c>
      <c r="W5" s="19">
        <v>13037</v>
      </c>
      <c r="X5" s="23">
        <v>0.55100000000000005</v>
      </c>
    </row>
    <row r="6" spans="1:24" x14ac:dyDescent="0.2">
      <c r="A6" s="18">
        <v>12</v>
      </c>
      <c r="B6" s="19">
        <v>36777</v>
      </c>
      <c r="C6" s="19">
        <v>16917</v>
      </c>
      <c r="D6" s="31">
        <v>7.9000000000000001E-2</v>
      </c>
      <c r="E6" s="23">
        <v>0.878</v>
      </c>
      <c r="F6" s="31">
        <v>0.60899999999999999</v>
      </c>
      <c r="I6" s="10">
        <f>AVERAGE(M2:M49)</f>
        <v>1.8929079672445346</v>
      </c>
      <c r="J6" s="13"/>
      <c r="K6" s="18"/>
      <c r="L6" s="9">
        <v>4</v>
      </c>
      <c r="M6" s="8">
        <f t="shared" si="0"/>
        <v>1.1038128906249998</v>
      </c>
      <c r="N6" s="22">
        <v>18</v>
      </c>
      <c r="O6" s="30">
        <v>3.2959999999999998</v>
      </c>
      <c r="Q6" s="15"/>
      <c r="R6" s="15"/>
      <c r="T6" s="19">
        <v>32868</v>
      </c>
      <c r="U6" s="19">
        <v>15119</v>
      </c>
      <c r="V6" s="23">
        <v>9.6000000000000002E-2</v>
      </c>
      <c r="W6" s="19">
        <v>12771</v>
      </c>
      <c r="X6" s="23">
        <v>0.55700000000000005</v>
      </c>
    </row>
    <row r="7" spans="1:24" x14ac:dyDescent="0.2">
      <c r="A7" s="18">
        <v>13</v>
      </c>
      <c r="B7" s="19">
        <v>38547</v>
      </c>
      <c r="C7" s="19">
        <v>17633</v>
      </c>
      <c r="D7" s="31">
        <v>7.6999999999999999E-2</v>
      </c>
      <c r="E7" s="23">
        <v>0.497</v>
      </c>
      <c r="F7" s="31">
        <v>0.61499999999999999</v>
      </c>
      <c r="I7" s="10">
        <f>AVERAGE(M2:M48)</f>
        <v>1.8652741552202943</v>
      </c>
      <c r="J7" s="13"/>
      <c r="K7" s="18"/>
      <c r="L7" s="9">
        <v>5</v>
      </c>
      <c r="M7" s="8">
        <f t="shared" si="0"/>
        <v>1.1314082128906247</v>
      </c>
      <c r="N7" s="22">
        <v>19</v>
      </c>
      <c r="O7" s="30">
        <v>3.5230000000000001</v>
      </c>
      <c r="Q7" s="15"/>
      <c r="R7" s="15"/>
      <c r="T7" s="19">
        <v>37363</v>
      </c>
      <c r="U7" s="19">
        <v>17054</v>
      </c>
      <c r="V7" s="23">
        <v>9.5000000000000001E-2</v>
      </c>
      <c r="W7" s="19">
        <v>12672</v>
      </c>
      <c r="X7" s="23">
        <v>0.56000000000000005</v>
      </c>
    </row>
    <row r="8" spans="1:24" x14ac:dyDescent="0.2">
      <c r="A8" s="18">
        <v>14</v>
      </c>
      <c r="B8" s="19">
        <v>40403</v>
      </c>
      <c r="C8" s="19">
        <v>18378</v>
      </c>
      <c r="D8" s="31">
        <v>7.4999999999999997E-2</v>
      </c>
      <c r="E8" s="23">
        <v>0.497</v>
      </c>
      <c r="F8" s="31">
        <v>0.621</v>
      </c>
      <c r="I8" s="10">
        <f>AVERAGE(M2:M47)</f>
        <v>1.8381311833585117</v>
      </c>
      <c r="J8" s="13"/>
      <c r="K8" s="18"/>
      <c r="L8" s="9">
        <v>6</v>
      </c>
      <c r="M8" s="8">
        <f t="shared" si="0"/>
        <v>1.1596934182128902</v>
      </c>
      <c r="N8" s="22">
        <v>20</v>
      </c>
      <c r="O8" s="30">
        <v>3.3740000000000001</v>
      </c>
      <c r="Q8" s="15"/>
      <c r="R8" s="15"/>
      <c r="T8" s="19">
        <v>42472</v>
      </c>
      <c r="U8" s="19">
        <v>19237</v>
      </c>
      <c r="V8" s="23">
        <v>9.2999999999999999E-2</v>
      </c>
      <c r="W8" s="19">
        <v>12574</v>
      </c>
      <c r="X8" s="23">
        <v>0.56299999999999994</v>
      </c>
    </row>
    <row r="9" spans="1:24" x14ac:dyDescent="0.2">
      <c r="A9" s="18">
        <v>15</v>
      </c>
      <c r="B9" s="19">
        <v>42348</v>
      </c>
      <c r="C9" s="19">
        <v>19155</v>
      </c>
      <c r="D9" s="31">
        <v>7.2999999999999995E-2</v>
      </c>
      <c r="E9" s="23">
        <v>0.497</v>
      </c>
      <c r="F9" s="31">
        <v>0.627</v>
      </c>
      <c r="I9" s="10">
        <f>AVERAGE(M2:M46)</f>
        <v>1.8114695812355892</v>
      </c>
      <c r="J9" s="13"/>
      <c r="K9" s="18"/>
      <c r="L9" s="9">
        <v>7</v>
      </c>
      <c r="M9" s="8">
        <f t="shared" si="0"/>
        <v>1.1886857536682125</v>
      </c>
      <c r="N9" s="22">
        <v>21</v>
      </c>
      <c r="O9" s="30">
        <v>3.0640000000000001</v>
      </c>
      <c r="Q9" s="15"/>
      <c r="R9" s="15"/>
      <c r="T9" s="19">
        <v>48280</v>
      </c>
      <c r="U9" s="19">
        <v>21699</v>
      </c>
      <c r="V9" s="23">
        <v>9.1999999999999998E-2</v>
      </c>
      <c r="W9" s="19">
        <v>12476</v>
      </c>
      <c r="X9" s="23">
        <v>0.56499999999999995</v>
      </c>
    </row>
    <row r="10" spans="1:24" x14ac:dyDescent="0.2">
      <c r="A10" s="18">
        <v>16</v>
      </c>
      <c r="B10" s="19">
        <v>56009</v>
      </c>
      <c r="C10" s="19">
        <v>24581</v>
      </c>
      <c r="D10" s="31">
        <v>5.8999999999999997E-2</v>
      </c>
      <c r="E10" s="23">
        <v>0.497</v>
      </c>
      <c r="F10" s="31">
        <v>0.66700000000000004</v>
      </c>
      <c r="I10" s="10">
        <f>AVERAGE(M2:M45)</f>
        <v>1.7852800699689915</v>
      </c>
      <c r="J10" s="13"/>
      <c r="K10" s="18"/>
      <c r="L10" s="9">
        <v>8</v>
      </c>
      <c r="M10" s="8">
        <f t="shared" si="0"/>
        <v>1.2184028975099177</v>
      </c>
      <c r="N10" s="22">
        <v>22</v>
      </c>
      <c r="O10" s="30">
        <v>2.8079999999999998</v>
      </c>
      <c r="Q10" s="15"/>
      <c r="R10" s="15"/>
      <c r="T10" s="19">
        <v>54882</v>
      </c>
      <c r="U10" s="19">
        <v>24477</v>
      </c>
      <c r="V10" s="23">
        <v>9.0999999999999998E-2</v>
      </c>
      <c r="W10" s="19">
        <v>12379</v>
      </c>
      <c r="X10" s="23">
        <v>0.56799999999999995</v>
      </c>
    </row>
    <row r="11" spans="1:24" x14ac:dyDescent="0.2">
      <c r="A11" s="18">
        <v>17</v>
      </c>
      <c r="B11" s="19">
        <v>57677</v>
      </c>
      <c r="C11" s="19">
        <v>25202</v>
      </c>
      <c r="D11" s="31">
        <v>5.8999999999999997E-2</v>
      </c>
      <c r="E11" s="23">
        <v>0.214</v>
      </c>
      <c r="F11" s="31">
        <v>0.66700000000000004</v>
      </c>
      <c r="I11" s="10">
        <f>AVERAGE(M2:M44)</f>
        <v>1.7595535582220223</v>
      </c>
      <c r="J11" s="13"/>
      <c r="K11" s="18"/>
      <c r="L11" s="9">
        <v>9</v>
      </c>
      <c r="M11" s="8">
        <f t="shared" si="0"/>
        <v>1.2488629699476654</v>
      </c>
      <c r="N11" s="22">
        <v>23</v>
      </c>
      <c r="O11" s="30">
        <v>2.6240000000000001</v>
      </c>
      <c r="Q11" s="15"/>
      <c r="R11" s="15"/>
      <c r="T11" s="19">
        <v>71633</v>
      </c>
      <c r="U11" s="19">
        <v>31591</v>
      </c>
      <c r="V11" s="23">
        <v>0.09</v>
      </c>
      <c r="W11" s="19">
        <v>12379</v>
      </c>
      <c r="X11" s="23">
        <v>0.56799999999999995</v>
      </c>
    </row>
    <row r="12" spans="1:24" x14ac:dyDescent="0.2">
      <c r="A12" s="18">
        <v>18</v>
      </c>
      <c r="B12" s="19">
        <v>69182</v>
      </c>
      <c r="C12" s="19">
        <v>29467</v>
      </c>
      <c r="D12" s="31">
        <v>5.2999999999999999E-2</v>
      </c>
      <c r="E12" s="23">
        <v>0.214</v>
      </c>
      <c r="F12" s="31">
        <v>0.66700000000000004</v>
      </c>
      <c r="I12" s="10">
        <f>AVERAGE(M2:M43)</f>
        <v>1.7342811382937739</v>
      </c>
      <c r="J12" s="13"/>
      <c r="K12" s="18"/>
      <c r="L12" s="9">
        <v>10</v>
      </c>
      <c r="M12" s="8">
        <f t="shared" si="0"/>
        <v>1.2800845441963571</v>
      </c>
      <c r="N12" s="22">
        <v>24</v>
      </c>
      <c r="O12" s="30">
        <v>2.5070000000000001</v>
      </c>
      <c r="Q12" s="15"/>
      <c r="R12" s="15"/>
      <c r="T12" s="19">
        <v>93499</v>
      </c>
      <c r="U12" s="19">
        <v>40773</v>
      </c>
      <c r="V12" s="23">
        <v>8.8999999999999996E-2</v>
      </c>
      <c r="W12" s="19">
        <v>12379</v>
      </c>
      <c r="X12" s="23">
        <v>0.56799999999999995</v>
      </c>
    </row>
    <row r="13" spans="1:24" x14ac:dyDescent="0.2">
      <c r="B13"/>
      <c r="C13"/>
      <c r="F13" s="2"/>
      <c r="L13" s="9">
        <v>11</v>
      </c>
      <c r="M13" s="8">
        <f t="shared" si="0"/>
        <v>1.312086657801266</v>
      </c>
      <c r="N13" s="22">
        <v>25</v>
      </c>
      <c r="O13" s="30">
        <v>2.105</v>
      </c>
    </row>
    <row r="14" spans="1:24" x14ac:dyDescent="0.2">
      <c r="B14" s="14"/>
      <c r="C14" s="14"/>
      <c r="D14" s="16"/>
      <c r="E14" s="16"/>
      <c r="F14" s="16"/>
      <c r="L14" s="9">
        <v>12</v>
      </c>
      <c r="M14" s="8">
        <f t="shared" si="0"/>
        <v>1.3448888242462975</v>
      </c>
      <c r="N14" s="22">
        <v>26</v>
      </c>
      <c r="O14" s="30">
        <v>2.105</v>
      </c>
    </row>
    <row r="15" spans="1:24" ht="14.25" x14ac:dyDescent="0.2">
      <c r="B15" s="14"/>
      <c r="C15" s="14"/>
      <c r="D15" s="17"/>
      <c r="E15" s="17"/>
      <c r="F15" s="27"/>
      <c r="L15" s="9">
        <v>13</v>
      </c>
      <c r="M15" s="8">
        <f t="shared" si="0"/>
        <v>1.3785110448524549</v>
      </c>
      <c r="N15" s="22">
        <v>27</v>
      </c>
      <c r="O15" s="30">
        <v>2.105</v>
      </c>
    </row>
    <row r="16" spans="1:24" ht="14.25" x14ac:dyDescent="0.2">
      <c r="B16" s="14"/>
      <c r="C16" s="14"/>
      <c r="D16" s="17"/>
      <c r="E16" s="17"/>
      <c r="F16" s="16" t="s">
        <v>52</v>
      </c>
      <c r="L16" s="9">
        <v>14</v>
      </c>
      <c r="M16" s="8">
        <f t="shared" si="0"/>
        <v>1.4129738209737661</v>
      </c>
      <c r="N16" s="22">
        <v>28</v>
      </c>
      <c r="O16" s="30">
        <v>2.105</v>
      </c>
    </row>
    <row r="17" spans="2:15" ht="14.25" x14ac:dyDescent="0.2">
      <c r="B17" s="14"/>
      <c r="C17" s="14"/>
      <c r="D17" s="17"/>
      <c r="E17" s="17"/>
      <c r="F17" s="27" t="s">
        <v>60</v>
      </c>
      <c r="L17" s="9">
        <v>15</v>
      </c>
      <c r="M17" s="8">
        <f t="shared" si="0"/>
        <v>1.4482981664981105</v>
      </c>
      <c r="N17" s="22">
        <v>29</v>
      </c>
      <c r="O17" s="30">
        <v>2.105</v>
      </c>
    </row>
    <row r="18" spans="2:15" ht="14.25" x14ac:dyDescent="0.2">
      <c r="B18" s="14"/>
      <c r="C18" s="14"/>
      <c r="D18" s="17"/>
      <c r="E18" s="17"/>
      <c r="F18" s="16"/>
      <c r="L18" s="9">
        <v>16</v>
      </c>
      <c r="M18" s="8">
        <f t="shared" si="0"/>
        <v>1.4845056206605631</v>
      </c>
      <c r="N18" s="22">
        <v>30</v>
      </c>
      <c r="O18" s="30">
        <v>1.6970000000000001</v>
      </c>
    </row>
    <row r="19" spans="2:15" ht="14.25" x14ac:dyDescent="0.2">
      <c r="B19" s="14"/>
      <c r="C19" s="14"/>
      <c r="D19" s="17"/>
      <c r="E19" s="17"/>
      <c r="F19" s="16"/>
      <c r="L19" s="9">
        <v>17</v>
      </c>
      <c r="M19" s="8">
        <f t="shared" si="0"/>
        <v>1.521618261177077</v>
      </c>
      <c r="N19" s="22">
        <v>31</v>
      </c>
      <c r="O19" s="30">
        <v>1.6970000000000001</v>
      </c>
    </row>
    <row r="20" spans="2:15" ht="14.25" x14ac:dyDescent="0.2">
      <c r="B20" s="14"/>
      <c r="C20" s="14"/>
      <c r="D20" s="17"/>
      <c r="E20" s="17"/>
      <c r="F20" s="16"/>
      <c r="L20" s="9">
        <v>18</v>
      </c>
      <c r="M20" s="8">
        <f t="shared" si="0"/>
        <v>1.559658717706504</v>
      </c>
      <c r="N20" s="22">
        <v>32</v>
      </c>
      <c r="O20" s="30">
        <v>1.6970000000000001</v>
      </c>
    </row>
    <row r="21" spans="2:15" ht="14.25" x14ac:dyDescent="0.2">
      <c r="B21" s="14"/>
      <c r="C21" s="14"/>
      <c r="D21" s="17"/>
      <c r="E21" s="17"/>
      <c r="F21" s="16"/>
      <c r="L21" s="9">
        <v>19</v>
      </c>
      <c r="M21" s="8">
        <f t="shared" si="0"/>
        <v>1.5986501856491666</v>
      </c>
      <c r="N21" s="22">
        <v>33</v>
      </c>
      <c r="O21" s="30">
        <v>1.6970000000000001</v>
      </c>
    </row>
    <row r="22" spans="2:15" ht="14.25" x14ac:dyDescent="0.2">
      <c r="B22" s="14"/>
      <c r="C22" s="14"/>
      <c r="D22" s="17"/>
      <c r="E22" s="17"/>
      <c r="F22" s="16"/>
      <c r="L22" s="9">
        <v>20</v>
      </c>
      <c r="M22" s="8">
        <f t="shared" si="0"/>
        <v>1.6386164402903955</v>
      </c>
      <c r="N22" s="22">
        <v>34</v>
      </c>
      <c r="O22" s="30">
        <v>1.6970000000000001</v>
      </c>
    </row>
    <row r="23" spans="2:15" ht="14.25" x14ac:dyDescent="0.2">
      <c r="B23" s="14"/>
      <c r="C23" s="14"/>
      <c r="D23" s="17"/>
      <c r="E23" s="17"/>
      <c r="F23" s="16"/>
      <c r="L23" s="9">
        <v>21</v>
      </c>
      <c r="M23" s="8">
        <f t="shared" si="0"/>
        <v>1.6795818512976552</v>
      </c>
      <c r="N23" s="22">
        <v>35</v>
      </c>
      <c r="O23" s="30">
        <v>1.3169999999999999</v>
      </c>
    </row>
    <row r="24" spans="2:15" ht="14.25" x14ac:dyDescent="0.2">
      <c r="B24" s="14"/>
      <c r="C24" s="14"/>
      <c r="D24" s="17"/>
      <c r="E24" s="17"/>
      <c r="F24" s="16"/>
      <c r="L24" s="9">
        <v>22</v>
      </c>
      <c r="M24" s="8">
        <f t="shared" si="0"/>
        <v>1.7215713975800966</v>
      </c>
      <c r="N24" s="22">
        <v>36</v>
      </c>
      <c r="O24" s="30">
        <v>1.3169999999999999</v>
      </c>
    </row>
    <row r="25" spans="2:15" ht="14.25" x14ac:dyDescent="0.2">
      <c r="B25" s="14"/>
      <c r="C25" s="14"/>
      <c r="D25" s="17"/>
      <c r="E25" s="17"/>
      <c r="F25" s="16"/>
      <c r="L25" s="9">
        <v>23</v>
      </c>
      <c r="M25" s="8">
        <f t="shared" si="0"/>
        <v>1.7646106825195991</v>
      </c>
      <c r="N25" s="22">
        <v>37</v>
      </c>
      <c r="O25" s="30">
        <v>1.3169999999999999</v>
      </c>
    </row>
    <row r="26" spans="2:15" x14ac:dyDescent="0.2">
      <c r="B26" s="14"/>
      <c r="C26" s="14"/>
      <c r="D26" s="16"/>
      <c r="E26" s="16"/>
      <c r="F26" s="16"/>
      <c r="L26" s="9">
        <v>24</v>
      </c>
      <c r="M26" s="8">
        <f t="shared" si="0"/>
        <v>1.8087259495825889</v>
      </c>
      <c r="N26" s="22">
        <v>38</v>
      </c>
      <c r="O26" s="30">
        <v>1.3169999999999999</v>
      </c>
    </row>
    <row r="27" spans="2:15" x14ac:dyDescent="0.2">
      <c r="B27" s="2"/>
      <c r="C27" s="2"/>
      <c r="D27" s="2"/>
      <c r="E27" s="2"/>
      <c r="F27" s="2"/>
      <c r="L27" s="9">
        <v>25</v>
      </c>
      <c r="M27" s="8">
        <f t="shared" si="0"/>
        <v>1.8539440983221533</v>
      </c>
      <c r="N27" s="22">
        <v>39</v>
      </c>
      <c r="O27" s="30">
        <v>1.3169999999999999</v>
      </c>
    </row>
    <row r="28" spans="2:15" x14ac:dyDescent="0.2">
      <c r="B28" s="2"/>
      <c r="C28" s="2"/>
      <c r="D28" s="2"/>
      <c r="E28" s="2"/>
      <c r="F28" s="2"/>
      <c r="L28" s="9">
        <v>26</v>
      </c>
      <c r="M28" s="8">
        <f t="shared" si="0"/>
        <v>1.9002927007802071</v>
      </c>
      <c r="N28" s="22">
        <v>40</v>
      </c>
      <c r="O28" s="30">
        <v>1.1519999999999999</v>
      </c>
    </row>
    <row r="29" spans="2:15" x14ac:dyDescent="0.2">
      <c r="L29" s="9">
        <v>27</v>
      </c>
      <c r="M29" s="8">
        <f t="shared" si="0"/>
        <v>1.9478000182997122</v>
      </c>
      <c r="N29" s="22">
        <v>41</v>
      </c>
      <c r="O29" s="30">
        <v>1.1519999999999999</v>
      </c>
    </row>
    <row r="30" spans="2:15" x14ac:dyDescent="0.2">
      <c r="L30" s="9">
        <v>28</v>
      </c>
      <c r="M30" s="8">
        <f t="shared" si="0"/>
        <v>1.9964950187572048</v>
      </c>
      <c r="N30" s="22">
        <v>42</v>
      </c>
      <c r="O30" s="30">
        <v>1.1519999999999999</v>
      </c>
    </row>
    <row r="31" spans="2:15" x14ac:dyDescent="0.2">
      <c r="L31" s="9">
        <v>29</v>
      </c>
      <c r="M31" s="8">
        <f t="shared" si="0"/>
        <v>2.0464073942261352</v>
      </c>
      <c r="N31" s="22">
        <v>43</v>
      </c>
      <c r="O31" s="30">
        <v>1.1519999999999999</v>
      </c>
    </row>
    <row r="32" spans="2:15" x14ac:dyDescent="0.2">
      <c r="L32" s="9">
        <v>30</v>
      </c>
      <c r="M32" s="8">
        <f t="shared" si="0"/>
        <v>2.097567579081788</v>
      </c>
      <c r="N32" s="22">
        <v>44</v>
      </c>
      <c r="O32" s="30">
        <v>1.1519999999999999</v>
      </c>
    </row>
    <row r="33" spans="12:15" x14ac:dyDescent="0.2">
      <c r="L33" s="9">
        <v>31</v>
      </c>
      <c r="M33" s="8">
        <f t="shared" si="0"/>
        <v>2.1500067685588333</v>
      </c>
      <c r="N33" s="22">
        <v>45</v>
      </c>
      <c r="O33" s="30">
        <v>0.93100000000000005</v>
      </c>
    </row>
    <row r="34" spans="12:15" x14ac:dyDescent="0.2">
      <c r="L34" s="9">
        <v>32</v>
      </c>
      <c r="M34" s="8">
        <f t="shared" ref="M34:M53" si="1">(1+experiencepremium)^L34</f>
        <v>2.2037569377728037</v>
      </c>
      <c r="N34" s="22">
        <v>46</v>
      </c>
      <c r="O34" s="30">
        <v>0.93100000000000005</v>
      </c>
    </row>
    <row r="35" spans="12:15" x14ac:dyDescent="0.2">
      <c r="L35" s="9">
        <v>33</v>
      </c>
      <c r="M35" s="8">
        <f t="shared" si="1"/>
        <v>2.2588508612171236</v>
      </c>
      <c r="N35" s="22">
        <v>47</v>
      </c>
      <c r="O35" s="30">
        <v>0.93100000000000005</v>
      </c>
    </row>
    <row r="36" spans="12:15" x14ac:dyDescent="0.2">
      <c r="L36" s="9">
        <v>34</v>
      </c>
      <c r="M36" s="8">
        <f t="shared" si="1"/>
        <v>2.3153221327475517</v>
      </c>
      <c r="N36" s="22">
        <v>48</v>
      </c>
      <c r="O36" s="30">
        <v>0.93100000000000005</v>
      </c>
    </row>
    <row r="37" spans="12:15" x14ac:dyDescent="0.2">
      <c r="L37" s="9">
        <v>35</v>
      </c>
      <c r="M37" s="8">
        <f t="shared" si="1"/>
        <v>2.3732051860662402</v>
      </c>
      <c r="N37" s="22">
        <v>49</v>
      </c>
      <c r="O37" s="30">
        <v>0.93100000000000005</v>
      </c>
    </row>
    <row r="38" spans="12:15" x14ac:dyDescent="0.2">
      <c r="L38" s="9">
        <v>36</v>
      </c>
      <c r="M38" s="8">
        <f t="shared" si="1"/>
        <v>2.4325353157178964</v>
      </c>
      <c r="N38" s="22">
        <v>50</v>
      </c>
      <c r="O38" s="30">
        <v>0.622</v>
      </c>
    </row>
    <row r="39" spans="12:15" x14ac:dyDescent="0.2">
      <c r="L39" s="9">
        <v>37</v>
      </c>
      <c r="M39" s="8">
        <f t="shared" si="1"/>
        <v>2.4933486986108435</v>
      </c>
      <c r="N39" s="22">
        <v>51</v>
      </c>
      <c r="O39" s="30">
        <v>0.622</v>
      </c>
    </row>
    <row r="40" spans="12:15" x14ac:dyDescent="0.2">
      <c r="L40" s="9">
        <v>38</v>
      </c>
      <c r="M40" s="8">
        <f t="shared" si="1"/>
        <v>2.555682416076114</v>
      </c>
      <c r="N40" s="22">
        <v>52</v>
      </c>
      <c r="O40" s="30">
        <v>0.622</v>
      </c>
    </row>
    <row r="41" spans="12:15" x14ac:dyDescent="0.2">
      <c r="L41" s="9">
        <v>39</v>
      </c>
      <c r="M41" s="8">
        <f t="shared" si="1"/>
        <v>2.6195744764780171</v>
      </c>
      <c r="N41" s="22">
        <v>53</v>
      </c>
      <c r="O41" s="30">
        <v>0.622</v>
      </c>
    </row>
    <row r="42" spans="12:15" x14ac:dyDescent="0.2">
      <c r="L42" s="9">
        <v>40</v>
      </c>
      <c r="M42" s="8">
        <f t="shared" si="1"/>
        <v>2.6850638383899672</v>
      </c>
      <c r="N42" s="22">
        <v>54</v>
      </c>
      <c r="O42" s="30">
        <v>0.622</v>
      </c>
    </row>
    <row r="43" spans="12:15" x14ac:dyDescent="0.2">
      <c r="L43" s="9">
        <v>41</v>
      </c>
      <c r="M43" s="8">
        <f t="shared" si="1"/>
        <v>2.7521904343497163</v>
      </c>
      <c r="N43" s="22">
        <v>55</v>
      </c>
      <c r="O43" s="30">
        <v>0.34499999999999997</v>
      </c>
    </row>
    <row r="44" spans="12:15" x14ac:dyDescent="0.2">
      <c r="L44" s="9">
        <v>42</v>
      </c>
      <c r="M44" s="8">
        <f t="shared" si="1"/>
        <v>2.8209951952084591</v>
      </c>
      <c r="N44" s="22">
        <v>56</v>
      </c>
      <c r="O44" s="30">
        <v>0.34499999999999997</v>
      </c>
    </row>
    <row r="45" spans="12:15" x14ac:dyDescent="0.2">
      <c r="L45" s="9">
        <v>43</v>
      </c>
      <c r="M45" s="8">
        <f t="shared" si="1"/>
        <v>2.8915200750886707</v>
      </c>
      <c r="N45" s="22">
        <v>57</v>
      </c>
      <c r="O45" s="30">
        <v>0.34499999999999997</v>
      </c>
    </row>
    <row r="46" spans="12:15" x14ac:dyDescent="0.2">
      <c r="L46" s="9">
        <v>44</v>
      </c>
      <c r="M46" s="8">
        <f t="shared" si="1"/>
        <v>2.9638080769658868</v>
      </c>
      <c r="N46" s="22">
        <v>58</v>
      </c>
      <c r="O46" s="30">
        <v>0.34499999999999997</v>
      </c>
    </row>
    <row r="47" spans="12:15" x14ac:dyDescent="0.2">
      <c r="L47" s="9">
        <v>45</v>
      </c>
      <c r="M47" s="8">
        <f t="shared" si="1"/>
        <v>3.0379032788900342</v>
      </c>
      <c r="N47" s="22">
        <v>59</v>
      </c>
      <c r="O47" s="30">
        <v>0.34499999999999997</v>
      </c>
    </row>
    <row r="48" spans="12:15" x14ac:dyDescent="0.2">
      <c r="L48" s="9">
        <v>46</v>
      </c>
      <c r="M48" s="8">
        <f t="shared" si="1"/>
        <v>3.1138508608622844</v>
      </c>
      <c r="N48" s="22">
        <v>60</v>
      </c>
      <c r="O48" s="30">
        <v>0.182</v>
      </c>
    </row>
    <row r="49" spans="12:15" x14ac:dyDescent="0.2">
      <c r="L49" s="9">
        <v>47</v>
      </c>
      <c r="M49" s="8">
        <f t="shared" si="1"/>
        <v>3.1916971323838421</v>
      </c>
      <c r="N49" s="22">
        <v>61</v>
      </c>
      <c r="O49" s="30">
        <v>0.182</v>
      </c>
    </row>
    <row r="50" spans="12:15" x14ac:dyDescent="0.2">
      <c r="L50" s="9">
        <v>48</v>
      </c>
      <c r="M50" s="8">
        <f t="shared" si="1"/>
        <v>3.2714895606934378</v>
      </c>
      <c r="N50" s="22">
        <v>62</v>
      </c>
      <c r="O50" s="30">
        <v>0.182</v>
      </c>
    </row>
    <row r="51" spans="12:15" x14ac:dyDescent="0.2">
      <c r="L51" s="9">
        <v>49</v>
      </c>
      <c r="M51" s="8">
        <f t="shared" si="1"/>
        <v>3.3532767997107733</v>
      </c>
      <c r="N51" s="22">
        <v>63</v>
      </c>
      <c r="O51" s="30">
        <v>0.182</v>
      </c>
    </row>
    <row r="52" spans="12:15" x14ac:dyDescent="0.2">
      <c r="L52" s="9">
        <v>50</v>
      </c>
      <c r="M52" s="8">
        <f t="shared" si="1"/>
        <v>3.4371087197035428</v>
      </c>
      <c r="N52" s="22">
        <v>64</v>
      </c>
      <c r="O52" s="30">
        <v>0.182</v>
      </c>
    </row>
    <row r="53" spans="12:15" x14ac:dyDescent="0.2">
      <c r="L53" s="9">
        <v>51</v>
      </c>
      <c r="M53" s="8">
        <f t="shared" si="1"/>
        <v>3.5230364376961316</v>
      </c>
      <c r="N53" s="22">
        <v>65</v>
      </c>
      <c r="O53" s="30">
        <v>5.5E-2</v>
      </c>
    </row>
    <row r="54" spans="12:15" x14ac:dyDescent="0.2">
      <c r="N54" s="22">
        <v>66</v>
      </c>
      <c r="O54" s="30">
        <v>5.5E-2</v>
      </c>
    </row>
    <row r="55" spans="12:15" x14ac:dyDescent="0.2">
      <c r="N55" s="22">
        <v>67</v>
      </c>
      <c r="O55" s="30">
        <v>5.5E-2</v>
      </c>
    </row>
    <row r="56" spans="12:15" x14ac:dyDescent="0.2">
      <c r="N56" s="22">
        <v>68</v>
      </c>
      <c r="O56" s="30">
        <v>5.5E-2</v>
      </c>
    </row>
    <row r="57" spans="12:15" x14ac:dyDescent="0.2">
      <c r="N57" s="22">
        <v>69</v>
      </c>
      <c r="O57" s="30">
        <v>5.5E-2</v>
      </c>
    </row>
    <row r="58" spans="12:15" x14ac:dyDescent="0.2">
      <c r="N58" s="22">
        <v>70</v>
      </c>
      <c r="O58" s="30">
        <v>5.5E-2</v>
      </c>
    </row>
    <row r="59" spans="12:15" x14ac:dyDescent="0.2">
      <c r="N59" s="22">
        <v>71</v>
      </c>
      <c r="O59" s="30">
        <v>5.5E-2</v>
      </c>
    </row>
    <row r="60" spans="12:15" x14ac:dyDescent="0.2">
      <c r="N60" s="22">
        <v>72</v>
      </c>
      <c r="O60" s="30">
        <v>5.5E-2</v>
      </c>
    </row>
    <row r="61" spans="12:15" x14ac:dyDescent="0.2">
      <c r="N61" s="22">
        <v>73</v>
      </c>
      <c r="O61" s="30">
        <v>5.5E-2</v>
      </c>
    </row>
    <row r="62" spans="12:15" x14ac:dyDescent="0.2">
      <c r="N62" s="22">
        <v>74</v>
      </c>
      <c r="O62" s="30">
        <v>5.5E-2</v>
      </c>
    </row>
    <row r="63" spans="12:15" x14ac:dyDescent="0.2">
      <c r="N63" s="22">
        <v>75</v>
      </c>
      <c r="O63" s="30">
        <v>5.5E-2</v>
      </c>
    </row>
    <row r="64" spans="12:15" x14ac:dyDescent="0.2">
      <c r="N64" s="22">
        <v>76</v>
      </c>
      <c r="O64" s="30">
        <v>5.5E-2</v>
      </c>
    </row>
    <row r="65" spans="14:15" x14ac:dyDescent="0.2">
      <c r="N65" s="22">
        <v>77</v>
      </c>
      <c r="O65" s="30">
        <v>5.5E-2</v>
      </c>
    </row>
    <row r="66" spans="14:15" x14ac:dyDescent="0.2">
      <c r="N66" s="22">
        <v>78</v>
      </c>
      <c r="O66" s="30">
        <v>5.5E-2</v>
      </c>
    </row>
    <row r="67" spans="14:15" x14ac:dyDescent="0.2">
      <c r="N67" s="22">
        <v>79</v>
      </c>
      <c r="O67" s="30">
        <v>5.5E-2</v>
      </c>
    </row>
    <row r="68" spans="14:15" x14ac:dyDescent="0.2">
      <c r="N68" s="22">
        <v>80</v>
      </c>
      <c r="O68" s="30">
        <v>5.5E-2</v>
      </c>
    </row>
    <row r="69" spans="14:15" x14ac:dyDescent="0.2">
      <c r="N69" s="22">
        <v>81</v>
      </c>
      <c r="O69" s="30">
        <v>5.5E-2</v>
      </c>
    </row>
    <row r="70" spans="14:15" x14ac:dyDescent="0.2">
      <c r="N70" s="22">
        <v>82</v>
      </c>
      <c r="O70" s="30">
        <v>5.5E-2</v>
      </c>
    </row>
    <row r="71" spans="14:15" x14ac:dyDescent="0.2">
      <c r="N71" s="22">
        <v>83</v>
      </c>
      <c r="O71" s="30">
        <v>5.5E-2</v>
      </c>
    </row>
    <row r="72" spans="14:15" x14ac:dyDescent="0.2">
      <c r="N72" s="22">
        <v>84</v>
      </c>
      <c r="O72" s="30">
        <v>5.5E-2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Q2" sqref="Q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Meta!A9+6</f>
        <v>21</v>
      </c>
      <c r="C2" s="7">
        <f>Meta!B9</f>
        <v>42348</v>
      </c>
      <c r="D2" s="7">
        <f>Meta!C9</f>
        <v>19155</v>
      </c>
      <c r="E2" s="1">
        <f>Meta!D9</f>
        <v>7.2999999999999995E-2</v>
      </c>
      <c r="F2" s="1">
        <f>Meta!F9</f>
        <v>0.627</v>
      </c>
      <c r="G2" s="1">
        <f>Meta!I9</f>
        <v>1.8114695812355892</v>
      </c>
      <c r="H2" s="1">
        <f>Meta!E9</f>
        <v>0.497</v>
      </c>
      <c r="I2" s="13"/>
      <c r="J2" s="1">
        <f>Meta!X8</f>
        <v>0.56299999999999994</v>
      </c>
      <c r="K2" s="1">
        <f>Meta!D8</f>
        <v>7.4999999999999997E-2</v>
      </c>
      <c r="L2" s="28"/>
      <c r="N2" s="22">
        <f>Meta!T9</f>
        <v>48280</v>
      </c>
      <c r="O2" s="22">
        <f>Meta!U9</f>
        <v>21699</v>
      </c>
      <c r="P2" s="1">
        <f>Meta!V9</f>
        <v>9.1999999999999998E-2</v>
      </c>
      <c r="Q2" s="1">
        <f>Meta!X9</f>
        <v>0.56499999999999995</v>
      </c>
      <c r="R2" s="22">
        <f>Meta!W9</f>
        <v>12476</v>
      </c>
      <c r="T2" s="12">
        <f>IRR(S5:S69)+1</f>
        <v>1.0410088306512055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B11" s="1">
        <v>1</v>
      </c>
      <c r="C11" s="5">
        <f>0.1*Grade14!C11</f>
        <v>2198.0476891849644</v>
      </c>
      <c r="D11" s="5">
        <f t="shared" ref="D11:D36" si="0">IF(A11&lt;startage,1,0)*(C11*(1-initialunempprob))+IF(A11=startage,1,0)*(C11*(1-unempprob))+IF(A11&gt;startage,1,0)*(C11*(1-unempprob)+unempprob*300*52)</f>
        <v>2033.1941124960922</v>
      </c>
      <c r="E11" s="5">
        <f t="shared" ref="E11:E56" si="1">IF(D11-9500&gt;0,1,0)*(D11-9500)</f>
        <v>0</v>
      </c>
      <c r="F11" s="5">
        <f t="shared" ref="F11:F56" si="2">IF(E11&lt;=8500,1,0)*(0.1*E11+0.1*E11+0.0765*D11)+IF(AND(E11&gt;8500,E11&lt;=34500),1,0)*(850+0.15*(E11-8500)+0.1*E11+0.0765*D11)+IF(AND(E11&gt;34500,E11&lt;=83600),1,0)*(4750+0.25*(E11-34500)+0.1*E11+0.0765*D11)+IF(AND(E11&gt;83600,E11&lt;=174400,D11&lt;=106800),1,0)*(17025+0.28*(E11-83600)+0.1*E11+0.0765*D11)+IF(AND(E11&gt;83600,E11&lt;=174400,D11&gt;106800),1,0)*(17025+0.28*(E11-83600)+0.1*E11+8170.2+0.0145*(D11-106800))+IF(AND(E11&gt;174400,E11&lt;=379150),1,0)*(42449+0.33*(E11-174400)+0.1*E11+8170.2+0.0145*(D11-106800))+IF(E11&gt;379150,1,0)*(110016.5+0.35*(E11-379150)+0.1*E11+8170.2+0.0145*(D11-106800))</f>
        <v>155.53934960595106</v>
      </c>
      <c r="G11" s="5">
        <f t="shared" ref="G11:G56" si="3">D11-F11</f>
        <v>1877.6547628901412</v>
      </c>
      <c r="H11" s="22">
        <f>0.1*Grade14!H11</f>
        <v>999.81982604859229</v>
      </c>
      <c r="I11" s="5">
        <f t="shared" ref="I11:I36" si="4">G11+IF(A11&lt;startage,1,0)*(H11*(1-initialunempprob))+IF(A11&gt;=startage,1,0)*(H11*(1-unempprob))</f>
        <v>2802.4881019850891</v>
      </c>
      <c r="J11" s="25">
        <f t="shared" ref="J11:J56" si="5">(F11-(IF(A11&gt;startage,1,0)*(unempprob*300*52)))/(IF(A11&lt;startage,1,0)*((C11+H11)*(1-initialunempprob))+IF(A11&gt;=startage,1,0)*((C11+H11)*(1-unempprob)))</f>
        <v>5.2582118371582658E-2</v>
      </c>
      <c r="L11" s="22">
        <f>0.1*Grade14!L11</f>
        <v>3044.9438814119462</v>
      </c>
      <c r="M11" s="5">
        <f>scrimecost*Meta!O8</f>
        <v>42094.024000000005</v>
      </c>
      <c r="N11" s="5">
        <f>L11-Grade14!L11</f>
        <v>-27404.494932707516</v>
      </c>
      <c r="O11" s="5"/>
      <c r="P11" s="22"/>
      <c r="Q11" s="22">
        <f>0.05*feel*Grade14!G11</f>
        <v>230.90987286725655</v>
      </c>
      <c r="R11" s="22">
        <f>coltuition</f>
        <v>8279</v>
      </c>
      <c r="S11" s="22">
        <f t="shared" ref="S11:S42" si="6">IF(A11&lt;startage,1,0)*(N11-Q11-R11)+IF(A11&gt;=startage,1,0)*completionprob*(N11*spart+O11+P11)</f>
        <v>-35914.40480557477</v>
      </c>
      <c r="T11" s="22">
        <f t="shared" ref="T11:T42" si="7">S11/sreturn^(A11-startage+1)</f>
        <v>-35914.40480557477</v>
      </c>
    </row>
    <row r="12" spans="1:20" x14ac:dyDescent="0.2">
      <c r="A12" s="5">
        <v>21</v>
      </c>
      <c r="B12" s="1">
        <f t="shared" ref="B12:B36" si="8">(1+experiencepremium)^(A12-startage)</f>
        <v>1</v>
      </c>
      <c r="C12" s="5">
        <f t="shared" ref="C12:C36" si="9">pretaxincome*B12/expnorm</f>
        <v>23377.704179340821</v>
      </c>
      <c r="D12" s="5">
        <f t="shared" si="0"/>
        <v>21671.131774248941</v>
      </c>
      <c r="E12" s="5">
        <f t="shared" si="1"/>
        <v>12171.131774248941</v>
      </c>
      <c r="F12" s="5">
        <f t="shared" si="2"/>
        <v>4275.6245242922796</v>
      </c>
      <c r="G12" s="5">
        <f t="shared" si="3"/>
        <v>17395.50724995666</v>
      </c>
      <c r="H12" s="22">
        <f t="shared" ref="H12:H36" si="10">benefits*B12/expnorm</f>
        <v>10574.287417475995</v>
      </c>
      <c r="I12" s="5">
        <f t="shared" si="4"/>
        <v>27197.871685956907</v>
      </c>
      <c r="J12" s="25">
        <f t="shared" si="5"/>
        <v>0.13584841339933323</v>
      </c>
      <c r="L12" s="22">
        <f t="shared" ref="L12:L36" si="11">(sincome+sbenefits)*(1-sunemp)*B12/expnorm</f>
        <v>35077.007451960206</v>
      </c>
      <c r="M12" s="5">
        <f>scrimecost*Meta!O9</f>
        <v>38226.464</v>
      </c>
      <c r="N12" s="5">
        <f>L12-Grade14!L12</f>
        <v>3866.3326674877608</v>
      </c>
      <c r="O12" s="5">
        <f>Grade14!M12-M12</f>
        <v>300.27199999999721</v>
      </c>
      <c r="P12" s="22">
        <f t="shared" ref="P12:P56" si="12">(spart-initialspart)*(L12*J12+nptrans)</f>
        <v>22.638311618290786</v>
      </c>
      <c r="Q12" s="22"/>
      <c r="R12" s="22"/>
      <c r="S12" s="22">
        <f t="shared" si="6"/>
        <v>1246.1719695681898</v>
      </c>
      <c r="T12" s="22">
        <f t="shared" si="7"/>
        <v>1197.0810745079309</v>
      </c>
    </row>
    <row r="13" spans="1:20" x14ac:dyDescent="0.2">
      <c r="A13" s="5">
        <v>22</v>
      </c>
      <c r="B13" s="1">
        <f t="shared" si="8"/>
        <v>1.0249999999999999</v>
      </c>
      <c r="C13" s="5">
        <f t="shared" si="9"/>
        <v>23962.146783824341</v>
      </c>
      <c r="D13" s="5">
        <f t="shared" si="0"/>
        <v>23351.710068605164</v>
      </c>
      <c r="E13" s="5">
        <f t="shared" si="1"/>
        <v>13851.710068605164</v>
      </c>
      <c r="F13" s="5">
        <f t="shared" si="2"/>
        <v>4824.3333373995856</v>
      </c>
      <c r="G13" s="5">
        <f t="shared" si="3"/>
        <v>18527.376731205579</v>
      </c>
      <c r="H13" s="22">
        <f t="shared" si="10"/>
        <v>10838.644602912895</v>
      </c>
      <c r="I13" s="5">
        <f t="shared" si="4"/>
        <v>28574.800278105831</v>
      </c>
      <c r="J13" s="25">
        <f t="shared" si="5"/>
        <v>0.11424349733408189</v>
      </c>
      <c r="L13" s="22">
        <f t="shared" si="11"/>
        <v>35953.932638259212</v>
      </c>
      <c r="M13" s="5">
        <f>scrimecost*Meta!O10</f>
        <v>35032.608</v>
      </c>
      <c r="N13" s="5">
        <f>L13-Grade14!L13</f>
        <v>3962.9909841749541</v>
      </c>
      <c r="O13" s="5">
        <f>Grade14!M13-M13</f>
        <v>275.18400000000111</v>
      </c>
      <c r="P13" s="22">
        <f t="shared" si="12"/>
        <v>21.323006015017473</v>
      </c>
      <c r="Q13" s="22"/>
      <c r="R13" s="22"/>
      <c r="S13" s="22">
        <f t="shared" si="6"/>
        <v>1260.1916653007122</v>
      </c>
      <c r="T13" s="22">
        <f t="shared" si="7"/>
        <v>1162.8609208138498</v>
      </c>
    </row>
    <row r="14" spans="1:20" x14ac:dyDescent="0.2">
      <c r="A14" s="5">
        <v>23</v>
      </c>
      <c r="B14" s="1">
        <f t="shared" si="8"/>
        <v>1.0506249999999999</v>
      </c>
      <c r="C14" s="5">
        <f t="shared" si="9"/>
        <v>24561.200453419944</v>
      </c>
      <c r="D14" s="5">
        <f t="shared" si="0"/>
        <v>23907.032820320288</v>
      </c>
      <c r="E14" s="5">
        <f t="shared" si="1"/>
        <v>14407.032820320288</v>
      </c>
      <c r="F14" s="5">
        <f t="shared" si="2"/>
        <v>5005.6462158345739</v>
      </c>
      <c r="G14" s="5">
        <f t="shared" si="3"/>
        <v>18901.386604485713</v>
      </c>
      <c r="H14" s="22">
        <f t="shared" si="10"/>
        <v>11109.610717985717</v>
      </c>
      <c r="I14" s="5">
        <f t="shared" si="4"/>
        <v>29199.995740058475</v>
      </c>
      <c r="J14" s="25">
        <f t="shared" si="5"/>
        <v>0.11694029387482645</v>
      </c>
      <c r="L14" s="22">
        <f t="shared" si="11"/>
        <v>36852.78095421569</v>
      </c>
      <c r="M14" s="5">
        <f>scrimecost*Meta!O11</f>
        <v>32737.024000000001</v>
      </c>
      <c r="N14" s="5">
        <f>L14-Grade14!L14</f>
        <v>4062.0657587793248</v>
      </c>
      <c r="O14" s="5">
        <f>Grade14!M14-M14</f>
        <v>257.15199999999822</v>
      </c>
      <c r="P14" s="22">
        <f t="shared" si="12"/>
        <v>21.727150069781199</v>
      </c>
      <c r="Q14" s="22"/>
      <c r="R14" s="22"/>
      <c r="S14" s="22">
        <f t="shared" si="6"/>
        <v>1279.2513129787087</v>
      </c>
      <c r="T14" s="22">
        <f t="shared" si="7"/>
        <v>1133.9466719667464</v>
      </c>
    </row>
    <row r="15" spans="1:20" x14ac:dyDescent="0.2">
      <c r="A15" s="5">
        <v>24</v>
      </c>
      <c r="B15" s="1">
        <f t="shared" si="8"/>
        <v>1.0768906249999999</v>
      </c>
      <c r="C15" s="5">
        <f t="shared" si="9"/>
        <v>25175.230464755445</v>
      </c>
      <c r="D15" s="5">
        <f t="shared" si="0"/>
        <v>24476.238640828298</v>
      </c>
      <c r="E15" s="5">
        <f t="shared" si="1"/>
        <v>14976.238640828298</v>
      </c>
      <c r="F15" s="5">
        <f t="shared" si="2"/>
        <v>5191.4919162304395</v>
      </c>
      <c r="G15" s="5">
        <f t="shared" si="3"/>
        <v>19284.746724597859</v>
      </c>
      <c r="H15" s="22">
        <f t="shared" si="10"/>
        <v>11387.350985935358</v>
      </c>
      <c r="I15" s="5">
        <f t="shared" si="4"/>
        <v>29840.821088559936</v>
      </c>
      <c r="J15" s="25">
        <f t="shared" si="5"/>
        <v>0.11957131489018702</v>
      </c>
      <c r="L15" s="22">
        <f t="shared" si="11"/>
        <v>37774.100478071079</v>
      </c>
      <c r="M15" s="5">
        <f>scrimecost*Meta!O12</f>
        <v>31277.332000000002</v>
      </c>
      <c r="N15" s="5">
        <f>L15-Grade14!L15</f>
        <v>4163.6174027488087</v>
      </c>
      <c r="O15" s="5">
        <f>Grade14!M15-M15</f>
        <v>245.68599999999788</v>
      </c>
      <c r="P15" s="22">
        <f t="shared" si="12"/>
        <v>22.141397725914022</v>
      </c>
      <c r="Q15" s="22"/>
      <c r="R15" s="22"/>
      <c r="S15" s="22">
        <f t="shared" si="6"/>
        <v>1302.2748014486574</v>
      </c>
      <c r="T15" s="22">
        <f t="shared" si="7"/>
        <v>1108.8811042337893</v>
      </c>
    </row>
    <row r="16" spans="1:20" x14ac:dyDescent="0.2">
      <c r="A16" s="5">
        <v>25</v>
      </c>
      <c r="B16" s="1">
        <f t="shared" si="8"/>
        <v>1.1038128906249998</v>
      </c>
      <c r="C16" s="5">
        <f t="shared" si="9"/>
        <v>25804.611226374327</v>
      </c>
      <c r="D16" s="5">
        <f t="shared" si="0"/>
        <v>25059.674606849003</v>
      </c>
      <c r="E16" s="5">
        <f t="shared" si="1"/>
        <v>15559.674606849003</v>
      </c>
      <c r="F16" s="5">
        <f t="shared" si="2"/>
        <v>5381.9837591361993</v>
      </c>
      <c r="G16" s="5">
        <f t="shared" si="3"/>
        <v>19677.690847712802</v>
      </c>
      <c r="H16" s="22">
        <f t="shared" si="10"/>
        <v>11672.03476058374</v>
      </c>
      <c r="I16" s="5">
        <f t="shared" si="4"/>
        <v>30497.667070773929</v>
      </c>
      <c r="J16" s="25">
        <f t="shared" si="5"/>
        <v>0.12213816466127049</v>
      </c>
      <c r="L16" s="22">
        <f t="shared" si="11"/>
        <v>38718.452990022852</v>
      </c>
      <c r="M16" s="5">
        <f>scrimecost*Meta!O13</f>
        <v>26261.98</v>
      </c>
      <c r="N16" s="5">
        <f>L16-Grade14!L16</f>
        <v>4267.7078378175283</v>
      </c>
      <c r="O16" s="5">
        <f>Grade14!M16-M16</f>
        <v>206.29000000000087</v>
      </c>
      <c r="P16" s="22">
        <f t="shared" si="12"/>
        <v>22.566001573450162</v>
      </c>
      <c r="Q16" s="22"/>
      <c r="R16" s="22"/>
      <c r="S16" s="22">
        <f t="shared" si="6"/>
        <v>1312.1351321803561</v>
      </c>
      <c r="T16" s="22">
        <f t="shared" si="7"/>
        <v>1073.2638363520214</v>
      </c>
    </row>
    <row r="17" spans="1:20" x14ac:dyDescent="0.2">
      <c r="A17" s="5">
        <v>26</v>
      </c>
      <c r="B17" s="1">
        <f t="shared" si="8"/>
        <v>1.1314082128906247</v>
      </c>
      <c r="C17" s="5">
        <f t="shared" si="9"/>
        <v>26449.726507033687</v>
      </c>
      <c r="D17" s="5">
        <f t="shared" si="0"/>
        <v>25657.696472020227</v>
      </c>
      <c r="E17" s="5">
        <f t="shared" si="1"/>
        <v>16157.696472020227</v>
      </c>
      <c r="F17" s="5">
        <f t="shared" si="2"/>
        <v>5577.2378981146039</v>
      </c>
      <c r="G17" s="5">
        <f t="shared" si="3"/>
        <v>20080.458573905624</v>
      </c>
      <c r="H17" s="22">
        <f t="shared" si="10"/>
        <v>11963.835629598334</v>
      </c>
      <c r="I17" s="5">
        <f t="shared" si="4"/>
        <v>31170.934202543278</v>
      </c>
      <c r="J17" s="25">
        <f t="shared" si="5"/>
        <v>0.12464240834037631</v>
      </c>
      <c r="L17" s="22">
        <f t="shared" si="11"/>
        <v>39686.414314773421</v>
      </c>
      <c r="M17" s="5">
        <f>scrimecost*Meta!O14</f>
        <v>26261.98</v>
      </c>
      <c r="N17" s="5">
        <f>L17-Grade14!L17</f>
        <v>4374.4005337629715</v>
      </c>
      <c r="O17" s="5">
        <f>Grade14!M17-M17</f>
        <v>206.29000000000087</v>
      </c>
      <c r="P17" s="22">
        <f t="shared" si="12"/>
        <v>23.001220517174712</v>
      </c>
      <c r="Q17" s="22"/>
      <c r="R17" s="22"/>
      <c r="S17" s="22">
        <f t="shared" si="6"/>
        <v>1342.3112784803473</v>
      </c>
      <c r="T17" s="22">
        <f t="shared" si="7"/>
        <v>1054.694686249084</v>
      </c>
    </row>
    <row r="18" spans="1:20" x14ac:dyDescent="0.2">
      <c r="A18" s="5">
        <v>27</v>
      </c>
      <c r="B18" s="1">
        <f t="shared" si="8"/>
        <v>1.1596934182128902</v>
      </c>
      <c r="C18" s="5">
        <f t="shared" si="9"/>
        <v>27110.969669709524</v>
      </c>
      <c r="D18" s="5">
        <f t="shared" si="0"/>
        <v>26270.66888382073</v>
      </c>
      <c r="E18" s="5">
        <f t="shared" si="1"/>
        <v>16770.66888382073</v>
      </c>
      <c r="F18" s="5">
        <f t="shared" si="2"/>
        <v>5777.373390567468</v>
      </c>
      <c r="G18" s="5">
        <f t="shared" si="3"/>
        <v>20493.295493253263</v>
      </c>
      <c r="H18" s="22">
        <f t="shared" si="10"/>
        <v>12262.93152033829</v>
      </c>
      <c r="I18" s="5">
        <f t="shared" si="4"/>
        <v>31861.033012606858</v>
      </c>
      <c r="J18" s="25">
        <f t="shared" si="5"/>
        <v>0.1270855729053576</v>
      </c>
      <c r="L18" s="22">
        <f t="shared" si="11"/>
        <v>40678.574672642753</v>
      </c>
      <c r="M18" s="5">
        <f>scrimecost*Meta!O15</f>
        <v>26261.98</v>
      </c>
      <c r="N18" s="5">
        <f>L18-Grade14!L18</f>
        <v>4483.7605471070419</v>
      </c>
      <c r="O18" s="5">
        <f>Grade14!M18-M18</f>
        <v>206.29000000000087</v>
      </c>
      <c r="P18" s="22">
        <f t="shared" si="12"/>
        <v>23.44731993449237</v>
      </c>
      <c r="Q18" s="22"/>
      <c r="R18" s="22"/>
      <c r="S18" s="22">
        <f t="shared" si="6"/>
        <v>1373.2418284378359</v>
      </c>
      <c r="T18" s="22">
        <f t="shared" si="7"/>
        <v>1036.492415588498</v>
      </c>
    </row>
    <row r="19" spans="1:20" x14ac:dyDescent="0.2">
      <c r="A19" s="5">
        <v>28</v>
      </c>
      <c r="B19" s="1">
        <f t="shared" si="8"/>
        <v>1.1886857536682125</v>
      </c>
      <c r="C19" s="5">
        <f t="shared" si="9"/>
        <v>27788.743911452268</v>
      </c>
      <c r="D19" s="5">
        <f t="shared" si="0"/>
        <v>26898.965605916252</v>
      </c>
      <c r="E19" s="5">
        <f t="shared" si="1"/>
        <v>17398.965605916252</v>
      </c>
      <c r="F19" s="5">
        <f t="shared" si="2"/>
        <v>5982.5122703316556</v>
      </c>
      <c r="G19" s="5">
        <f t="shared" si="3"/>
        <v>20916.453335584596</v>
      </c>
      <c r="H19" s="22">
        <f t="shared" si="10"/>
        <v>12569.50480834675</v>
      </c>
      <c r="I19" s="5">
        <f t="shared" si="4"/>
        <v>32568.384292922034</v>
      </c>
      <c r="J19" s="25">
        <f t="shared" si="5"/>
        <v>0.1294691480907052</v>
      </c>
      <c r="L19" s="22">
        <f t="shared" si="11"/>
        <v>41695.539039458825</v>
      </c>
      <c r="M19" s="5">
        <f>scrimecost*Meta!O16</f>
        <v>26261.98</v>
      </c>
      <c r="N19" s="5">
        <f>L19-Grade14!L19</f>
        <v>4595.8545607847191</v>
      </c>
      <c r="O19" s="5">
        <f>Grade14!M19-M19</f>
        <v>206.29000000000087</v>
      </c>
      <c r="P19" s="22">
        <f t="shared" si="12"/>
        <v>23.904571837242969</v>
      </c>
      <c r="Q19" s="22"/>
      <c r="R19" s="22"/>
      <c r="S19" s="22">
        <f t="shared" si="6"/>
        <v>1404.945642144263</v>
      </c>
      <c r="T19" s="22">
        <f t="shared" si="7"/>
        <v>1018.6481789792732</v>
      </c>
    </row>
    <row r="20" spans="1:20" x14ac:dyDescent="0.2">
      <c r="A20" s="5">
        <v>29</v>
      </c>
      <c r="B20" s="1">
        <f t="shared" si="8"/>
        <v>1.2184028975099177</v>
      </c>
      <c r="C20" s="5">
        <f t="shared" si="9"/>
        <v>28483.462509238569</v>
      </c>
      <c r="D20" s="5">
        <f t="shared" si="0"/>
        <v>27542.969746064155</v>
      </c>
      <c r="E20" s="5">
        <f t="shared" si="1"/>
        <v>18042.969746064155</v>
      </c>
      <c r="F20" s="5">
        <f t="shared" si="2"/>
        <v>6192.7796220899463</v>
      </c>
      <c r="G20" s="5">
        <f t="shared" si="3"/>
        <v>21350.190123974207</v>
      </c>
      <c r="H20" s="22">
        <f t="shared" si="10"/>
        <v>12883.742428555415</v>
      </c>
      <c r="I20" s="5">
        <f t="shared" si="4"/>
        <v>33293.419355245074</v>
      </c>
      <c r="J20" s="25">
        <f t="shared" si="5"/>
        <v>0.13179458729592239</v>
      </c>
      <c r="L20" s="22">
        <f t="shared" si="11"/>
        <v>42737.927515445292</v>
      </c>
      <c r="M20" s="5">
        <f>scrimecost*Meta!O17</f>
        <v>26261.98</v>
      </c>
      <c r="N20" s="5">
        <f>L20-Grade14!L20</f>
        <v>4710.7509248043425</v>
      </c>
      <c r="O20" s="5">
        <f>Grade14!M20-M20</f>
        <v>206.29000000000087</v>
      </c>
      <c r="P20" s="22">
        <f t="shared" si="12"/>
        <v>24.373255037562341</v>
      </c>
      <c r="Q20" s="22"/>
      <c r="R20" s="22"/>
      <c r="S20" s="22">
        <f t="shared" si="6"/>
        <v>1437.4420511933522</v>
      </c>
      <c r="T20" s="22">
        <f t="shared" si="7"/>
        <v>1001.1533932511383</v>
      </c>
    </row>
    <row r="21" spans="1:20" x14ac:dyDescent="0.2">
      <c r="A21" s="5">
        <v>30</v>
      </c>
      <c r="B21" s="1">
        <f t="shared" si="8"/>
        <v>1.2488629699476654</v>
      </c>
      <c r="C21" s="5">
        <f t="shared" si="9"/>
        <v>29195.549071969526</v>
      </c>
      <c r="D21" s="5">
        <f t="shared" si="0"/>
        <v>28203.073989715751</v>
      </c>
      <c r="E21" s="5">
        <f t="shared" si="1"/>
        <v>18703.073989715751</v>
      </c>
      <c r="F21" s="5">
        <f t="shared" si="2"/>
        <v>6408.3036576421928</v>
      </c>
      <c r="G21" s="5">
        <f t="shared" si="3"/>
        <v>21794.77033207356</v>
      </c>
      <c r="H21" s="22">
        <f t="shared" si="10"/>
        <v>13205.835989269301</v>
      </c>
      <c r="I21" s="5">
        <f t="shared" si="4"/>
        <v>34036.580294126201</v>
      </c>
      <c r="J21" s="25">
        <f t="shared" si="5"/>
        <v>0.134063308471744</v>
      </c>
      <c r="L21" s="22">
        <f t="shared" si="11"/>
        <v>43806.375703331418</v>
      </c>
      <c r="M21" s="5">
        <f>scrimecost*Meta!O18</f>
        <v>21171.772000000001</v>
      </c>
      <c r="N21" s="5">
        <f>L21-Grade14!L21</f>
        <v>4828.5196979244429</v>
      </c>
      <c r="O21" s="5">
        <f>Grade14!M21-M21</f>
        <v>166.30600000000049</v>
      </c>
      <c r="P21" s="22">
        <f t="shared" si="12"/>
        <v>24.853655317889686</v>
      </c>
      <c r="Q21" s="22"/>
      <c r="R21" s="22"/>
      <c r="S21" s="22">
        <f t="shared" si="6"/>
        <v>1450.8788224686643</v>
      </c>
      <c r="T21" s="22">
        <f t="shared" si="7"/>
        <v>970.70441771643573</v>
      </c>
    </row>
    <row r="22" spans="1:20" x14ac:dyDescent="0.2">
      <c r="A22" s="5">
        <v>31</v>
      </c>
      <c r="B22" s="1">
        <f t="shared" si="8"/>
        <v>1.2800845441963571</v>
      </c>
      <c r="C22" s="5">
        <f t="shared" si="9"/>
        <v>29925.437798768766</v>
      </c>
      <c r="D22" s="5">
        <f t="shared" si="0"/>
        <v>28879.680839458648</v>
      </c>
      <c r="E22" s="5">
        <f t="shared" si="1"/>
        <v>19379.680839458648</v>
      </c>
      <c r="F22" s="5">
        <f t="shared" si="2"/>
        <v>6629.2157940832485</v>
      </c>
      <c r="G22" s="5">
        <f t="shared" si="3"/>
        <v>22250.4650453754</v>
      </c>
      <c r="H22" s="22">
        <f t="shared" si="10"/>
        <v>13535.981889001032</v>
      </c>
      <c r="I22" s="5">
        <f t="shared" si="4"/>
        <v>34798.320256479361</v>
      </c>
      <c r="J22" s="25">
        <f t="shared" si="5"/>
        <v>0.13627669498474074</v>
      </c>
      <c r="L22" s="22">
        <f t="shared" si="11"/>
        <v>44901.535095914704</v>
      </c>
      <c r="M22" s="5">
        <f>scrimecost*Meta!O19</f>
        <v>21171.772000000001</v>
      </c>
      <c r="N22" s="5">
        <f>L22-Grade14!L22</f>
        <v>4949.2326903725552</v>
      </c>
      <c r="O22" s="5">
        <f>Grade14!M22-M22</f>
        <v>166.30600000000049</v>
      </c>
      <c r="P22" s="22">
        <f t="shared" si="12"/>
        <v>25.346065605225224</v>
      </c>
      <c r="Q22" s="22"/>
      <c r="R22" s="22"/>
      <c r="S22" s="22">
        <f t="shared" si="6"/>
        <v>1485.0203622258625</v>
      </c>
      <c r="T22" s="22">
        <f t="shared" si="7"/>
        <v>954.40753533679401</v>
      </c>
    </row>
    <row r="23" spans="1:20" x14ac:dyDescent="0.2">
      <c r="A23" s="5">
        <v>32</v>
      </c>
      <c r="B23" s="1">
        <f t="shared" si="8"/>
        <v>1.312086657801266</v>
      </c>
      <c r="C23" s="5">
        <f t="shared" si="9"/>
        <v>30673.573743737983</v>
      </c>
      <c r="D23" s="5">
        <f t="shared" si="0"/>
        <v>29573.202860445112</v>
      </c>
      <c r="E23" s="5">
        <f t="shared" si="1"/>
        <v>20073.202860445112</v>
      </c>
      <c r="F23" s="5">
        <f t="shared" si="2"/>
        <v>6855.6507339353284</v>
      </c>
      <c r="G23" s="5">
        <f t="shared" si="3"/>
        <v>22717.552126509785</v>
      </c>
      <c r="H23" s="22">
        <f t="shared" si="10"/>
        <v>13874.381436226058</v>
      </c>
      <c r="I23" s="5">
        <f t="shared" si="4"/>
        <v>35579.103717891339</v>
      </c>
      <c r="J23" s="25">
        <f t="shared" si="5"/>
        <v>0.1384360964608351</v>
      </c>
      <c r="L23" s="22">
        <f t="shared" si="11"/>
        <v>46024.073473312572</v>
      </c>
      <c r="M23" s="5">
        <f>scrimecost*Meta!O20</f>
        <v>21171.772000000001</v>
      </c>
      <c r="N23" s="5">
        <f>L23-Grade14!L23</f>
        <v>5072.9635076318737</v>
      </c>
      <c r="O23" s="5">
        <f>Grade14!M23-M23</f>
        <v>166.30600000000049</v>
      </c>
      <c r="P23" s="22">
        <f t="shared" si="12"/>
        <v>25.850786149744145</v>
      </c>
      <c r="Q23" s="22"/>
      <c r="R23" s="22"/>
      <c r="S23" s="22">
        <f t="shared" si="6"/>
        <v>1520.0154404769912</v>
      </c>
      <c r="T23" s="22">
        <f t="shared" si="7"/>
        <v>938.41520712565955</v>
      </c>
    </row>
    <row r="24" spans="1:20" x14ac:dyDescent="0.2">
      <c r="A24" s="5">
        <v>33</v>
      </c>
      <c r="B24" s="1">
        <f t="shared" si="8"/>
        <v>1.3448888242462975</v>
      </c>
      <c r="C24" s="5">
        <f t="shared" si="9"/>
        <v>31440.413087331432</v>
      </c>
      <c r="D24" s="5">
        <f t="shared" si="0"/>
        <v>30284.062931956239</v>
      </c>
      <c r="E24" s="5">
        <f t="shared" si="1"/>
        <v>20784.062931956239</v>
      </c>
      <c r="F24" s="5">
        <f t="shared" si="2"/>
        <v>7087.7465472837121</v>
      </c>
      <c r="G24" s="5">
        <f t="shared" si="3"/>
        <v>23196.316384672529</v>
      </c>
      <c r="H24" s="22">
        <f t="shared" si="10"/>
        <v>14221.240972131707</v>
      </c>
      <c r="I24" s="5">
        <f t="shared" si="4"/>
        <v>36379.406765838619</v>
      </c>
      <c r="J24" s="25">
        <f t="shared" si="5"/>
        <v>0.14054282960824424</v>
      </c>
      <c r="L24" s="22">
        <f t="shared" si="11"/>
        <v>47174.675310145387</v>
      </c>
      <c r="M24" s="5">
        <f>scrimecost*Meta!O21</f>
        <v>21171.772000000001</v>
      </c>
      <c r="N24" s="5">
        <f>L24-Grade14!L24</f>
        <v>5199.7875953226758</v>
      </c>
      <c r="O24" s="5">
        <f>Grade14!M24-M24</f>
        <v>166.30600000000049</v>
      </c>
      <c r="P24" s="22">
        <f t="shared" si="12"/>
        <v>26.368124707876046</v>
      </c>
      <c r="Q24" s="22"/>
      <c r="R24" s="22"/>
      <c r="S24" s="22">
        <f t="shared" si="6"/>
        <v>1555.8853956843986</v>
      </c>
      <c r="T24" s="22">
        <f t="shared" si="7"/>
        <v>922.72062480723764</v>
      </c>
    </row>
    <row r="25" spans="1:20" x14ac:dyDescent="0.2">
      <c r="A25" s="5">
        <v>34</v>
      </c>
      <c r="B25" s="1">
        <f t="shared" si="8"/>
        <v>1.3785110448524549</v>
      </c>
      <c r="C25" s="5">
        <f t="shared" si="9"/>
        <v>32226.423414514717</v>
      </c>
      <c r="D25" s="5">
        <f t="shared" si="0"/>
        <v>31012.694505255142</v>
      </c>
      <c r="E25" s="5">
        <f t="shared" si="1"/>
        <v>21512.694505255142</v>
      </c>
      <c r="F25" s="5">
        <f t="shared" si="2"/>
        <v>7325.6447559658045</v>
      </c>
      <c r="G25" s="5">
        <f t="shared" si="3"/>
        <v>23687.049749289337</v>
      </c>
      <c r="H25" s="22">
        <f t="shared" si="10"/>
        <v>14576.771996435</v>
      </c>
      <c r="I25" s="5">
        <f t="shared" si="4"/>
        <v>37199.71738998458</v>
      </c>
      <c r="J25" s="25">
        <f t="shared" si="5"/>
        <v>0.14259817902035068</v>
      </c>
      <c r="L25" s="22">
        <f t="shared" si="11"/>
        <v>48354.042192899018</v>
      </c>
      <c r="M25" s="5">
        <f>scrimecost*Meta!O22</f>
        <v>21171.772000000001</v>
      </c>
      <c r="N25" s="5">
        <f>L25-Grade14!L25</f>
        <v>5329.7822852057361</v>
      </c>
      <c r="O25" s="5">
        <f>Grade14!M25-M25</f>
        <v>166.30600000000049</v>
      </c>
      <c r="P25" s="22">
        <f t="shared" si="12"/>
        <v>26.898396729961231</v>
      </c>
      <c r="Q25" s="22"/>
      <c r="R25" s="22"/>
      <c r="S25" s="22">
        <f t="shared" si="6"/>
        <v>1592.6520997719877</v>
      </c>
      <c r="T25" s="22">
        <f t="shared" si="7"/>
        <v>907.31716850706243</v>
      </c>
    </row>
    <row r="26" spans="1:20" x14ac:dyDescent="0.2">
      <c r="A26" s="5">
        <v>35</v>
      </c>
      <c r="B26" s="1">
        <f t="shared" si="8"/>
        <v>1.4129738209737661</v>
      </c>
      <c r="C26" s="5">
        <f t="shared" si="9"/>
        <v>33032.083999877585</v>
      </c>
      <c r="D26" s="5">
        <f t="shared" si="0"/>
        <v>31759.541867886521</v>
      </c>
      <c r="E26" s="5">
        <f t="shared" si="1"/>
        <v>22259.541867886521</v>
      </c>
      <c r="F26" s="5">
        <f t="shared" si="2"/>
        <v>7569.4904198649492</v>
      </c>
      <c r="G26" s="5">
        <f t="shared" si="3"/>
        <v>24190.051448021572</v>
      </c>
      <c r="H26" s="22">
        <f t="shared" si="10"/>
        <v>14941.191296345874</v>
      </c>
      <c r="I26" s="5">
        <f t="shared" si="4"/>
        <v>38040.5357797342</v>
      </c>
      <c r="J26" s="25">
        <f t="shared" si="5"/>
        <v>0.14460339795899113</v>
      </c>
      <c r="L26" s="22">
        <f t="shared" si="11"/>
        <v>49562.893247721477</v>
      </c>
      <c r="M26" s="5">
        <f>scrimecost*Meta!O23</f>
        <v>16430.892</v>
      </c>
      <c r="N26" s="5">
        <f>L26-Grade14!L26</f>
        <v>5463.0268423358575</v>
      </c>
      <c r="O26" s="5">
        <f>Grade14!M26-M26</f>
        <v>129.06599999999889</v>
      </c>
      <c r="P26" s="22">
        <f t="shared" si="12"/>
        <v>27.441925552598551</v>
      </c>
      <c r="Q26" s="22"/>
      <c r="R26" s="22"/>
      <c r="S26" s="22">
        <f t="shared" si="6"/>
        <v>1611.8296914617613</v>
      </c>
      <c r="T26" s="22">
        <f t="shared" si="7"/>
        <v>882.06979035380994</v>
      </c>
    </row>
    <row r="27" spans="1:20" x14ac:dyDescent="0.2">
      <c r="A27" s="5">
        <v>36</v>
      </c>
      <c r="B27" s="1">
        <f t="shared" si="8"/>
        <v>1.4482981664981105</v>
      </c>
      <c r="C27" s="5">
        <f t="shared" si="9"/>
        <v>33857.886099874522</v>
      </c>
      <c r="D27" s="5">
        <f t="shared" si="0"/>
        <v>32525.060414583684</v>
      </c>
      <c r="E27" s="5">
        <f t="shared" si="1"/>
        <v>23025.060414583684</v>
      </c>
      <c r="F27" s="5">
        <f t="shared" si="2"/>
        <v>7819.4322253615728</v>
      </c>
      <c r="G27" s="5">
        <f t="shared" si="3"/>
        <v>24705.628189222112</v>
      </c>
      <c r="H27" s="22">
        <f t="shared" si="10"/>
        <v>15314.721078754523</v>
      </c>
      <c r="I27" s="5">
        <f t="shared" si="4"/>
        <v>38902.374629227554</v>
      </c>
      <c r="J27" s="25">
        <f t="shared" si="5"/>
        <v>0.14655970911864039</v>
      </c>
      <c r="L27" s="22">
        <f t="shared" si="11"/>
        <v>50801.965578914533</v>
      </c>
      <c r="M27" s="5">
        <f>scrimecost*Meta!O24</f>
        <v>16430.892</v>
      </c>
      <c r="N27" s="5">
        <f>L27-Grade14!L27</f>
        <v>5599.6025133942821</v>
      </c>
      <c r="O27" s="5">
        <f>Grade14!M27-M27</f>
        <v>129.06599999999889</v>
      </c>
      <c r="P27" s="22">
        <f t="shared" si="12"/>
        <v>27.999042595801818</v>
      </c>
      <c r="Q27" s="22"/>
      <c r="R27" s="22"/>
      <c r="S27" s="22">
        <f t="shared" si="6"/>
        <v>1650.457709943794</v>
      </c>
      <c r="T27" s="22">
        <f t="shared" si="7"/>
        <v>867.62844926390119</v>
      </c>
    </row>
    <row r="28" spans="1:20" x14ac:dyDescent="0.2">
      <c r="A28" s="5">
        <v>37</v>
      </c>
      <c r="B28" s="1">
        <f t="shared" si="8"/>
        <v>1.4845056206605631</v>
      </c>
      <c r="C28" s="5">
        <f t="shared" si="9"/>
        <v>34704.333252371391</v>
      </c>
      <c r="D28" s="5">
        <f t="shared" si="0"/>
        <v>33309.716924948283</v>
      </c>
      <c r="E28" s="5">
        <f t="shared" si="1"/>
        <v>23809.716924948283</v>
      </c>
      <c r="F28" s="5">
        <f t="shared" si="2"/>
        <v>8075.6225759956142</v>
      </c>
      <c r="G28" s="5">
        <f t="shared" si="3"/>
        <v>25234.094348952669</v>
      </c>
      <c r="H28" s="22">
        <f t="shared" si="10"/>
        <v>15697.589105723384</v>
      </c>
      <c r="I28" s="5">
        <f t="shared" si="4"/>
        <v>39785.759449958248</v>
      </c>
      <c r="J28" s="25">
        <f t="shared" si="5"/>
        <v>0.14846830537195671</v>
      </c>
      <c r="L28" s="22">
        <f t="shared" si="11"/>
        <v>52072.014718387385</v>
      </c>
      <c r="M28" s="5">
        <f>scrimecost*Meta!O25</f>
        <v>16430.892</v>
      </c>
      <c r="N28" s="5">
        <f>L28-Grade14!L28</f>
        <v>5739.5925762291299</v>
      </c>
      <c r="O28" s="5">
        <f>Grade14!M28-M28</f>
        <v>129.06599999999889</v>
      </c>
      <c r="P28" s="22">
        <f t="shared" si="12"/>
        <v>28.570087565085149</v>
      </c>
      <c r="Q28" s="22"/>
      <c r="R28" s="22"/>
      <c r="S28" s="22">
        <f t="shared" si="6"/>
        <v>1690.0514288878674</v>
      </c>
      <c r="T28" s="22">
        <f t="shared" si="7"/>
        <v>853.44372620178274</v>
      </c>
    </row>
    <row r="29" spans="1:20" x14ac:dyDescent="0.2">
      <c r="A29" s="5">
        <v>38</v>
      </c>
      <c r="B29" s="1">
        <f t="shared" si="8"/>
        <v>1.521618261177077</v>
      </c>
      <c r="C29" s="5">
        <f t="shared" si="9"/>
        <v>35571.941583680666</v>
      </c>
      <c r="D29" s="5">
        <f t="shared" si="0"/>
        <v>34113.989848071978</v>
      </c>
      <c r="E29" s="5">
        <f t="shared" si="1"/>
        <v>24613.989848071978</v>
      </c>
      <c r="F29" s="5">
        <f t="shared" si="2"/>
        <v>8338.2176853955007</v>
      </c>
      <c r="G29" s="5">
        <f t="shared" si="3"/>
        <v>25775.772162676476</v>
      </c>
      <c r="H29" s="22">
        <f t="shared" si="10"/>
        <v>16090.028833366468</v>
      </c>
      <c r="I29" s="5">
        <f t="shared" si="4"/>
        <v>40691.228891207196</v>
      </c>
      <c r="J29" s="25">
        <f t="shared" si="5"/>
        <v>0.15033035049714333</v>
      </c>
      <c r="L29" s="22">
        <f t="shared" si="11"/>
        <v>53373.815086347066</v>
      </c>
      <c r="M29" s="5">
        <f>scrimecost*Meta!O26</f>
        <v>16430.892</v>
      </c>
      <c r="N29" s="5">
        <f>L29-Grade14!L29</f>
        <v>5883.0823906348523</v>
      </c>
      <c r="O29" s="5">
        <f>Grade14!M29-M29</f>
        <v>129.06599999999889</v>
      </c>
      <c r="P29" s="22">
        <f t="shared" si="12"/>
        <v>29.155408658600567</v>
      </c>
      <c r="Q29" s="22"/>
      <c r="R29" s="22"/>
      <c r="S29" s="22">
        <f t="shared" si="6"/>
        <v>1730.6349908055436</v>
      </c>
      <c r="T29" s="22">
        <f t="shared" si="7"/>
        <v>839.51031434405468</v>
      </c>
    </row>
    <row r="30" spans="1:20" x14ac:dyDescent="0.2">
      <c r="A30" s="5">
        <v>39</v>
      </c>
      <c r="B30" s="1">
        <f t="shared" si="8"/>
        <v>1.559658717706504</v>
      </c>
      <c r="C30" s="5">
        <f t="shared" si="9"/>
        <v>36461.240123272684</v>
      </c>
      <c r="D30" s="5">
        <f t="shared" si="0"/>
        <v>34938.369594273783</v>
      </c>
      <c r="E30" s="5">
        <f t="shared" si="1"/>
        <v>25438.369594273783</v>
      </c>
      <c r="F30" s="5">
        <f t="shared" si="2"/>
        <v>8607.3776725303906</v>
      </c>
      <c r="G30" s="5">
        <f t="shared" si="3"/>
        <v>26330.991921743393</v>
      </c>
      <c r="H30" s="22">
        <f t="shared" si="10"/>
        <v>16492.279554200628</v>
      </c>
      <c r="I30" s="5">
        <f t="shared" si="4"/>
        <v>41619.335068487373</v>
      </c>
      <c r="J30" s="25">
        <f t="shared" si="5"/>
        <v>0.15214697988756939</v>
      </c>
      <c r="L30" s="22">
        <f t="shared" si="11"/>
        <v>54708.160463505745</v>
      </c>
      <c r="M30" s="5">
        <f>scrimecost*Meta!O27</f>
        <v>16430.892</v>
      </c>
      <c r="N30" s="5">
        <f>L30-Grade14!L30</f>
        <v>6030.1594504007298</v>
      </c>
      <c r="O30" s="5">
        <f>Grade14!M30-M30</f>
        <v>129.06599999999889</v>
      </c>
      <c r="P30" s="22">
        <f t="shared" si="12"/>
        <v>29.755362779453883</v>
      </c>
      <c r="Q30" s="22"/>
      <c r="R30" s="22"/>
      <c r="S30" s="22">
        <f t="shared" si="6"/>
        <v>1772.2331417711648</v>
      </c>
      <c r="T30" s="22">
        <f t="shared" si="7"/>
        <v>825.82304207141817</v>
      </c>
    </row>
    <row r="31" spans="1:20" x14ac:dyDescent="0.2">
      <c r="A31" s="5">
        <v>40</v>
      </c>
      <c r="B31" s="1">
        <f t="shared" si="8"/>
        <v>1.5986501856491666</v>
      </c>
      <c r="C31" s="5">
        <f t="shared" si="9"/>
        <v>37372.771126354499</v>
      </c>
      <c r="D31" s="5">
        <f t="shared" si="0"/>
        <v>35783.358834130624</v>
      </c>
      <c r="E31" s="5">
        <f t="shared" si="1"/>
        <v>26283.358834130624</v>
      </c>
      <c r="F31" s="5">
        <f t="shared" si="2"/>
        <v>8883.2666593436479</v>
      </c>
      <c r="G31" s="5">
        <f t="shared" si="3"/>
        <v>26900.092174786976</v>
      </c>
      <c r="H31" s="22">
        <f t="shared" si="10"/>
        <v>16904.586543055644</v>
      </c>
      <c r="I31" s="5">
        <f t="shared" si="4"/>
        <v>42570.64390019956</v>
      </c>
      <c r="J31" s="25">
        <f t="shared" si="5"/>
        <v>0.15391930124408251</v>
      </c>
      <c r="L31" s="22">
        <f t="shared" si="11"/>
        <v>56075.864475093389</v>
      </c>
      <c r="M31" s="5">
        <f>scrimecost*Meta!O28</f>
        <v>14372.351999999999</v>
      </c>
      <c r="N31" s="5">
        <f>L31-Grade14!L31</f>
        <v>6180.9134366607468</v>
      </c>
      <c r="O31" s="5">
        <f>Grade14!M31-M31</f>
        <v>112.89600000000064</v>
      </c>
      <c r="P31" s="22">
        <f t="shared" si="12"/>
        <v>30.370315753328516</v>
      </c>
      <c r="Q31" s="22"/>
      <c r="R31" s="22"/>
      <c r="S31" s="22">
        <f t="shared" si="6"/>
        <v>1806.8347565109254</v>
      </c>
      <c r="T31" s="22">
        <f t="shared" si="7"/>
        <v>808.77955651998298</v>
      </c>
    </row>
    <row r="32" spans="1:20" x14ac:dyDescent="0.2">
      <c r="A32" s="5">
        <v>41</v>
      </c>
      <c r="B32" s="1">
        <f t="shared" si="8"/>
        <v>1.6386164402903955</v>
      </c>
      <c r="C32" s="5">
        <f t="shared" si="9"/>
        <v>38307.090404513357</v>
      </c>
      <c r="D32" s="5">
        <f t="shared" si="0"/>
        <v>36649.472804983889</v>
      </c>
      <c r="E32" s="5">
        <f t="shared" si="1"/>
        <v>27149.472804983889</v>
      </c>
      <c r="F32" s="5">
        <f t="shared" si="2"/>
        <v>9166.0528708272395</v>
      </c>
      <c r="G32" s="5">
        <f t="shared" si="3"/>
        <v>27483.419934156649</v>
      </c>
      <c r="H32" s="22">
        <f t="shared" si="10"/>
        <v>17327.201206632035</v>
      </c>
      <c r="I32" s="5">
        <f t="shared" si="4"/>
        <v>43545.735452704546</v>
      </c>
      <c r="J32" s="25">
        <f t="shared" si="5"/>
        <v>0.15564839525043686</v>
      </c>
      <c r="L32" s="22">
        <f t="shared" si="11"/>
        <v>57477.761086970713</v>
      </c>
      <c r="M32" s="5">
        <f>scrimecost*Meta!O29</f>
        <v>14372.351999999999</v>
      </c>
      <c r="N32" s="5">
        <f>L32-Grade14!L32</f>
        <v>6335.4362725772662</v>
      </c>
      <c r="O32" s="5">
        <f>Grade14!M32-M32</f>
        <v>112.89600000000064</v>
      </c>
      <c r="P32" s="22">
        <f t="shared" si="12"/>
        <v>31.000642551550023</v>
      </c>
      <c r="Q32" s="22"/>
      <c r="R32" s="22"/>
      <c r="S32" s="22">
        <f t="shared" si="6"/>
        <v>1850.5388138691796</v>
      </c>
      <c r="T32" s="22">
        <f t="shared" si="7"/>
        <v>795.71127877091897</v>
      </c>
    </row>
    <row r="33" spans="1:20" x14ac:dyDescent="0.2">
      <c r="A33" s="5">
        <v>42</v>
      </c>
      <c r="B33" s="1">
        <f t="shared" si="8"/>
        <v>1.6795818512976552</v>
      </c>
      <c r="C33" s="5">
        <f t="shared" si="9"/>
        <v>39264.767664626183</v>
      </c>
      <c r="D33" s="5">
        <f t="shared" si="0"/>
        <v>37537.239625108479</v>
      </c>
      <c r="E33" s="5">
        <f t="shared" si="1"/>
        <v>28037.239625108479</v>
      </c>
      <c r="F33" s="5">
        <f t="shared" si="2"/>
        <v>9455.9087375979179</v>
      </c>
      <c r="G33" s="5">
        <f t="shared" si="3"/>
        <v>28081.330887510561</v>
      </c>
      <c r="H33" s="22">
        <f t="shared" si="10"/>
        <v>17760.381236797832</v>
      </c>
      <c r="I33" s="5">
        <f t="shared" si="4"/>
        <v>44545.204294022151</v>
      </c>
      <c r="J33" s="25">
        <f t="shared" si="5"/>
        <v>0.15733531623224595</v>
      </c>
      <c r="L33" s="22">
        <f t="shared" si="11"/>
        <v>58914.70511414497</v>
      </c>
      <c r="M33" s="5">
        <f>scrimecost*Meta!O30</f>
        <v>14372.351999999999</v>
      </c>
      <c r="N33" s="5">
        <f>L33-Grade14!L33</f>
        <v>6493.8221793916891</v>
      </c>
      <c r="O33" s="5">
        <f>Grade14!M33-M33</f>
        <v>112.89600000000064</v>
      </c>
      <c r="P33" s="22">
        <f t="shared" si="12"/>
        <v>31.646727519727062</v>
      </c>
      <c r="Q33" s="22"/>
      <c r="R33" s="22"/>
      <c r="S33" s="22">
        <f t="shared" si="6"/>
        <v>1895.3354726613875</v>
      </c>
      <c r="T33" s="22">
        <f t="shared" si="7"/>
        <v>782.86881336123929</v>
      </c>
    </row>
    <row r="34" spans="1:20" x14ac:dyDescent="0.2">
      <c r="A34" s="5">
        <v>43</v>
      </c>
      <c r="B34" s="1">
        <f t="shared" si="8"/>
        <v>1.7215713975800966</v>
      </c>
      <c r="C34" s="5">
        <f t="shared" si="9"/>
        <v>40246.386856241836</v>
      </c>
      <c r="D34" s="5">
        <f t="shared" si="0"/>
        <v>38447.200615736183</v>
      </c>
      <c r="E34" s="5">
        <f t="shared" si="1"/>
        <v>28947.200615736183</v>
      </c>
      <c r="F34" s="5">
        <f t="shared" si="2"/>
        <v>9753.011001037863</v>
      </c>
      <c r="G34" s="5">
        <f t="shared" si="3"/>
        <v>28694.18961469832</v>
      </c>
      <c r="H34" s="22">
        <f t="shared" si="10"/>
        <v>18204.390767717778</v>
      </c>
      <c r="I34" s="5">
        <f t="shared" si="4"/>
        <v>45569.659856372702</v>
      </c>
      <c r="J34" s="25">
        <f t="shared" si="5"/>
        <v>0.15898109279986453</v>
      </c>
      <c r="L34" s="22">
        <f t="shared" si="11"/>
        <v>60387.5727419986</v>
      </c>
      <c r="M34" s="5">
        <f>scrimecost*Meta!O31</f>
        <v>14372.351999999999</v>
      </c>
      <c r="N34" s="5">
        <f>L34-Grade14!L34</f>
        <v>6656.1677338764857</v>
      </c>
      <c r="O34" s="5">
        <f>Grade14!M34-M34</f>
        <v>112.89600000000064</v>
      </c>
      <c r="P34" s="22">
        <f t="shared" si="12"/>
        <v>32.308964612108525</v>
      </c>
      <c r="Q34" s="22"/>
      <c r="R34" s="22"/>
      <c r="S34" s="22">
        <f t="shared" si="6"/>
        <v>1941.2520479234045</v>
      </c>
      <c r="T34" s="22">
        <f t="shared" si="7"/>
        <v>770.24770894300389</v>
      </c>
    </row>
    <row r="35" spans="1:20" x14ac:dyDescent="0.2">
      <c r="A35" s="5">
        <v>44</v>
      </c>
      <c r="B35" s="1">
        <f t="shared" si="8"/>
        <v>1.7646106825195991</v>
      </c>
      <c r="C35" s="5">
        <f t="shared" si="9"/>
        <v>41252.546527647886</v>
      </c>
      <c r="D35" s="5">
        <f t="shared" si="0"/>
        <v>39379.910631129598</v>
      </c>
      <c r="E35" s="5">
        <f t="shared" si="1"/>
        <v>29879.910631129598</v>
      </c>
      <c r="F35" s="5">
        <f t="shared" si="2"/>
        <v>10057.540821063814</v>
      </c>
      <c r="G35" s="5">
        <f t="shared" si="3"/>
        <v>29322.369810065786</v>
      </c>
      <c r="H35" s="22">
        <f t="shared" si="10"/>
        <v>18659.500536910724</v>
      </c>
      <c r="I35" s="5">
        <f t="shared" si="4"/>
        <v>46619.726807782026</v>
      </c>
      <c r="J35" s="25">
        <f t="shared" si="5"/>
        <v>0.16058672847559008</v>
      </c>
      <c r="L35" s="22">
        <f t="shared" si="11"/>
        <v>61897.262060548572</v>
      </c>
      <c r="M35" s="5">
        <f>scrimecost*Meta!O32</f>
        <v>14372.351999999999</v>
      </c>
      <c r="N35" s="5">
        <f>L35-Grade14!L35</f>
        <v>6822.5719272234128</v>
      </c>
      <c r="O35" s="5">
        <f>Grade14!M35-M35</f>
        <v>112.89600000000064</v>
      </c>
      <c r="P35" s="22">
        <f t="shared" si="12"/>
        <v>32.987757631799539</v>
      </c>
      <c r="Q35" s="22"/>
      <c r="R35" s="22"/>
      <c r="S35" s="22">
        <f t="shared" si="6"/>
        <v>1988.3165375669748</v>
      </c>
      <c r="T35" s="22">
        <f t="shared" si="7"/>
        <v>757.84362117870103</v>
      </c>
    </row>
    <row r="36" spans="1:20" x14ac:dyDescent="0.2">
      <c r="A36" s="5">
        <v>45</v>
      </c>
      <c r="B36" s="1">
        <f t="shared" si="8"/>
        <v>1.8087259495825889</v>
      </c>
      <c r="C36" s="5">
        <f t="shared" si="9"/>
        <v>42283.860190839077</v>
      </c>
      <c r="D36" s="5">
        <f t="shared" si="0"/>
        <v>40335.938396907826</v>
      </c>
      <c r="E36" s="5">
        <f t="shared" si="1"/>
        <v>30835.938396907826</v>
      </c>
      <c r="F36" s="5">
        <f t="shared" si="2"/>
        <v>10369.683886590405</v>
      </c>
      <c r="G36" s="5">
        <f t="shared" si="3"/>
        <v>29966.25451031742</v>
      </c>
      <c r="H36" s="22">
        <f t="shared" si="10"/>
        <v>19125.98805033349</v>
      </c>
      <c r="I36" s="5">
        <f t="shared" si="4"/>
        <v>47696.045432976563</v>
      </c>
      <c r="J36" s="25">
        <f t="shared" si="5"/>
        <v>0.1621532023055661</v>
      </c>
      <c r="L36" s="22">
        <f t="shared" si="11"/>
        <v>63444.693612062278</v>
      </c>
      <c r="M36" s="5">
        <f>scrimecost*Meta!O33</f>
        <v>11615.156000000001</v>
      </c>
      <c r="N36" s="5">
        <f>L36-Grade14!L36</f>
        <v>6993.1362254039996</v>
      </c>
      <c r="O36" s="5">
        <f>Grade14!M36-M36</f>
        <v>91.237999999999374</v>
      </c>
      <c r="P36" s="22">
        <f t="shared" si="12"/>
        <v>33.683520476982814</v>
      </c>
      <c r="Q36" s="22"/>
      <c r="R36" s="22"/>
      <c r="S36" s="22">
        <f t="shared" si="6"/>
        <v>2025.7936134516301</v>
      </c>
      <c r="T36" s="22">
        <f t="shared" si="7"/>
        <v>741.7112373027436</v>
      </c>
    </row>
    <row r="37" spans="1:20" x14ac:dyDescent="0.2">
      <c r="A37" s="5">
        <v>46</v>
      </c>
      <c r="B37" s="1">
        <f t="shared" ref="B37:B56" si="13">(1+experiencepremium)^(A37-startage)</f>
        <v>1.8539440983221533</v>
      </c>
      <c r="C37" s="5">
        <f t="shared" ref="C37:C56" si="14">pretaxincome*B37/expnorm</f>
        <v>43340.956695610053</v>
      </c>
      <c r="D37" s="5">
        <f t="shared" ref="D37:D56" si="15">IF(A37&lt;startage,1,0)*(C37*(1-initialunempprob))+IF(A37=startage,1,0)*(C37*(1-unempprob))+IF(A37&gt;startage,1,0)*(C37*(1-unempprob)+unempprob*300*52)</f>
        <v>41315.866856830522</v>
      </c>
      <c r="E37" s="5">
        <f t="shared" si="1"/>
        <v>31815.866856830522</v>
      </c>
      <c r="F37" s="5">
        <f t="shared" si="2"/>
        <v>10689.630528755166</v>
      </c>
      <c r="G37" s="5">
        <f t="shared" si="3"/>
        <v>30626.236328075356</v>
      </c>
      <c r="H37" s="22">
        <f t="shared" ref="H37:H56" si="16">benefits*B37/expnorm</f>
        <v>19604.137751591825</v>
      </c>
      <c r="I37" s="5">
        <f t="shared" ref="I37:I56" si="17">G37+IF(A37&lt;startage,1,0)*(H37*(1-initialunempprob))+IF(A37&gt;=startage,1,0)*(H37*(1-unempprob))</f>
        <v>48799.272023800979</v>
      </c>
      <c r="J37" s="25">
        <f t="shared" si="5"/>
        <v>0.16368146945676232</v>
      </c>
      <c r="L37" s="22">
        <f t="shared" ref="L37:L56" si="18">(sincome+sbenefits)*(1-sunemp)*B37/expnorm</f>
        <v>65030.81095236382</v>
      </c>
      <c r="M37" s="5">
        <f>scrimecost*Meta!O34</f>
        <v>11615.156000000001</v>
      </c>
      <c r="N37" s="5">
        <f>L37-Grade14!L37</f>
        <v>7167.9646310390817</v>
      </c>
      <c r="O37" s="5">
        <f>Grade14!M37-M37</f>
        <v>91.237999999999374</v>
      </c>
      <c r="P37" s="22">
        <f t="shared" si="12"/>
        <v>34.396677393295676</v>
      </c>
      <c r="Q37" s="22"/>
      <c r="R37" s="22"/>
      <c r="S37" s="22">
        <f t="shared" si="6"/>
        <v>2075.2407428833967</v>
      </c>
      <c r="T37" s="22">
        <f t="shared" si="7"/>
        <v>729.88381422149178</v>
      </c>
    </row>
    <row r="38" spans="1:20" x14ac:dyDescent="0.2">
      <c r="A38" s="5">
        <v>47</v>
      </c>
      <c r="B38" s="1">
        <f t="shared" si="13"/>
        <v>1.9002927007802071</v>
      </c>
      <c r="C38" s="5">
        <f t="shared" si="14"/>
        <v>44424.480613000305</v>
      </c>
      <c r="D38" s="5">
        <f t="shared" si="15"/>
        <v>42320.293528251284</v>
      </c>
      <c r="E38" s="5">
        <f t="shared" si="1"/>
        <v>32820.293528251284</v>
      </c>
      <c r="F38" s="5">
        <f t="shared" si="2"/>
        <v>11017.575836974043</v>
      </c>
      <c r="G38" s="5">
        <f t="shared" si="3"/>
        <v>31302.717691277241</v>
      </c>
      <c r="H38" s="22">
        <f t="shared" si="16"/>
        <v>20094.241195381619</v>
      </c>
      <c r="I38" s="5">
        <f t="shared" si="17"/>
        <v>49930.079279395999</v>
      </c>
      <c r="J38" s="25">
        <f t="shared" si="5"/>
        <v>0.16517246179939271</v>
      </c>
      <c r="L38" s="22">
        <f t="shared" si="18"/>
        <v>66656.581226172915</v>
      </c>
      <c r="M38" s="5">
        <f>scrimecost*Meta!O35</f>
        <v>11615.156000000001</v>
      </c>
      <c r="N38" s="5">
        <f>L38-Grade14!L38</f>
        <v>7347.1637468150657</v>
      </c>
      <c r="O38" s="5">
        <f>Grade14!M38-M38</f>
        <v>91.237999999999374</v>
      </c>
      <c r="P38" s="22">
        <f t="shared" si="12"/>
        <v>35.127663232516355</v>
      </c>
      <c r="Q38" s="22"/>
      <c r="R38" s="22"/>
      <c r="S38" s="22">
        <f t="shared" si="6"/>
        <v>2125.9240505509647</v>
      </c>
      <c r="T38" s="22">
        <f t="shared" si="7"/>
        <v>718.25486983808332</v>
      </c>
    </row>
    <row r="39" spans="1:20" x14ac:dyDescent="0.2">
      <c r="A39" s="5">
        <v>48</v>
      </c>
      <c r="B39" s="1">
        <f t="shared" si="13"/>
        <v>1.9478000182997122</v>
      </c>
      <c r="C39" s="5">
        <f t="shared" si="14"/>
        <v>45535.092628325307</v>
      </c>
      <c r="D39" s="5">
        <f t="shared" si="15"/>
        <v>43349.830866457567</v>
      </c>
      <c r="E39" s="5">
        <f t="shared" si="1"/>
        <v>33849.830866457567</v>
      </c>
      <c r="F39" s="5">
        <f t="shared" si="2"/>
        <v>11353.719777898395</v>
      </c>
      <c r="G39" s="5">
        <f t="shared" si="3"/>
        <v>31996.11108855917</v>
      </c>
      <c r="H39" s="22">
        <f t="shared" si="16"/>
        <v>20596.597225266156</v>
      </c>
      <c r="I39" s="5">
        <f t="shared" si="17"/>
        <v>51089.156716380894</v>
      </c>
      <c r="J39" s="25">
        <f t="shared" si="5"/>
        <v>0.16662708847512972</v>
      </c>
      <c r="L39" s="22">
        <f t="shared" si="18"/>
        <v>68322.995756827237</v>
      </c>
      <c r="M39" s="5">
        <f>scrimecost*Meta!O36</f>
        <v>11615.156000000001</v>
      </c>
      <c r="N39" s="5">
        <f>L39-Grade14!L39</f>
        <v>7530.8428404854421</v>
      </c>
      <c r="O39" s="5">
        <f>Grade14!M39-M39</f>
        <v>91.237999999999374</v>
      </c>
      <c r="P39" s="22">
        <f t="shared" si="12"/>
        <v>35.876923717717553</v>
      </c>
      <c r="Q39" s="22"/>
      <c r="R39" s="22"/>
      <c r="S39" s="22">
        <f t="shared" si="6"/>
        <v>2177.8744409102201</v>
      </c>
      <c r="T39" s="22">
        <f t="shared" si="7"/>
        <v>706.82069820247693</v>
      </c>
    </row>
    <row r="40" spans="1:20" x14ac:dyDescent="0.2">
      <c r="A40" s="5">
        <v>49</v>
      </c>
      <c r="B40" s="1">
        <f t="shared" si="13"/>
        <v>1.9964950187572048</v>
      </c>
      <c r="C40" s="5">
        <f t="shared" si="14"/>
        <v>46673.469944033437</v>
      </c>
      <c r="D40" s="5">
        <f t="shared" si="15"/>
        <v>44405.106638119003</v>
      </c>
      <c r="E40" s="5">
        <f t="shared" si="1"/>
        <v>34905.106638119003</v>
      </c>
      <c r="F40" s="5">
        <f t="shared" si="2"/>
        <v>11738.777981157753</v>
      </c>
      <c r="G40" s="5">
        <f t="shared" si="3"/>
        <v>32666.32865696125</v>
      </c>
      <c r="H40" s="22">
        <f t="shared" si="16"/>
        <v>21111.51215589781</v>
      </c>
      <c r="I40" s="5">
        <f t="shared" si="17"/>
        <v>52236.700425478521</v>
      </c>
      <c r="J40" s="25">
        <f t="shared" si="5"/>
        <v>0.16869093417958697</v>
      </c>
      <c r="L40" s="22">
        <f t="shared" si="18"/>
        <v>70031.070650747904</v>
      </c>
      <c r="M40" s="5">
        <f>scrimecost*Meta!O37</f>
        <v>11615.156000000001</v>
      </c>
      <c r="N40" s="5">
        <f>L40-Grade14!L40</f>
        <v>7719.1139114975595</v>
      </c>
      <c r="O40" s="5">
        <f>Grade14!M40-M40</f>
        <v>91.237999999999374</v>
      </c>
      <c r="P40" s="22">
        <f t="shared" si="12"/>
        <v>36.735213459342674</v>
      </c>
      <c r="Q40" s="22"/>
      <c r="R40" s="22"/>
      <c r="S40" s="22">
        <f t="shared" si="6"/>
        <v>2231.1684690073653</v>
      </c>
      <c r="T40" s="22">
        <f t="shared" si="7"/>
        <v>695.59166731785945</v>
      </c>
    </row>
    <row r="41" spans="1:20" x14ac:dyDescent="0.2">
      <c r="A41" s="5">
        <v>50</v>
      </c>
      <c r="B41" s="1">
        <f t="shared" si="13"/>
        <v>2.0464073942261352</v>
      </c>
      <c r="C41" s="5">
        <f t="shared" si="14"/>
        <v>47840.30669263428</v>
      </c>
      <c r="D41" s="5">
        <f t="shared" si="15"/>
        <v>45486.764304071985</v>
      </c>
      <c r="E41" s="5">
        <f t="shared" si="1"/>
        <v>35986.764304071985</v>
      </c>
      <c r="F41" s="5">
        <f t="shared" si="2"/>
        <v>12200.104975686701</v>
      </c>
      <c r="G41" s="5">
        <f t="shared" si="3"/>
        <v>33286.659328385285</v>
      </c>
      <c r="H41" s="22">
        <f t="shared" si="16"/>
        <v>21639.299959795258</v>
      </c>
      <c r="I41" s="5">
        <f t="shared" si="17"/>
        <v>53346.290391115486</v>
      </c>
      <c r="J41" s="25">
        <f t="shared" si="5"/>
        <v>0.17173913903620236</v>
      </c>
      <c r="L41" s="22">
        <f t="shared" si="18"/>
        <v>71781.847417016616</v>
      </c>
      <c r="M41" s="5">
        <f>scrimecost*Meta!O38</f>
        <v>7760.0720000000001</v>
      </c>
      <c r="N41" s="5">
        <f>L41-Grade14!L41</f>
        <v>7912.0917592850237</v>
      </c>
      <c r="O41" s="5">
        <f>Grade14!M41-M41</f>
        <v>60.956000000000131</v>
      </c>
      <c r="P41" s="22">
        <f t="shared" si="12"/>
        <v>37.763505347652988</v>
      </c>
      <c r="Q41" s="22"/>
      <c r="R41" s="22"/>
      <c r="S41" s="22">
        <f t="shared" si="6"/>
        <v>2270.8185206238145</v>
      </c>
      <c r="T41" s="22">
        <f t="shared" si="7"/>
        <v>680.06436882230162</v>
      </c>
    </row>
    <row r="42" spans="1:20" x14ac:dyDescent="0.2">
      <c r="A42" s="5">
        <v>51</v>
      </c>
      <c r="B42" s="1">
        <f t="shared" si="13"/>
        <v>2.097567579081788</v>
      </c>
      <c r="C42" s="5">
        <f t="shared" si="14"/>
        <v>49036.31435995012</v>
      </c>
      <c r="D42" s="5">
        <f t="shared" si="15"/>
        <v>46595.463411673765</v>
      </c>
      <c r="E42" s="5">
        <f t="shared" si="1"/>
        <v>37095.463411673765</v>
      </c>
      <c r="F42" s="5">
        <f t="shared" si="2"/>
        <v>12672.965145078862</v>
      </c>
      <c r="G42" s="5">
        <f t="shared" si="3"/>
        <v>33922.498266594906</v>
      </c>
      <c r="H42" s="22">
        <f t="shared" si="16"/>
        <v>22180.282458790134</v>
      </c>
      <c r="I42" s="5">
        <f t="shared" si="17"/>
        <v>54483.620105893366</v>
      </c>
      <c r="J42" s="25">
        <f t="shared" si="5"/>
        <v>0.17471299743290017</v>
      </c>
      <c r="L42" s="22">
        <f t="shared" si="18"/>
        <v>73576.393602442011</v>
      </c>
      <c r="M42" s="5">
        <f>scrimecost*Meta!O39</f>
        <v>7760.0720000000001</v>
      </c>
      <c r="N42" s="5">
        <f>L42-Grade14!L42</f>
        <v>8109.8940532671113</v>
      </c>
      <c r="O42" s="5">
        <f>Grade14!M42-M42</f>
        <v>60.956000000000131</v>
      </c>
      <c r="P42" s="22">
        <f t="shared" si="12"/>
        <v>38.817504533171039</v>
      </c>
      <c r="Q42" s="22"/>
      <c r="R42" s="22"/>
      <c r="S42" s="22">
        <f t="shared" si="6"/>
        <v>2326.8862313806571</v>
      </c>
      <c r="T42" s="22">
        <f t="shared" si="7"/>
        <v>669.40404095557449</v>
      </c>
    </row>
    <row r="43" spans="1:20" x14ac:dyDescent="0.2">
      <c r="A43" s="5">
        <v>52</v>
      </c>
      <c r="B43" s="1">
        <f t="shared" si="13"/>
        <v>2.1500067685588333</v>
      </c>
      <c r="C43" s="5">
        <f t="shared" si="14"/>
        <v>50262.222218948889</v>
      </c>
      <c r="D43" s="5">
        <f t="shared" si="15"/>
        <v>47731.879996965625</v>
      </c>
      <c r="E43" s="5">
        <f t="shared" si="1"/>
        <v>38231.879996965625</v>
      </c>
      <c r="F43" s="5">
        <f t="shared" si="2"/>
        <v>13157.646818705838</v>
      </c>
      <c r="G43" s="5">
        <f t="shared" si="3"/>
        <v>34574.23317825979</v>
      </c>
      <c r="H43" s="22">
        <f t="shared" si="16"/>
        <v>22734.789520259892</v>
      </c>
      <c r="I43" s="5">
        <f t="shared" si="17"/>
        <v>55649.383063540707</v>
      </c>
      <c r="J43" s="25">
        <f t="shared" si="5"/>
        <v>0.17761432269797123</v>
      </c>
      <c r="L43" s="22">
        <f t="shared" si="18"/>
        <v>75415.803442503078</v>
      </c>
      <c r="M43" s="5">
        <f>scrimecost*Meta!O40</f>
        <v>7760.0720000000001</v>
      </c>
      <c r="N43" s="5">
        <f>L43-Grade14!L43</f>
        <v>8312.6414045988204</v>
      </c>
      <c r="O43" s="5">
        <f>Grade14!M43-M43</f>
        <v>60.956000000000131</v>
      </c>
      <c r="P43" s="22">
        <f t="shared" si="12"/>
        <v>39.897853698327054</v>
      </c>
      <c r="Q43" s="22"/>
      <c r="R43" s="22"/>
      <c r="S43" s="22">
        <f t="shared" ref="S43:S69" si="19">IF(A43&lt;startage,1,0)*(N43-Q43-R43)+IF(A43&gt;=startage,1,0)*completionprob*(N43*spart+O43+P43)</f>
        <v>2384.3556349064402</v>
      </c>
      <c r="T43" s="22">
        <f t="shared" ref="T43:T69" si="20">S43/sreturn^(A43-startage+1)</f>
        <v>658.91561375777439</v>
      </c>
    </row>
    <row r="44" spans="1:20" x14ac:dyDescent="0.2">
      <c r="A44" s="5">
        <v>53</v>
      </c>
      <c r="B44" s="1">
        <f t="shared" si="13"/>
        <v>2.2037569377728037</v>
      </c>
      <c r="C44" s="5">
        <f t="shared" si="14"/>
        <v>51518.777774422604</v>
      </c>
      <c r="D44" s="5">
        <f t="shared" si="15"/>
        <v>48896.706996889756</v>
      </c>
      <c r="E44" s="5">
        <f t="shared" si="1"/>
        <v>39396.706996889756</v>
      </c>
      <c r="F44" s="5">
        <f t="shared" si="2"/>
        <v>13654.445534173481</v>
      </c>
      <c r="G44" s="5">
        <f t="shared" si="3"/>
        <v>35242.261462716277</v>
      </c>
      <c r="H44" s="22">
        <f t="shared" si="16"/>
        <v>23303.159258266387</v>
      </c>
      <c r="I44" s="5">
        <f t="shared" si="17"/>
        <v>56844.290095129218</v>
      </c>
      <c r="J44" s="25">
        <f t="shared" si="5"/>
        <v>0.18044488393218694</v>
      </c>
      <c r="L44" s="22">
        <f t="shared" si="18"/>
        <v>77301.198528565641</v>
      </c>
      <c r="M44" s="5">
        <f>scrimecost*Meta!O41</f>
        <v>7760.0720000000001</v>
      </c>
      <c r="N44" s="5">
        <f>L44-Grade14!L44</f>
        <v>8520.4574397137767</v>
      </c>
      <c r="O44" s="5">
        <f>Grade14!M44-M44</f>
        <v>60.956000000000131</v>
      </c>
      <c r="P44" s="22">
        <f t="shared" si="12"/>
        <v>41.005211592611964</v>
      </c>
      <c r="Q44" s="22"/>
      <c r="R44" s="22"/>
      <c r="S44" s="22">
        <f t="shared" si="19"/>
        <v>2443.2617735203548</v>
      </c>
      <c r="T44" s="22">
        <f t="shared" si="20"/>
        <v>648.59612997405304</v>
      </c>
    </row>
    <row r="45" spans="1:20" x14ac:dyDescent="0.2">
      <c r="A45" s="5">
        <v>54</v>
      </c>
      <c r="B45" s="1">
        <f t="shared" si="13"/>
        <v>2.2588508612171236</v>
      </c>
      <c r="C45" s="5">
        <f t="shared" si="14"/>
        <v>52806.747218783159</v>
      </c>
      <c r="D45" s="5">
        <f t="shared" si="15"/>
        <v>50090.654671811993</v>
      </c>
      <c r="E45" s="5">
        <f t="shared" si="1"/>
        <v>40590.654671811993</v>
      </c>
      <c r="F45" s="5">
        <f t="shared" si="2"/>
        <v>14163.664217527814</v>
      </c>
      <c r="G45" s="5">
        <f t="shared" si="3"/>
        <v>35926.990454284183</v>
      </c>
      <c r="H45" s="22">
        <f t="shared" si="16"/>
        <v>23885.738239723043</v>
      </c>
      <c r="I45" s="5">
        <f t="shared" si="17"/>
        <v>58069.069802507445</v>
      </c>
      <c r="J45" s="25">
        <f t="shared" si="5"/>
        <v>0.18320640708751931</v>
      </c>
      <c r="L45" s="22">
        <f t="shared" si="18"/>
        <v>79233.728491779781</v>
      </c>
      <c r="M45" s="5">
        <f>scrimecost*Meta!O42</f>
        <v>7760.0720000000001</v>
      </c>
      <c r="N45" s="5">
        <f>L45-Grade14!L45</f>
        <v>8733.4688757066324</v>
      </c>
      <c r="O45" s="5">
        <f>Grade14!M45-M45</f>
        <v>60.956000000000131</v>
      </c>
      <c r="P45" s="22">
        <f t="shared" si="12"/>
        <v>42.140253434254014</v>
      </c>
      <c r="Q45" s="22"/>
      <c r="R45" s="22"/>
      <c r="S45" s="22">
        <f t="shared" si="19"/>
        <v>2503.6405655996255</v>
      </c>
      <c r="T45" s="22">
        <f t="shared" si="20"/>
        <v>638.44269018582918</v>
      </c>
    </row>
    <row r="46" spans="1:20" x14ac:dyDescent="0.2">
      <c r="A46" s="5">
        <v>55</v>
      </c>
      <c r="B46" s="1">
        <f t="shared" si="13"/>
        <v>2.3153221327475517</v>
      </c>
      <c r="C46" s="5">
        <f t="shared" si="14"/>
        <v>54126.915899252745</v>
      </c>
      <c r="D46" s="5">
        <f t="shared" si="15"/>
        <v>51314.451038607302</v>
      </c>
      <c r="E46" s="5">
        <f t="shared" si="1"/>
        <v>41814.451038607302</v>
      </c>
      <c r="F46" s="5">
        <f t="shared" si="2"/>
        <v>14685.613367966016</v>
      </c>
      <c r="G46" s="5">
        <f t="shared" si="3"/>
        <v>36628.837670641282</v>
      </c>
      <c r="H46" s="22">
        <f t="shared" si="16"/>
        <v>24482.881695716122</v>
      </c>
      <c r="I46" s="5">
        <f t="shared" si="17"/>
        <v>59324.469002570127</v>
      </c>
      <c r="J46" s="25">
        <f t="shared" si="5"/>
        <v>0.18590057601955093</v>
      </c>
      <c r="L46" s="22">
        <f t="shared" si="18"/>
        <v>81214.571704074275</v>
      </c>
      <c r="M46" s="5">
        <f>scrimecost*Meta!O43</f>
        <v>4304.2199999999993</v>
      </c>
      <c r="N46" s="5">
        <f>L46-Grade14!L46</f>
        <v>8951.8055975993047</v>
      </c>
      <c r="O46" s="5">
        <f>Grade14!M46-M46</f>
        <v>33.8100000000004</v>
      </c>
      <c r="P46" s="22">
        <f t="shared" si="12"/>
        <v>43.303671321937095</v>
      </c>
      <c r="Q46" s="22"/>
      <c r="R46" s="22"/>
      <c r="S46" s="22">
        <f t="shared" si="19"/>
        <v>2552.0372654808752</v>
      </c>
      <c r="T46" s="22">
        <f t="shared" si="20"/>
        <v>625.14755572575041</v>
      </c>
    </row>
    <row r="47" spans="1:20" x14ac:dyDescent="0.2">
      <c r="A47" s="5">
        <v>56</v>
      </c>
      <c r="B47" s="1">
        <f t="shared" si="13"/>
        <v>2.3732051860662402</v>
      </c>
      <c r="C47" s="5">
        <f t="shared" si="14"/>
        <v>55480.088796734053</v>
      </c>
      <c r="D47" s="5">
        <f t="shared" si="15"/>
        <v>52568.842314572474</v>
      </c>
      <c r="E47" s="5">
        <f t="shared" si="1"/>
        <v>43068.842314572474</v>
      </c>
      <c r="F47" s="5">
        <f t="shared" si="2"/>
        <v>15220.611247165161</v>
      </c>
      <c r="G47" s="5">
        <f t="shared" si="3"/>
        <v>37348.231067407309</v>
      </c>
      <c r="H47" s="22">
        <f t="shared" si="16"/>
        <v>25094.953738109019</v>
      </c>
      <c r="I47" s="5">
        <f t="shared" si="17"/>
        <v>60611.253182634369</v>
      </c>
      <c r="J47" s="25">
        <f t="shared" si="5"/>
        <v>0.18852903351421588</v>
      </c>
      <c r="L47" s="22">
        <f t="shared" si="18"/>
        <v>83244.935996676126</v>
      </c>
      <c r="M47" s="5">
        <f>scrimecost*Meta!O44</f>
        <v>4304.2199999999993</v>
      </c>
      <c r="N47" s="5">
        <f>L47-Grade14!L47</f>
        <v>9175.6007375392655</v>
      </c>
      <c r="O47" s="5">
        <f>Grade14!M47-M47</f>
        <v>33.8100000000004</v>
      </c>
      <c r="P47" s="22">
        <f t="shared" si="12"/>
        <v>44.496174656812258</v>
      </c>
      <c r="Q47" s="22"/>
      <c r="R47" s="22"/>
      <c r="S47" s="22">
        <f t="shared" si="19"/>
        <v>2615.4727339091492</v>
      </c>
      <c r="T47" s="22">
        <f t="shared" si="20"/>
        <v>615.44792110732294</v>
      </c>
    </row>
    <row r="48" spans="1:20" x14ac:dyDescent="0.2">
      <c r="A48" s="5">
        <v>57</v>
      </c>
      <c r="B48" s="1">
        <f t="shared" si="13"/>
        <v>2.4325353157178964</v>
      </c>
      <c r="C48" s="5">
        <f t="shared" si="14"/>
        <v>56867.091016652412</v>
      </c>
      <c r="D48" s="5">
        <f t="shared" si="15"/>
        <v>53854.593372436793</v>
      </c>
      <c r="E48" s="5">
        <f t="shared" si="1"/>
        <v>44354.593372436793</v>
      </c>
      <c r="F48" s="5">
        <f t="shared" si="2"/>
        <v>15768.984073344292</v>
      </c>
      <c r="G48" s="5">
        <f t="shared" si="3"/>
        <v>38085.609299092503</v>
      </c>
      <c r="H48" s="22">
        <f t="shared" si="16"/>
        <v>25722.327581561749</v>
      </c>
      <c r="I48" s="5">
        <f t="shared" si="17"/>
        <v>61930.20696720024</v>
      </c>
      <c r="J48" s="25">
        <f t="shared" si="5"/>
        <v>0.19109338228949876</v>
      </c>
      <c r="L48" s="22">
        <f t="shared" si="18"/>
        <v>85326.059396593031</v>
      </c>
      <c r="M48" s="5">
        <f>scrimecost*Meta!O45</f>
        <v>4304.2199999999993</v>
      </c>
      <c r="N48" s="5">
        <f>L48-Grade14!L48</f>
        <v>9404.9907559777785</v>
      </c>
      <c r="O48" s="5">
        <f>Grade14!M48-M48</f>
        <v>33.8100000000004</v>
      </c>
      <c r="P48" s="22">
        <f t="shared" si="12"/>
        <v>45.718490575059299</v>
      </c>
      <c r="Q48" s="22"/>
      <c r="R48" s="22"/>
      <c r="S48" s="22">
        <f t="shared" si="19"/>
        <v>2680.4940890481444</v>
      </c>
      <c r="T48" s="22">
        <f t="shared" si="20"/>
        <v>605.90083702611582</v>
      </c>
    </row>
    <row r="49" spans="1:20" x14ac:dyDescent="0.2">
      <c r="A49" s="5">
        <v>58</v>
      </c>
      <c r="B49" s="1">
        <f t="shared" si="13"/>
        <v>2.4933486986108435</v>
      </c>
      <c r="C49" s="5">
        <f t="shared" si="14"/>
        <v>58288.768292068708</v>
      </c>
      <c r="D49" s="5">
        <f t="shared" si="15"/>
        <v>55172.488206747701</v>
      </c>
      <c r="E49" s="5">
        <f t="shared" si="1"/>
        <v>45672.488206747701</v>
      </c>
      <c r="F49" s="5">
        <f t="shared" si="2"/>
        <v>16331.066220177894</v>
      </c>
      <c r="G49" s="5">
        <f t="shared" si="3"/>
        <v>38841.421986569811</v>
      </c>
      <c r="H49" s="22">
        <f t="shared" si="16"/>
        <v>26365.385771100788</v>
      </c>
      <c r="I49" s="5">
        <f t="shared" si="17"/>
        <v>63282.134596380245</v>
      </c>
      <c r="J49" s="25">
        <f t="shared" si="5"/>
        <v>0.19359518597270156</v>
      </c>
      <c r="L49" s="22">
        <f t="shared" si="18"/>
        <v>87459.210881507839</v>
      </c>
      <c r="M49" s="5">
        <f>scrimecost*Meta!O46</f>
        <v>4304.2199999999993</v>
      </c>
      <c r="N49" s="5">
        <f>L49-Grade14!L49</f>
        <v>9640.1155248771975</v>
      </c>
      <c r="O49" s="5">
        <f>Grade14!M49-M49</f>
        <v>33.8100000000004</v>
      </c>
      <c r="P49" s="22">
        <f t="shared" si="12"/>
        <v>46.971364391262512</v>
      </c>
      <c r="Q49" s="22"/>
      <c r="R49" s="22"/>
      <c r="S49" s="22">
        <f t="shared" si="19"/>
        <v>2747.1409780655986</v>
      </c>
      <c r="T49" s="22">
        <f t="shared" si="20"/>
        <v>596.50382407738289</v>
      </c>
    </row>
    <row r="50" spans="1:20" x14ac:dyDescent="0.2">
      <c r="A50" s="5">
        <v>59</v>
      </c>
      <c r="B50" s="1">
        <f t="shared" si="13"/>
        <v>2.555682416076114</v>
      </c>
      <c r="C50" s="5">
        <f t="shared" si="14"/>
        <v>59745.987499370414</v>
      </c>
      <c r="D50" s="5">
        <f t="shared" si="15"/>
        <v>56523.33041191638</v>
      </c>
      <c r="E50" s="5">
        <f t="shared" si="1"/>
        <v>47023.33041191638</v>
      </c>
      <c r="F50" s="5">
        <f t="shared" si="2"/>
        <v>16907.200420682337</v>
      </c>
      <c r="G50" s="5">
        <f t="shared" si="3"/>
        <v>39616.129991234047</v>
      </c>
      <c r="H50" s="22">
        <f t="shared" si="16"/>
        <v>27024.520415378305</v>
      </c>
      <c r="I50" s="5">
        <f t="shared" si="17"/>
        <v>64667.860416289739</v>
      </c>
      <c r="J50" s="25">
        <f t="shared" si="5"/>
        <v>0.19603597005387507</v>
      </c>
      <c r="L50" s="22">
        <f t="shared" si="18"/>
        <v>89645.691153545515</v>
      </c>
      <c r="M50" s="5">
        <f>scrimecost*Meta!O47</f>
        <v>4304.2199999999993</v>
      </c>
      <c r="N50" s="5">
        <f>L50-Grade14!L50</f>
        <v>9881.1184129991161</v>
      </c>
      <c r="O50" s="5">
        <f>Grade14!M50-M50</f>
        <v>33.8100000000004</v>
      </c>
      <c r="P50" s="22">
        <f t="shared" si="12"/>
        <v>48.255560052870806</v>
      </c>
      <c r="Q50" s="22"/>
      <c r="R50" s="22"/>
      <c r="S50" s="22">
        <f t="shared" si="19"/>
        <v>2815.454039308494</v>
      </c>
      <c r="T50" s="22">
        <f t="shared" si="20"/>
        <v>587.25444624233478</v>
      </c>
    </row>
    <row r="51" spans="1:20" x14ac:dyDescent="0.2">
      <c r="A51" s="5">
        <v>60</v>
      </c>
      <c r="B51" s="1">
        <f t="shared" si="13"/>
        <v>2.6195744764780171</v>
      </c>
      <c r="C51" s="5">
        <f t="shared" si="14"/>
        <v>61239.637186854685</v>
      </c>
      <c r="D51" s="5">
        <f t="shared" si="15"/>
        <v>57907.9436722143</v>
      </c>
      <c r="E51" s="5">
        <f t="shared" si="1"/>
        <v>48407.9436722143</v>
      </c>
      <c r="F51" s="5">
        <f t="shared" si="2"/>
        <v>17497.737976199402</v>
      </c>
      <c r="G51" s="5">
        <f t="shared" si="3"/>
        <v>40410.205696014898</v>
      </c>
      <c r="H51" s="22">
        <f t="shared" si="16"/>
        <v>27700.133425762764</v>
      </c>
      <c r="I51" s="5">
        <f t="shared" si="17"/>
        <v>66088.22938169699</v>
      </c>
      <c r="J51" s="25">
        <f t="shared" si="5"/>
        <v>0.19841722281599555</v>
      </c>
      <c r="L51" s="22">
        <f t="shared" si="18"/>
        <v>91886.83343238417</v>
      </c>
      <c r="M51" s="5">
        <f>scrimecost*Meta!O48</f>
        <v>2270.6320000000001</v>
      </c>
      <c r="N51" s="5">
        <f>L51-Grade14!L51</f>
        <v>10128.146373324111</v>
      </c>
      <c r="O51" s="5">
        <f>Grade14!M51-M51</f>
        <v>17.835999999999785</v>
      </c>
      <c r="P51" s="22">
        <f t="shared" si="12"/>
        <v>49.571860606019321</v>
      </c>
      <c r="Q51" s="22"/>
      <c r="R51" s="22"/>
      <c r="S51" s="22">
        <f t="shared" si="19"/>
        <v>2877.5358490824674</v>
      </c>
      <c r="T51" s="22">
        <f t="shared" si="20"/>
        <v>576.55959080020841</v>
      </c>
    </row>
    <row r="52" spans="1:20" x14ac:dyDescent="0.2">
      <c r="A52" s="5">
        <v>61</v>
      </c>
      <c r="B52" s="1">
        <f t="shared" si="13"/>
        <v>2.6850638383899672</v>
      </c>
      <c r="C52" s="5">
        <f t="shared" si="14"/>
        <v>62770.628116526037</v>
      </c>
      <c r="D52" s="5">
        <f t="shared" si="15"/>
        <v>59327.172264019639</v>
      </c>
      <c r="E52" s="5">
        <f t="shared" si="1"/>
        <v>49827.172264019639</v>
      </c>
      <c r="F52" s="5">
        <f t="shared" si="2"/>
        <v>18103.038970604375</v>
      </c>
      <c r="G52" s="5">
        <f t="shared" si="3"/>
        <v>41224.13329341526</v>
      </c>
      <c r="H52" s="22">
        <f t="shared" si="16"/>
        <v>28392.636761406829</v>
      </c>
      <c r="I52" s="5">
        <f t="shared" si="17"/>
        <v>67544.107571239394</v>
      </c>
      <c r="J52" s="25">
        <f t="shared" si="5"/>
        <v>0.20074039624245443</v>
      </c>
      <c r="L52" s="22">
        <f t="shared" si="18"/>
        <v>94184.004268193763</v>
      </c>
      <c r="M52" s="5">
        <f>scrimecost*Meta!O49</f>
        <v>2270.6320000000001</v>
      </c>
      <c r="N52" s="5">
        <f>L52-Grade14!L52</f>
        <v>10381.35003265721</v>
      </c>
      <c r="O52" s="5">
        <f>Grade14!M52-M52</f>
        <v>17.835999999999785</v>
      </c>
      <c r="P52" s="22">
        <f t="shared" si="12"/>
        <v>50.921068672996519</v>
      </c>
      <c r="Q52" s="22"/>
      <c r="R52" s="22"/>
      <c r="S52" s="22">
        <f t="shared" si="19"/>
        <v>2949.3072590507868</v>
      </c>
      <c r="T52" s="22">
        <f t="shared" si="20"/>
        <v>567.66100809708587</v>
      </c>
    </row>
    <row r="53" spans="1:20" x14ac:dyDescent="0.2">
      <c r="A53" s="5">
        <v>62</v>
      </c>
      <c r="B53" s="1">
        <f t="shared" si="13"/>
        <v>2.7521904343497163</v>
      </c>
      <c r="C53" s="5">
        <f t="shared" si="14"/>
        <v>64339.893819439189</v>
      </c>
      <c r="D53" s="5">
        <f t="shared" si="15"/>
        <v>60781.881570620135</v>
      </c>
      <c r="E53" s="5">
        <f t="shared" si="1"/>
        <v>51281.881570620135</v>
      </c>
      <c r="F53" s="5">
        <f t="shared" si="2"/>
        <v>18723.472489869488</v>
      </c>
      <c r="G53" s="5">
        <f t="shared" si="3"/>
        <v>42058.409080750644</v>
      </c>
      <c r="H53" s="22">
        <f t="shared" si="16"/>
        <v>29102.452680441998</v>
      </c>
      <c r="I53" s="5">
        <f t="shared" si="17"/>
        <v>69036.382715520376</v>
      </c>
      <c r="J53" s="25">
        <f t="shared" si="5"/>
        <v>0.20300690690241452</v>
      </c>
      <c r="L53" s="22">
        <f t="shared" si="18"/>
        <v>96538.604374898598</v>
      </c>
      <c r="M53" s="5">
        <f>scrimecost*Meta!O50</f>
        <v>2270.6320000000001</v>
      </c>
      <c r="N53" s="5">
        <f>L53-Grade14!L53</f>
        <v>10640.883783473633</v>
      </c>
      <c r="O53" s="5">
        <f>Grade14!M53-M53</f>
        <v>17.835999999999785</v>
      </c>
      <c r="P53" s="22">
        <f t="shared" si="12"/>
        <v>52.304006941648183</v>
      </c>
      <c r="Q53" s="22"/>
      <c r="R53" s="22"/>
      <c r="S53" s="22">
        <f t="shared" si="19"/>
        <v>3022.8729542683127</v>
      </c>
      <c r="T53" s="22">
        <f t="shared" si="20"/>
        <v>558.90053559530793</v>
      </c>
    </row>
    <row r="54" spans="1:20" x14ac:dyDescent="0.2">
      <c r="A54" s="5">
        <v>63</v>
      </c>
      <c r="B54" s="1">
        <f t="shared" si="13"/>
        <v>2.8209951952084591</v>
      </c>
      <c r="C54" s="5">
        <f t="shared" si="14"/>
        <v>65948.391164925168</v>
      </c>
      <c r="D54" s="5">
        <f t="shared" si="15"/>
        <v>62272.958609885638</v>
      </c>
      <c r="E54" s="5">
        <f t="shared" si="1"/>
        <v>52772.958609885638</v>
      </c>
      <c r="F54" s="5">
        <f t="shared" si="2"/>
        <v>19359.416847116227</v>
      </c>
      <c r="G54" s="5">
        <f t="shared" si="3"/>
        <v>42913.541762769411</v>
      </c>
      <c r="H54" s="22">
        <f t="shared" si="16"/>
        <v>29830.013997453047</v>
      </c>
      <c r="I54" s="5">
        <f t="shared" si="17"/>
        <v>70565.964738408395</v>
      </c>
      <c r="J54" s="25">
        <f t="shared" si="5"/>
        <v>0.20521813681457066</v>
      </c>
      <c r="L54" s="22">
        <f t="shared" si="18"/>
        <v>98952.069484271065</v>
      </c>
      <c r="M54" s="5">
        <f>scrimecost*Meta!O51</f>
        <v>2270.6320000000001</v>
      </c>
      <c r="N54" s="5">
        <f>L54-Grade14!L54</f>
        <v>10906.905878060468</v>
      </c>
      <c r="O54" s="5">
        <f>Grade14!M54-M54</f>
        <v>17.835999999999785</v>
      </c>
      <c r="P54" s="22">
        <f t="shared" si="12"/>
        <v>53.721518667016134</v>
      </c>
      <c r="Q54" s="22"/>
      <c r="R54" s="22"/>
      <c r="S54" s="22">
        <f t="shared" si="19"/>
        <v>3098.2777918662764</v>
      </c>
      <c r="T54" s="22">
        <f t="shared" si="20"/>
        <v>550.27599953361073</v>
      </c>
    </row>
    <row r="55" spans="1:20" x14ac:dyDescent="0.2">
      <c r="A55" s="5">
        <v>64</v>
      </c>
      <c r="B55" s="1">
        <f t="shared" si="13"/>
        <v>2.8915200750886707</v>
      </c>
      <c r="C55" s="5">
        <f t="shared" si="14"/>
        <v>67597.100944048303</v>
      </c>
      <c r="D55" s="5">
        <f t="shared" si="15"/>
        <v>63801.312575132783</v>
      </c>
      <c r="E55" s="5">
        <f t="shared" si="1"/>
        <v>54301.312575132783</v>
      </c>
      <c r="F55" s="5">
        <f t="shared" si="2"/>
        <v>20011.259813294131</v>
      </c>
      <c r="G55" s="5">
        <f t="shared" si="3"/>
        <v>43790.052761838655</v>
      </c>
      <c r="H55" s="22">
        <f t="shared" si="16"/>
        <v>30575.764347389377</v>
      </c>
      <c r="I55" s="5">
        <f t="shared" si="17"/>
        <v>72133.786311868607</v>
      </c>
      <c r="J55" s="25">
        <f t="shared" si="5"/>
        <v>0.20737543428984484</v>
      </c>
      <c r="L55" s="22">
        <f t="shared" si="18"/>
        <v>101425.87122137783</v>
      </c>
      <c r="M55" s="5">
        <f>scrimecost*Meta!O52</f>
        <v>2270.6320000000001</v>
      </c>
      <c r="N55" s="5">
        <f>L55-Grade14!L55</f>
        <v>11179.57852501201</v>
      </c>
      <c r="O55" s="5">
        <f>Grade14!M55-M55</f>
        <v>17.835999999999785</v>
      </c>
      <c r="P55" s="22">
        <f t="shared" si="12"/>
        <v>55.174468185518258</v>
      </c>
      <c r="Q55" s="22"/>
      <c r="R55" s="22"/>
      <c r="S55" s="22">
        <f t="shared" si="19"/>
        <v>3175.5677504041996</v>
      </c>
      <c r="T55" s="22">
        <f t="shared" si="20"/>
        <v>541.78526154404472</v>
      </c>
    </row>
    <row r="56" spans="1:20" x14ac:dyDescent="0.2">
      <c r="A56" s="5">
        <v>65</v>
      </c>
      <c r="B56" s="1">
        <f t="shared" si="13"/>
        <v>2.9638080769658868</v>
      </c>
      <c r="C56" s="5">
        <f t="shared" si="14"/>
        <v>69287.028467649492</v>
      </c>
      <c r="D56" s="5">
        <f t="shared" si="15"/>
        <v>65367.875389511086</v>
      </c>
      <c r="E56" s="5">
        <f t="shared" si="1"/>
        <v>55867.875389511086</v>
      </c>
      <c r="F56" s="5">
        <f t="shared" si="2"/>
        <v>20679.398853626481</v>
      </c>
      <c r="G56" s="5">
        <f t="shared" si="3"/>
        <v>44688.476535884605</v>
      </c>
      <c r="H56" s="22">
        <f t="shared" si="16"/>
        <v>31340.158456074099</v>
      </c>
      <c r="I56" s="5">
        <f t="shared" si="17"/>
        <v>73740.803424665297</v>
      </c>
      <c r="J56" s="25">
        <f t="shared" si="5"/>
        <v>0.20948011475352707</v>
      </c>
      <c r="L56" s="22">
        <f t="shared" si="18"/>
        <v>103961.51800191226</v>
      </c>
      <c r="M56" s="5">
        <f>scrimecost*Meta!O53</f>
        <v>686.18</v>
      </c>
      <c r="N56" s="5">
        <f>L56-Grade14!L56</f>
        <v>11459.067988137278</v>
      </c>
      <c r="O56" s="5">
        <f>Grade14!M56-M56</f>
        <v>5.3900000000001</v>
      </c>
      <c r="P56" s="22">
        <f t="shared" si="12"/>
        <v>56.66374144198295</v>
      </c>
      <c r="Q56" s="22"/>
      <c r="R56" s="22"/>
      <c r="S56" s="22">
        <f t="shared" si="19"/>
        <v>3248.6042959055535</v>
      </c>
      <c r="T56" s="22">
        <f t="shared" si="20"/>
        <v>532.4124523712544</v>
      </c>
    </row>
    <row r="57" spans="1:20" x14ac:dyDescent="0.2">
      <c r="A57" s="5">
        <v>66</v>
      </c>
      <c r="C57" s="5"/>
      <c r="H57" s="21"/>
      <c r="I57" s="5"/>
      <c r="M57" s="5">
        <f>scrimecost*Meta!O54</f>
        <v>686.18</v>
      </c>
      <c r="N57" s="5">
        <f>L57-Grade14!L57</f>
        <v>0</v>
      </c>
      <c r="O57" s="5">
        <f>Grade14!M57-M57</f>
        <v>5.3900000000001</v>
      </c>
      <c r="Q57" s="22"/>
      <c r="R57" s="22"/>
      <c r="S57" s="22">
        <f t="shared" si="19"/>
        <v>2.6788300000000498</v>
      </c>
      <c r="T57" s="22">
        <f t="shared" si="20"/>
        <v>0.42173741383667496</v>
      </c>
    </row>
    <row r="58" spans="1:20" x14ac:dyDescent="0.2">
      <c r="A58" s="5">
        <v>67</v>
      </c>
      <c r="C58" s="5"/>
      <c r="H58" s="21"/>
      <c r="I58" s="5"/>
      <c r="M58" s="5">
        <f>scrimecost*Meta!O55</f>
        <v>686.18</v>
      </c>
      <c r="N58" s="5">
        <f>L58-Grade14!L58</f>
        <v>0</v>
      </c>
      <c r="O58" s="5">
        <f>Grade14!M58-M58</f>
        <v>5.3900000000001</v>
      </c>
      <c r="Q58" s="22"/>
      <c r="R58" s="22"/>
      <c r="S58" s="22">
        <f t="shared" si="19"/>
        <v>2.6788300000000498</v>
      </c>
      <c r="T58" s="22">
        <f t="shared" si="20"/>
        <v>0.40512376208456957</v>
      </c>
    </row>
    <row r="59" spans="1:20" x14ac:dyDescent="0.2">
      <c r="A59" s="5">
        <v>68</v>
      </c>
      <c r="H59" s="21"/>
      <c r="I59" s="5"/>
      <c r="M59" s="5">
        <f>scrimecost*Meta!O56</f>
        <v>686.18</v>
      </c>
      <c r="N59" s="5">
        <f>L59-Grade14!L59</f>
        <v>0</v>
      </c>
      <c r="O59" s="5">
        <f>Grade14!M59-M59</f>
        <v>5.3900000000001</v>
      </c>
      <c r="Q59" s="22"/>
      <c r="R59" s="22"/>
      <c r="S59" s="22">
        <f t="shared" si="19"/>
        <v>2.6788300000000498</v>
      </c>
      <c r="T59" s="22">
        <f t="shared" si="20"/>
        <v>0.3891645778174076</v>
      </c>
    </row>
    <row r="60" spans="1:20" x14ac:dyDescent="0.2">
      <c r="A60" s="5">
        <v>69</v>
      </c>
      <c r="H60" s="21"/>
      <c r="I60" s="5"/>
      <c r="M60" s="5">
        <f>scrimecost*Meta!O57</f>
        <v>686.18</v>
      </c>
      <c r="N60" s="5">
        <f>L60-Grade14!L60</f>
        <v>0</v>
      </c>
      <c r="O60" s="5">
        <f>Grade14!M60-M60</f>
        <v>5.3900000000001</v>
      </c>
      <c r="Q60" s="22"/>
      <c r="R60" s="22"/>
      <c r="S60" s="22">
        <f t="shared" si="19"/>
        <v>2.6788300000000498</v>
      </c>
      <c r="T60" s="22">
        <f t="shared" si="20"/>
        <v>0.3738340793650759</v>
      </c>
    </row>
    <row r="61" spans="1:20" x14ac:dyDescent="0.2">
      <c r="A61" s="5">
        <v>70</v>
      </c>
      <c r="H61" s="21"/>
      <c r="I61" s="5"/>
      <c r="M61" s="5">
        <f>scrimecost*Meta!O58</f>
        <v>686.18</v>
      </c>
      <c r="N61" s="5">
        <f>L61-Grade14!L61</f>
        <v>0</v>
      </c>
      <c r="O61" s="5">
        <f>Grade14!M61-M61</f>
        <v>5.3900000000001</v>
      </c>
      <c r="Q61" s="22"/>
      <c r="R61" s="22"/>
      <c r="S61" s="22">
        <f t="shared" si="19"/>
        <v>2.6788300000000498</v>
      </c>
      <c r="T61" s="22">
        <f t="shared" si="20"/>
        <v>0.35910750068395003</v>
      </c>
    </row>
    <row r="62" spans="1:20" x14ac:dyDescent="0.2">
      <c r="A62" s="5">
        <v>71</v>
      </c>
      <c r="H62" s="21"/>
      <c r="I62" s="5"/>
      <c r="M62" s="5">
        <f>scrimecost*Meta!O59</f>
        <v>686.18</v>
      </c>
      <c r="N62" s="5">
        <f>L62-Grade14!L62</f>
        <v>0</v>
      </c>
      <c r="O62" s="5">
        <f>Grade14!M62-M62</f>
        <v>5.3900000000001</v>
      </c>
      <c r="Q62" s="22"/>
      <c r="R62" s="22"/>
      <c r="S62" s="22">
        <f t="shared" si="19"/>
        <v>2.6788300000000498</v>
      </c>
      <c r="T62" s="22">
        <f t="shared" si="20"/>
        <v>0.34496105134795979</v>
      </c>
    </row>
    <row r="63" spans="1:20" x14ac:dyDescent="0.2">
      <c r="A63" s="5">
        <v>72</v>
      </c>
      <c r="H63" s="21"/>
      <c r="M63" s="5">
        <f>scrimecost*Meta!O60</f>
        <v>686.18</v>
      </c>
      <c r="N63" s="5">
        <f>L63-Grade14!L63</f>
        <v>0</v>
      </c>
      <c r="O63" s="5">
        <f>Grade14!M63-M63</f>
        <v>5.3900000000001</v>
      </c>
      <c r="Q63" s="22"/>
      <c r="R63" s="22"/>
      <c r="S63" s="22">
        <f t="shared" si="19"/>
        <v>2.6788300000000498</v>
      </c>
      <c r="T63" s="22">
        <f t="shared" si="20"/>
        <v>0.33137187811573954</v>
      </c>
    </row>
    <row r="64" spans="1:20" x14ac:dyDescent="0.2">
      <c r="A64" s="5">
        <v>73</v>
      </c>
      <c r="H64" s="21"/>
      <c r="M64" s="5">
        <f>scrimecost*Meta!O61</f>
        <v>686.18</v>
      </c>
      <c r="N64" s="5">
        <f>L64-Grade14!L64</f>
        <v>0</v>
      </c>
      <c r="O64" s="5">
        <f>Grade14!M64-M64</f>
        <v>5.3900000000001</v>
      </c>
      <c r="Q64" s="22"/>
      <c r="R64" s="22"/>
      <c r="S64" s="22">
        <f t="shared" si="19"/>
        <v>2.6788300000000498</v>
      </c>
      <c r="T64" s="22">
        <f t="shared" si="20"/>
        <v>0.31831802801177878</v>
      </c>
    </row>
    <row r="65" spans="1:20" x14ac:dyDescent="0.2">
      <c r="A65" s="5">
        <v>74</v>
      </c>
      <c r="H65" s="21"/>
      <c r="M65" s="5">
        <f>scrimecost*Meta!O62</f>
        <v>686.18</v>
      </c>
      <c r="N65" s="5">
        <f>L65-Grade14!L65</f>
        <v>0</v>
      </c>
      <c r="O65" s="5">
        <f>Grade14!M65-M65</f>
        <v>5.3900000000001</v>
      </c>
      <c r="Q65" s="22"/>
      <c r="R65" s="22"/>
      <c r="S65" s="22">
        <f t="shared" si="19"/>
        <v>2.6788300000000498</v>
      </c>
      <c r="T65" s="22">
        <f t="shared" si="20"/>
        <v>0.30577841286192947</v>
      </c>
    </row>
    <row r="66" spans="1:20" x14ac:dyDescent="0.2">
      <c r="A66" s="5">
        <v>75</v>
      </c>
      <c r="H66" s="21"/>
      <c r="M66" s="5">
        <f>scrimecost*Meta!O63</f>
        <v>686.18</v>
      </c>
      <c r="N66" s="5">
        <f>L66-Grade14!L66</f>
        <v>0</v>
      </c>
      <c r="O66" s="5">
        <f>Grade14!M66-M66</f>
        <v>5.3900000000001</v>
      </c>
      <c r="Q66" s="22"/>
      <c r="R66" s="22"/>
      <c r="S66" s="22">
        <f t="shared" si="19"/>
        <v>2.6788300000000498</v>
      </c>
      <c r="T66" s="22">
        <f t="shared" si="20"/>
        <v>0.29373277522597874</v>
      </c>
    </row>
    <row r="67" spans="1:20" x14ac:dyDescent="0.2">
      <c r="A67" s="5">
        <v>76</v>
      </c>
      <c r="H67" s="21"/>
      <c r="M67" s="5">
        <f>scrimecost*Meta!O64</f>
        <v>686.18</v>
      </c>
      <c r="N67" s="5">
        <f>L67-Grade14!L67</f>
        <v>0</v>
      </c>
      <c r="O67" s="5">
        <f>Grade14!M67-M67</f>
        <v>5.3900000000001</v>
      </c>
      <c r="Q67" s="22"/>
      <c r="R67" s="22"/>
      <c r="S67" s="22">
        <f t="shared" si="19"/>
        <v>2.6788300000000498</v>
      </c>
      <c r="T67" s="22">
        <f t="shared" si="20"/>
        <v>0.2821616556722516</v>
      </c>
    </row>
    <row r="68" spans="1:20" x14ac:dyDescent="0.2">
      <c r="A68" s="5">
        <v>77</v>
      </c>
      <c r="H68" s="21"/>
      <c r="M68" s="5">
        <f>scrimecost*Meta!O65</f>
        <v>686.18</v>
      </c>
      <c r="N68" s="5">
        <f>L68-Grade14!L68</f>
        <v>0</v>
      </c>
      <c r="O68" s="5">
        <f>Grade14!M68-M68</f>
        <v>5.3900000000001</v>
      </c>
      <c r="Q68" s="22"/>
      <c r="R68" s="22"/>
      <c r="S68" s="22">
        <f t="shared" si="19"/>
        <v>2.6788300000000498</v>
      </c>
      <c r="T68" s="22">
        <f t="shared" si="20"/>
        <v>0.27104636134137761</v>
      </c>
    </row>
    <row r="69" spans="1:20" x14ac:dyDescent="0.2">
      <c r="A69" s="5">
        <v>78</v>
      </c>
      <c r="H69" s="21"/>
      <c r="M69" s="5">
        <f>scrimecost*Meta!O66</f>
        <v>686.18</v>
      </c>
      <c r="N69" s="5">
        <f>L69-Grade14!L69</f>
        <v>0</v>
      </c>
      <c r="O69" s="5">
        <f>Grade14!M69-M69</f>
        <v>5.3900000000001</v>
      </c>
      <c r="Q69" s="22"/>
      <c r="R69" s="22"/>
      <c r="S69" s="22">
        <f t="shared" si="19"/>
        <v>2.6788300000000498</v>
      </c>
      <c r="T69" s="22">
        <f t="shared" si="20"/>
        <v>0.26036893574843534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2.8455904299562462E-10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12" sqref="S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Meta!A10+6</f>
        <v>22</v>
      </c>
      <c r="C2" s="7">
        <f>Meta!B10</f>
        <v>56009</v>
      </c>
      <c r="D2" s="7">
        <f>Meta!C10</f>
        <v>24581</v>
      </c>
      <c r="E2" s="1">
        <f>Meta!D10</f>
        <v>5.8999999999999997E-2</v>
      </c>
      <c r="F2" s="1">
        <f>Meta!F10</f>
        <v>0.66700000000000004</v>
      </c>
      <c r="G2" s="1">
        <f>Meta!I10</f>
        <v>1.7852800699689915</v>
      </c>
      <c r="H2" s="1">
        <f>Meta!E10</f>
        <v>0.497</v>
      </c>
      <c r="I2" s="13"/>
      <c r="J2" s="1">
        <f>Meta!X9</f>
        <v>0.56499999999999995</v>
      </c>
      <c r="K2" s="1">
        <f>Meta!D9</f>
        <v>7.2999999999999995E-2</v>
      </c>
      <c r="L2" s="28"/>
      <c r="N2" s="22">
        <f>Meta!T10</f>
        <v>54882</v>
      </c>
      <c r="O2" s="22">
        <f>Meta!U10</f>
        <v>24477</v>
      </c>
      <c r="P2" s="1">
        <f>Meta!V10</f>
        <v>9.0999999999999998E-2</v>
      </c>
      <c r="Q2" s="1">
        <f>Meta!X10</f>
        <v>0.56799999999999995</v>
      </c>
      <c r="R2" s="22">
        <f>Meta!W10</f>
        <v>12379</v>
      </c>
      <c r="T2" s="12">
        <f>IRR(S5:S69)+1</f>
        <v>1.0419588129684416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5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B12" s="1">
        <v>1</v>
      </c>
      <c r="C12" s="5">
        <f>0.1*Grade15!C12</f>
        <v>2337.7704179340822</v>
      </c>
      <c r="D12" s="5">
        <f t="shared" ref="D12:D36" si="0">IF(A12&lt;startage,1,0)*(C12*(1-initialunempprob))+IF(A12=startage,1,0)*(C12*(1-unempprob))+IF(A12&gt;startage,1,0)*(C12*(1-unempprob)+unempprob*300*52)</f>
        <v>2167.1131774248943</v>
      </c>
      <c r="E12" s="5">
        <f t="shared" ref="E12:E56" si="1">IF(D12-9500&gt;0,1,0)*(D12-9500)</f>
        <v>0</v>
      </c>
      <c r="F12" s="5">
        <f t="shared" ref="F12:F56" si="2">IF(E12&lt;=8500,1,0)*(0.1*E12+0.1*E12+0.0765*D12)+IF(AND(E12&gt;8500,E12&lt;=34500),1,0)*(850+0.15*(E12-8500)+0.1*E12+0.0765*D12)+IF(AND(E12&gt;34500,E12&lt;=83600),1,0)*(4750+0.25*(E12-34500)+0.1*E12+0.0765*D12)+IF(AND(E12&gt;83600,E12&lt;=174400,D12&lt;=106800),1,0)*(17025+0.28*(E12-83600)+0.1*E12+0.0765*D12)+IF(AND(E12&gt;83600,E12&lt;=174400,D12&gt;106800),1,0)*(17025+0.28*(E12-83600)+0.1*E12+8170.2+0.0145*(D12-106800))+IF(AND(E12&gt;174400,E12&lt;=379150),1,0)*(42449+0.33*(E12-174400)+0.1*E12+8170.2+0.0145*(D12-106800))+IF(E12&gt;379150,1,0)*(110016.5+0.35*(E12-379150)+0.1*E12+8170.2+0.0145*(D12-106800))</f>
        <v>165.78415807300442</v>
      </c>
      <c r="G12" s="5">
        <f t="shared" ref="G12:G56" si="3">D12-F12</f>
        <v>2001.3290193518899</v>
      </c>
      <c r="H12" s="22">
        <f>0.1*Grade15!H12</f>
        <v>1057.4287417475996</v>
      </c>
      <c r="I12" s="5">
        <f t="shared" ref="I12:I36" si="4">G12+IF(A12&lt;startage,1,0)*(H12*(1-initialunempprob))+IF(A12&gt;=startage,1,0)*(H12*(1-unempprob))</f>
        <v>2981.5654629519149</v>
      </c>
      <c r="J12" s="25">
        <f t="shared" ref="J12:J56" si="5">(F12-(IF(A12&gt;startage,1,0)*(unempprob*300*52)))/(IF(A12&lt;startage,1,0)*((C12+H12)*(1-initialunempprob))+IF(A12&gt;=startage,1,0)*((C12+H12)*(1-unempprob)))</f>
        <v>5.2674211014096875E-2</v>
      </c>
      <c r="L12" s="22">
        <f>0.1*Grade15!L12</f>
        <v>3507.7007451960208</v>
      </c>
      <c r="M12" s="5">
        <f>scrimecost*Meta!O9</f>
        <v>37929.256000000001</v>
      </c>
      <c r="N12" s="5">
        <f>L12-Grade15!L12</f>
        <v>-31569.306706764186</v>
      </c>
      <c r="O12" s="5"/>
      <c r="P12" s="22"/>
      <c r="Q12" s="22">
        <f>0.05*feel*Grade15!G12</f>
        <v>243.53710149939326</v>
      </c>
      <c r="R12" s="22">
        <f>coltuition</f>
        <v>8279</v>
      </c>
      <c r="S12" s="22">
        <f t="shared" ref="S12:S43" si="6">IF(A12&lt;startage,1,0)*(N12-Q12-R12)+IF(A12&gt;=startage,1,0)*completionprob*(N12*spart+O12+P12)</f>
        <v>-40091.843808263584</v>
      </c>
      <c r="T12" s="22">
        <f t="shared" ref="T12:T43" si="7">S12/sreturn^(A12-startage+1)</f>
        <v>-40091.843808263584</v>
      </c>
    </row>
    <row r="13" spans="1:20" x14ac:dyDescent="0.2">
      <c r="A13" s="5">
        <v>22</v>
      </c>
      <c r="B13" s="1">
        <f t="shared" ref="B13:B36" si="8">(1+experiencepremium)^(A13-startage)</f>
        <v>1</v>
      </c>
      <c r="C13" s="5">
        <f t="shared" ref="C13:C36" si="9">pretaxincome*B13/expnorm</f>
        <v>31372.6686037406</v>
      </c>
      <c r="D13" s="5">
        <f t="shared" si="0"/>
        <v>29521.681156119907</v>
      </c>
      <c r="E13" s="5">
        <f t="shared" si="1"/>
        <v>20021.681156119907</v>
      </c>
      <c r="F13" s="5">
        <f t="shared" si="2"/>
        <v>6838.8288974731495</v>
      </c>
      <c r="G13" s="5">
        <f t="shared" si="3"/>
        <v>22682.852258646759</v>
      </c>
      <c r="H13" s="22">
        <f t="shared" ref="H13:H36" si="10">benefits*B13/expnorm</f>
        <v>13768.70801029384</v>
      </c>
      <c r="I13" s="5">
        <f t="shared" si="4"/>
        <v>35639.206496333267</v>
      </c>
      <c r="J13" s="25">
        <f t="shared" si="5"/>
        <v>0.16099682657334707</v>
      </c>
      <c r="L13" s="22">
        <f t="shared" ref="L13:L36" si="11">(sincome+sbenefits)*(1-sunemp)*B13/expnorm</f>
        <v>40406.73069366251</v>
      </c>
      <c r="M13" s="5">
        <f>scrimecost*Meta!O10</f>
        <v>34760.231999999996</v>
      </c>
      <c r="N13" s="5">
        <f>L13-Grade15!L13</f>
        <v>4452.7980554032983</v>
      </c>
      <c r="O13" s="5">
        <f>Grade15!M13-M13</f>
        <v>272.37600000000384</v>
      </c>
      <c r="P13" s="22">
        <f t="shared" ref="P13:P56" si="12">(spart-initialspart)*(L13*J13+nptrans)</f>
        <v>39.178066241650605</v>
      </c>
      <c r="Q13" s="22"/>
      <c r="R13" s="22"/>
      <c r="S13" s="22">
        <f t="shared" si="6"/>
        <v>1411.8494507702317</v>
      </c>
      <c r="T13" s="22">
        <f t="shared" si="7"/>
        <v>1354.9954501061388</v>
      </c>
    </row>
    <row r="14" spans="1:20" x14ac:dyDescent="0.2">
      <c r="A14" s="5">
        <v>23</v>
      </c>
      <c r="B14" s="1">
        <f t="shared" si="8"/>
        <v>1.0249999999999999</v>
      </c>
      <c r="C14" s="5">
        <f t="shared" si="9"/>
        <v>32156.985318834115</v>
      </c>
      <c r="D14" s="5">
        <f t="shared" si="0"/>
        <v>31180.123185022905</v>
      </c>
      <c r="E14" s="5">
        <f t="shared" si="1"/>
        <v>21680.123185022905</v>
      </c>
      <c r="F14" s="5">
        <f t="shared" si="2"/>
        <v>7380.3102199099794</v>
      </c>
      <c r="G14" s="5">
        <f t="shared" si="3"/>
        <v>23799.812965112927</v>
      </c>
      <c r="H14" s="22">
        <f t="shared" si="10"/>
        <v>14112.925710551184</v>
      </c>
      <c r="I14" s="5">
        <f t="shared" si="4"/>
        <v>37080.076058741593</v>
      </c>
      <c r="J14" s="25">
        <f t="shared" si="5"/>
        <v>0.14836730031486914</v>
      </c>
      <c r="L14" s="22">
        <f t="shared" si="11"/>
        <v>41416.898961004066</v>
      </c>
      <c r="M14" s="5">
        <f>scrimecost*Meta!O11</f>
        <v>32482.496000000003</v>
      </c>
      <c r="N14" s="5">
        <f>L14-Grade15!L14</f>
        <v>4564.1180067883761</v>
      </c>
      <c r="O14" s="5">
        <f>Grade15!M14-M14</f>
        <v>254.52799999999843</v>
      </c>
      <c r="P14" s="22">
        <f t="shared" si="12"/>
        <v>38.096740458773681</v>
      </c>
      <c r="Q14" s="22"/>
      <c r="R14" s="22"/>
      <c r="S14" s="22">
        <f t="shared" si="6"/>
        <v>1433.8667528523411</v>
      </c>
      <c r="T14" s="22">
        <f t="shared" si="7"/>
        <v>1320.7106813209482</v>
      </c>
    </row>
    <row r="15" spans="1:20" x14ac:dyDescent="0.2">
      <c r="A15" s="5">
        <v>24</v>
      </c>
      <c r="B15" s="1">
        <f t="shared" si="8"/>
        <v>1.0506249999999999</v>
      </c>
      <c r="C15" s="5">
        <f t="shared" si="9"/>
        <v>32960.909951804962</v>
      </c>
      <c r="D15" s="5">
        <f t="shared" si="0"/>
        <v>31936.616264648474</v>
      </c>
      <c r="E15" s="5">
        <f t="shared" si="1"/>
        <v>22436.616264648474</v>
      </c>
      <c r="F15" s="5">
        <f t="shared" si="2"/>
        <v>7627.3052104077269</v>
      </c>
      <c r="G15" s="5">
        <f t="shared" si="3"/>
        <v>24309.311054240745</v>
      </c>
      <c r="H15" s="22">
        <f t="shared" si="10"/>
        <v>14465.748853314964</v>
      </c>
      <c r="I15" s="5">
        <f t="shared" si="4"/>
        <v>37921.580725210129</v>
      </c>
      <c r="J15" s="25">
        <f t="shared" si="5"/>
        <v>0.15028305508914805</v>
      </c>
      <c r="L15" s="22">
        <f t="shared" si="11"/>
        <v>42452.321435029167</v>
      </c>
      <c r="M15" s="5">
        <f>scrimecost*Meta!O12</f>
        <v>31034.153000000002</v>
      </c>
      <c r="N15" s="5">
        <f>L15-Grade15!L15</f>
        <v>4678.2209569580882</v>
      </c>
      <c r="O15" s="5">
        <f>Grade15!M15-M15</f>
        <v>243.17900000000009</v>
      </c>
      <c r="P15" s="22">
        <f t="shared" si="12"/>
        <v>38.801593682648168</v>
      </c>
      <c r="Q15" s="22"/>
      <c r="R15" s="22"/>
      <c r="S15" s="22">
        <f t="shared" si="6"/>
        <v>1460.7874183257165</v>
      </c>
      <c r="T15" s="22">
        <f t="shared" si="7"/>
        <v>1291.3244163125605</v>
      </c>
    </row>
    <row r="16" spans="1:20" x14ac:dyDescent="0.2">
      <c r="A16" s="5">
        <v>25</v>
      </c>
      <c r="B16" s="1">
        <f t="shared" si="8"/>
        <v>1.0768906249999999</v>
      </c>
      <c r="C16" s="5">
        <f t="shared" si="9"/>
        <v>33784.932700600089</v>
      </c>
      <c r="D16" s="5">
        <f t="shared" si="0"/>
        <v>32712.021671264687</v>
      </c>
      <c r="E16" s="5">
        <f t="shared" si="1"/>
        <v>23212.021671264687</v>
      </c>
      <c r="F16" s="5">
        <f t="shared" si="2"/>
        <v>7880.4750756679205</v>
      </c>
      <c r="G16" s="5">
        <f t="shared" si="3"/>
        <v>24831.546595596767</v>
      </c>
      <c r="H16" s="22">
        <f t="shared" si="10"/>
        <v>14827.392574647838</v>
      </c>
      <c r="I16" s="5">
        <f t="shared" si="4"/>
        <v>38784.123008340379</v>
      </c>
      <c r="J16" s="25">
        <f t="shared" si="5"/>
        <v>0.15215208413722506</v>
      </c>
      <c r="L16" s="22">
        <f t="shared" si="11"/>
        <v>43513.629470904903</v>
      </c>
      <c r="M16" s="5">
        <f>scrimecost*Meta!O13</f>
        <v>26057.794999999998</v>
      </c>
      <c r="N16" s="5">
        <f>L16-Grade15!L16</f>
        <v>4795.1764808820517</v>
      </c>
      <c r="O16" s="5">
        <f>Grade15!M16-M16</f>
        <v>204.18500000000131</v>
      </c>
      <c r="P16" s="22">
        <f t="shared" si="12"/>
        <v>39.524068237119508</v>
      </c>
      <c r="Q16" s="22"/>
      <c r="R16" s="22"/>
      <c r="S16" s="22">
        <f t="shared" si="6"/>
        <v>1474.7825467609284</v>
      </c>
      <c r="T16" s="22">
        <f t="shared" si="7"/>
        <v>1251.1972468584113</v>
      </c>
    </row>
    <row r="17" spans="1:20" x14ac:dyDescent="0.2">
      <c r="A17" s="5">
        <v>26</v>
      </c>
      <c r="B17" s="1">
        <f t="shared" si="8"/>
        <v>1.1038128906249998</v>
      </c>
      <c r="C17" s="5">
        <f t="shared" si="9"/>
        <v>34629.556018115087</v>
      </c>
      <c r="D17" s="5">
        <f t="shared" si="0"/>
        <v>33506.812213046302</v>
      </c>
      <c r="E17" s="5">
        <f t="shared" si="1"/>
        <v>24006.812213046302</v>
      </c>
      <c r="F17" s="5">
        <f t="shared" si="2"/>
        <v>8139.9741875596173</v>
      </c>
      <c r="G17" s="5">
        <f t="shared" si="3"/>
        <v>25366.838025486686</v>
      </c>
      <c r="H17" s="22">
        <f t="shared" si="10"/>
        <v>15198.077389014034</v>
      </c>
      <c r="I17" s="5">
        <f t="shared" si="4"/>
        <v>39668.228848548897</v>
      </c>
      <c r="J17" s="25">
        <f t="shared" si="5"/>
        <v>0.15397552711095872</v>
      </c>
      <c r="L17" s="22">
        <f t="shared" si="11"/>
        <v>44601.470207677521</v>
      </c>
      <c r="M17" s="5">
        <f>scrimecost*Meta!O14</f>
        <v>26057.794999999998</v>
      </c>
      <c r="N17" s="5">
        <f>L17-Grade15!L17</f>
        <v>4915.0558929040999</v>
      </c>
      <c r="O17" s="5">
        <f>Grade15!M17-M17</f>
        <v>204.18500000000131</v>
      </c>
      <c r="P17" s="22">
        <f t="shared" si="12"/>
        <v>40.264604655452636</v>
      </c>
      <c r="Q17" s="22"/>
      <c r="R17" s="22"/>
      <c r="S17" s="22">
        <f t="shared" si="6"/>
        <v>1508.9920718570165</v>
      </c>
      <c r="T17" s="22">
        <f t="shared" si="7"/>
        <v>1228.6670070636144</v>
      </c>
    </row>
    <row r="18" spans="1:20" x14ac:dyDescent="0.2">
      <c r="A18" s="5">
        <v>27</v>
      </c>
      <c r="B18" s="1">
        <f t="shared" si="8"/>
        <v>1.1314082128906247</v>
      </c>
      <c r="C18" s="5">
        <f t="shared" si="9"/>
        <v>35495.294918567961</v>
      </c>
      <c r="D18" s="5">
        <f t="shared" si="0"/>
        <v>34321.472518372451</v>
      </c>
      <c r="E18" s="5">
        <f t="shared" si="1"/>
        <v>24821.472518372451</v>
      </c>
      <c r="F18" s="5">
        <f t="shared" si="2"/>
        <v>8405.9607772486052</v>
      </c>
      <c r="G18" s="5">
        <f t="shared" si="3"/>
        <v>25915.511741123846</v>
      </c>
      <c r="H18" s="22">
        <f t="shared" si="10"/>
        <v>15578.029323739382</v>
      </c>
      <c r="I18" s="5">
        <f t="shared" si="4"/>
        <v>40574.43733476261</v>
      </c>
      <c r="J18" s="25">
        <f t="shared" si="5"/>
        <v>0.15575449586582082</v>
      </c>
      <c r="L18" s="22">
        <f t="shared" si="11"/>
        <v>45716.506962869447</v>
      </c>
      <c r="M18" s="5">
        <f>scrimecost*Meta!O15</f>
        <v>26057.794999999998</v>
      </c>
      <c r="N18" s="5">
        <f>L18-Grade15!L18</f>
        <v>5037.932290226694</v>
      </c>
      <c r="O18" s="5">
        <f>Grade15!M18-M18</f>
        <v>204.18500000000131</v>
      </c>
      <c r="P18" s="22">
        <f t="shared" si="12"/>
        <v>41.023654484244091</v>
      </c>
      <c r="Q18" s="22"/>
      <c r="R18" s="22"/>
      <c r="S18" s="22">
        <f t="shared" si="6"/>
        <v>1544.0568350805047</v>
      </c>
      <c r="T18" s="22">
        <f t="shared" si="7"/>
        <v>1206.5906854413531</v>
      </c>
    </row>
    <row r="19" spans="1:20" x14ac:dyDescent="0.2">
      <c r="A19" s="5">
        <v>28</v>
      </c>
      <c r="B19" s="1">
        <f t="shared" si="8"/>
        <v>1.1596934182128902</v>
      </c>
      <c r="C19" s="5">
        <f t="shared" si="9"/>
        <v>36382.677291532156</v>
      </c>
      <c r="D19" s="5">
        <f t="shared" si="0"/>
        <v>35156.499331331761</v>
      </c>
      <c r="E19" s="5">
        <f t="shared" si="1"/>
        <v>25656.499331331761</v>
      </c>
      <c r="F19" s="5">
        <f t="shared" si="2"/>
        <v>8678.5970316798193</v>
      </c>
      <c r="G19" s="5">
        <f t="shared" si="3"/>
        <v>26477.902299651942</v>
      </c>
      <c r="H19" s="22">
        <f t="shared" si="10"/>
        <v>15967.480056832865</v>
      </c>
      <c r="I19" s="5">
        <f t="shared" si="4"/>
        <v>41503.301033131669</v>
      </c>
      <c r="J19" s="25">
        <f t="shared" si="5"/>
        <v>0.15749007513885699</v>
      </c>
      <c r="L19" s="22">
        <f t="shared" si="11"/>
        <v>46859.41963694118</v>
      </c>
      <c r="M19" s="5">
        <f>scrimecost*Meta!O16</f>
        <v>26057.794999999998</v>
      </c>
      <c r="N19" s="5">
        <f>L19-Grade15!L19</f>
        <v>5163.8805974823554</v>
      </c>
      <c r="O19" s="5">
        <f>Grade15!M19-M19</f>
        <v>204.18500000000131</v>
      </c>
      <c r="P19" s="22">
        <f t="shared" si="12"/>
        <v>41.801680558755329</v>
      </c>
      <c r="Q19" s="22"/>
      <c r="R19" s="22"/>
      <c r="S19" s="22">
        <f t="shared" si="6"/>
        <v>1579.9982173845808</v>
      </c>
      <c r="T19" s="22">
        <f t="shared" si="7"/>
        <v>1184.9573818569586</v>
      </c>
    </row>
    <row r="20" spans="1:20" x14ac:dyDescent="0.2">
      <c r="A20" s="5">
        <v>29</v>
      </c>
      <c r="B20" s="1">
        <f t="shared" si="8"/>
        <v>1.1886857536682125</v>
      </c>
      <c r="C20" s="5">
        <f t="shared" si="9"/>
        <v>37292.24422382046</v>
      </c>
      <c r="D20" s="5">
        <f t="shared" si="0"/>
        <v>36012.401814615056</v>
      </c>
      <c r="E20" s="5">
        <f t="shared" si="1"/>
        <v>26512.401814615056</v>
      </c>
      <c r="F20" s="5">
        <f t="shared" si="2"/>
        <v>8958.0491924718153</v>
      </c>
      <c r="G20" s="5">
        <f t="shared" si="3"/>
        <v>27054.35262214324</v>
      </c>
      <c r="H20" s="22">
        <f t="shared" si="10"/>
        <v>16366.667058253688</v>
      </c>
      <c r="I20" s="5">
        <f t="shared" si="4"/>
        <v>42455.38632395996</v>
      </c>
      <c r="J20" s="25">
        <f t="shared" si="5"/>
        <v>0.15918332321011183</v>
      </c>
      <c r="L20" s="22">
        <f t="shared" si="11"/>
        <v>48030.905127864717</v>
      </c>
      <c r="M20" s="5">
        <f>scrimecost*Meta!O17</f>
        <v>26057.794999999998</v>
      </c>
      <c r="N20" s="5">
        <f>L20-Grade15!L20</f>
        <v>5292.977612419425</v>
      </c>
      <c r="O20" s="5">
        <f>Grade15!M20-M20</f>
        <v>204.18500000000131</v>
      </c>
      <c r="P20" s="22">
        <f t="shared" si="12"/>
        <v>42.599157285129358</v>
      </c>
      <c r="Q20" s="22"/>
      <c r="R20" s="22"/>
      <c r="S20" s="22">
        <f t="shared" si="6"/>
        <v>1616.838134246264</v>
      </c>
      <c r="T20" s="22">
        <f t="shared" si="7"/>
        <v>1163.7565150189812</v>
      </c>
    </row>
    <row r="21" spans="1:20" x14ac:dyDescent="0.2">
      <c r="A21" s="5">
        <v>30</v>
      </c>
      <c r="B21" s="1">
        <f t="shared" si="8"/>
        <v>1.2184028975099177</v>
      </c>
      <c r="C21" s="5">
        <f t="shared" si="9"/>
        <v>38224.550329415972</v>
      </c>
      <c r="D21" s="5">
        <f t="shared" si="0"/>
        <v>36889.701859980436</v>
      </c>
      <c r="E21" s="5">
        <f t="shared" si="1"/>
        <v>27389.701859980436</v>
      </c>
      <c r="F21" s="5">
        <f t="shared" si="2"/>
        <v>9244.4876572836129</v>
      </c>
      <c r="G21" s="5">
        <f t="shared" si="3"/>
        <v>27645.214202696821</v>
      </c>
      <c r="H21" s="22">
        <f t="shared" si="10"/>
        <v>16775.833734710028</v>
      </c>
      <c r="I21" s="5">
        <f t="shared" si="4"/>
        <v>43431.273747058956</v>
      </c>
      <c r="J21" s="25">
        <f t="shared" si="5"/>
        <v>0.16083527254792149</v>
      </c>
      <c r="L21" s="22">
        <f t="shared" si="11"/>
        <v>49231.677756061334</v>
      </c>
      <c r="M21" s="5">
        <f>scrimecost*Meta!O18</f>
        <v>21007.163</v>
      </c>
      <c r="N21" s="5">
        <f>L21-Grade15!L21</f>
        <v>5425.3020527299159</v>
      </c>
      <c r="O21" s="5">
        <f>Grade15!M21-M21</f>
        <v>164.60900000000038</v>
      </c>
      <c r="P21" s="22">
        <f t="shared" si="12"/>
        <v>43.41657092966274</v>
      </c>
      <c r="Q21" s="22"/>
      <c r="R21" s="22"/>
      <c r="S21" s="22">
        <f t="shared" si="6"/>
        <v>1634.9297770294866</v>
      </c>
      <c r="T21" s="22">
        <f t="shared" si="7"/>
        <v>1129.3905068757356</v>
      </c>
    </row>
    <row r="22" spans="1:20" x14ac:dyDescent="0.2">
      <c r="A22" s="5">
        <v>31</v>
      </c>
      <c r="B22" s="1">
        <f t="shared" si="8"/>
        <v>1.2488629699476654</v>
      </c>
      <c r="C22" s="5">
        <f t="shared" si="9"/>
        <v>39180.164087651363</v>
      </c>
      <c r="D22" s="5">
        <f t="shared" si="0"/>
        <v>37788.934406479937</v>
      </c>
      <c r="E22" s="5">
        <f t="shared" si="1"/>
        <v>28288.934406479937</v>
      </c>
      <c r="F22" s="5">
        <f t="shared" si="2"/>
        <v>9538.0870837156999</v>
      </c>
      <c r="G22" s="5">
        <f t="shared" si="3"/>
        <v>28250.847322764239</v>
      </c>
      <c r="H22" s="22">
        <f t="shared" si="10"/>
        <v>17195.229578077775</v>
      </c>
      <c r="I22" s="5">
        <f t="shared" si="4"/>
        <v>44431.558355735426</v>
      </c>
      <c r="J22" s="25">
        <f t="shared" si="5"/>
        <v>0.16244693043846742</v>
      </c>
      <c r="L22" s="22">
        <f t="shared" si="11"/>
        <v>50462.469699962858</v>
      </c>
      <c r="M22" s="5">
        <f>scrimecost*Meta!O19</f>
        <v>21007.163</v>
      </c>
      <c r="N22" s="5">
        <f>L22-Grade15!L22</f>
        <v>5560.9346040481541</v>
      </c>
      <c r="O22" s="5">
        <f>Grade15!M22-M22</f>
        <v>164.60900000000038</v>
      </c>
      <c r="P22" s="22">
        <f t="shared" si="12"/>
        <v>44.254419915309448</v>
      </c>
      <c r="Q22" s="22"/>
      <c r="R22" s="22"/>
      <c r="S22" s="22">
        <f t="shared" si="6"/>
        <v>1673.6347146822866</v>
      </c>
      <c r="T22" s="22">
        <f t="shared" si="7"/>
        <v>1109.5711404477684</v>
      </c>
    </row>
    <row r="23" spans="1:20" x14ac:dyDescent="0.2">
      <c r="A23" s="5">
        <v>32</v>
      </c>
      <c r="B23" s="1">
        <f t="shared" si="8"/>
        <v>1.2800845441963571</v>
      </c>
      <c r="C23" s="5">
        <f t="shared" si="9"/>
        <v>40159.668189842654</v>
      </c>
      <c r="D23" s="5">
        <f t="shared" si="0"/>
        <v>38710.647766641938</v>
      </c>
      <c r="E23" s="5">
        <f t="shared" si="1"/>
        <v>29210.647766641938</v>
      </c>
      <c r="F23" s="5">
        <f t="shared" si="2"/>
        <v>9839.0264958085936</v>
      </c>
      <c r="G23" s="5">
        <f t="shared" si="3"/>
        <v>28871.621270833344</v>
      </c>
      <c r="H23" s="22">
        <f t="shared" si="10"/>
        <v>17625.110317529721</v>
      </c>
      <c r="I23" s="5">
        <f t="shared" si="4"/>
        <v>45456.850079628814</v>
      </c>
      <c r="J23" s="25">
        <f t="shared" si="5"/>
        <v>0.16401927959997564</v>
      </c>
      <c r="L23" s="22">
        <f t="shared" si="11"/>
        <v>51724.031442461928</v>
      </c>
      <c r="M23" s="5">
        <f>scrimecost*Meta!O20</f>
        <v>21007.163</v>
      </c>
      <c r="N23" s="5">
        <f>L23-Grade15!L23</f>
        <v>5699.9579691493564</v>
      </c>
      <c r="O23" s="5">
        <f>Grade15!M23-M23</f>
        <v>164.60900000000038</v>
      </c>
      <c r="P23" s="22">
        <f t="shared" si="12"/>
        <v>45.113215125597321</v>
      </c>
      <c r="Q23" s="22"/>
      <c r="R23" s="22"/>
      <c r="S23" s="22">
        <f t="shared" si="6"/>
        <v>1713.3072757764085</v>
      </c>
      <c r="T23" s="22">
        <f t="shared" si="7"/>
        <v>1090.1322398672958</v>
      </c>
    </row>
    <row r="24" spans="1:20" x14ac:dyDescent="0.2">
      <c r="A24" s="5">
        <v>33</v>
      </c>
      <c r="B24" s="1">
        <f t="shared" si="8"/>
        <v>1.312086657801266</v>
      </c>
      <c r="C24" s="5">
        <f t="shared" si="9"/>
        <v>41163.659894588716</v>
      </c>
      <c r="D24" s="5">
        <f t="shared" si="0"/>
        <v>39655.403960807984</v>
      </c>
      <c r="E24" s="5">
        <f t="shared" si="1"/>
        <v>30155.403960807984</v>
      </c>
      <c r="F24" s="5">
        <f t="shared" si="2"/>
        <v>10147.489393203807</v>
      </c>
      <c r="G24" s="5">
        <f t="shared" si="3"/>
        <v>29507.914567604177</v>
      </c>
      <c r="H24" s="22">
        <f t="shared" si="10"/>
        <v>18065.738075467962</v>
      </c>
      <c r="I24" s="5">
        <f t="shared" si="4"/>
        <v>46507.774096619527</v>
      </c>
      <c r="J24" s="25">
        <f t="shared" si="5"/>
        <v>0.16555327878193488</v>
      </c>
      <c r="L24" s="22">
        <f t="shared" si="11"/>
        <v>53017.132228523478</v>
      </c>
      <c r="M24" s="5">
        <f>scrimecost*Meta!O21</f>
        <v>21007.163</v>
      </c>
      <c r="N24" s="5">
        <f>L24-Grade15!L24</f>
        <v>5842.4569183780914</v>
      </c>
      <c r="O24" s="5">
        <f>Grade15!M24-M24</f>
        <v>164.60900000000038</v>
      </c>
      <c r="P24" s="22">
        <f t="shared" si="12"/>
        <v>45.993480216142395</v>
      </c>
      <c r="Q24" s="22"/>
      <c r="R24" s="22"/>
      <c r="S24" s="22">
        <f t="shared" si="6"/>
        <v>1753.9716508978845</v>
      </c>
      <c r="T24" s="22">
        <f t="shared" si="7"/>
        <v>1071.0652816141142</v>
      </c>
    </row>
    <row r="25" spans="1:20" x14ac:dyDescent="0.2">
      <c r="A25" s="5">
        <v>34</v>
      </c>
      <c r="B25" s="1">
        <f t="shared" si="8"/>
        <v>1.3448888242462975</v>
      </c>
      <c r="C25" s="5">
        <f t="shared" si="9"/>
        <v>42192.751391953425</v>
      </c>
      <c r="D25" s="5">
        <f t="shared" si="0"/>
        <v>40623.779059828179</v>
      </c>
      <c r="E25" s="5">
        <f t="shared" si="1"/>
        <v>31123.779059828179</v>
      </c>
      <c r="F25" s="5">
        <f t="shared" si="2"/>
        <v>10463.6638630339</v>
      </c>
      <c r="G25" s="5">
        <f t="shared" si="3"/>
        <v>30160.115196794279</v>
      </c>
      <c r="H25" s="22">
        <f t="shared" si="10"/>
        <v>18517.381527354661</v>
      </c>
      <c r="I25" s="5">
        <f t="shared" si="4"/>
        <v>47584.971214035017</v>
      </c>
      <c r="J25" s="25">
        <f t="shared" si="5"/>
        <v>0.16704986334970001</v>
      </c>
      <c r="L25" s="22">
        <f t="shared" si="11"/>
        <v>54342.56053423656</v>
      </c>
      <c r="M25" s="5">
        <f>scrimecost*Meta!O22</f>
        <v>21007.163</v>
      </c>
      <c r="N25" s="5">
        <f>L25-Grade15!L25</f>
        <v>5988.5183413375416</v>
      </c>
      <c r="O25" s="5">
        <f>Grade15!M25-M25</f>
        <v>164.60900000000038</v>
      </c>
      <c r="P25" s="22">
        <f t="shared" si="12"/>
        <v>46.895751933951097</v>
      </c>
      <c r="Q25" s="22"/>
      <c r="R25" s="22"/>
      <c r="S25" s="22">
        <f t="shared" si="6"/>
        <v>1795.6526353973964</v>
      </c>
      <c r="T25" s="22">
        <f t="shared" si="7"/>
        <v>1052.3619747673076</v>
      </c>
    </row>
    <row r="26" spans="1:20" x14ac:dyDescent="0.2">
      <c r="A26" s="5">
        <v>35</v>
      </c>
      <c r="B26" s="1">
        <f t="shared" si="8"/>
        <v>1.3785110448524549</v>
      </c>
      <c r="C26" s="5">
        <f t="shared" si="9"/>
        <v>43247.570176752262</v>
      </c>
      <c r="D26" s="5">
        <f t="shared" si="0"/>
        <v>41616.363536323886</v>
      </c>
      <c r="E26" s="5">
        <f t="shared" si="1"/>
        <v>32116.363536323886</v>
      </c>
      <c r="F26" s="5">
        <f t="shared" si="2"/>
        <v>10787.742694609749</v>
      </c>
      <c r="G26" s="5">
        <f t="shared" si="3"/>
        <v>30828.620841714139</v>
      </c>
      <c r="H26" s="22">
        <f t="shared" si="10"/>
        <v>18980.316065538525</v>
      </c>
      <c r="I26" s="5">
        <f t="shared" si="4"/>
        <v>48689.098259385893</v>
      </c>
      <c r="J26" s="25">
        <f t="shared" si="5"/>
        <v>0.16850994585483675</v>
      </c>
      <c r="L26" s="22">
        <f t="shared" si="11"/>
        <v>55701.124547592466</v>
      </c>
      <c r="M26" s="5">
        <f>scrimecost*Meta!O23</f>
        <v>16303.143</v>
      </c>
      <c r="N26" s="5">
        <f>L26-Grade15!L26</f>
        <v>6138.2312998709895</v>
      </c>
      <c r="O26" s="5">
        <f>Grade15!M26-M26</f>
        <v>127.7489999999998</v>
      </c>
      <c r="P26" s="22">
        <f t="shared" si="12"/>
        <v>47.820580444705016</v>
      </c>
      <c r="Q26" s="22"/>
      <c r="R26" s="22"/>
      <c r="S26" s="22">
        <f t="shared" si="6"/>
        <v>1820.0562245093993</v>
      </c>
      <c r="T26" s="22">
        <f t="shared" si="7"/>
        <v>1023.7102976339738</v>
      </c>
    </row>
    <row r="27" spans="1:20" x14ac:dyDescent="0.2">
      <c r="A27" s="5">
        <v>36</v>
      </c>
      <c r="B27" s="1">
        <f t="shared" si="8"/>
        <v>1.4129738209737661</v>
      </c>
      <c r="C27" s="5">
        <f t="shared" si="9"/>
        <v>44328.759431171064</v>
      </c>
      <c r="D27" s="5">
        <f t="shared" si="0"/>
        <v>42633.762624731971</v>
      </c>
      <c r="E27" s="5">
        <f t="shared" si="1"/>
        <v>33133.762624731971</v>
      </c>
      <c r="F27" s="5">
        <f t="shared" si="2"/>
        <v>11119.923496974989</v>
      </c>
      <c r="G27" s="5">
        <f t="shared" si="3"/>
        <v>31513.839127756983</v>
      </c>
      <c r="H27" s="22">
        <f t="shared" si="10"/>
        <v>19454.823967176988</v>
      </c>
      <c r="I27" s="5">
        <f t="shared" si="4"/>
        <v>49820.828480870528</v>
      </c>
      <c r="J27" s="25">
        <f t="shared" si="5"/>
        <v>0.16993441659155542</v>
      </c>
      <c r="L27" s="22">
        <f t="shared" si="11"/>
        <v>57093.652661282271</v>
      </c>
      <c r="M27" s="5">
        <f>scrimecost*Meta!O24</f>
        <v>16303.143</v>
      </c>
      <c r="N27" s="5">
        <f>L27-Grade15!L27</f>
        <v>6291.6870823677382</v>
      </c>
      <c r="O27" s="5">
        <f>Grade15!M27-M27</f>
        <v>127.7489999999998</v>
      </c>
      <c r="P27" s="22">
        <f t="shared" si="12"/>
        <v>48.768529668227771</v>
      </c>
      <c r="Q27" s="22"/>
      <c r="R27" s="22"/>
      <c r="S27" s="22">
        <f t="shared" si="6"/>
        <v>1863.8473088491921</v>
      </c>
      <c r="T27" s="22">
        <f t="shared" si="7"/>
        <v>1006.1252453926367</v>
      </c>
    </row>
    <row r="28" spans="1:20" x14ac:dyDescent="0.2">
      <c r="A28" s="5">
        <v>37</v>
      </c>
      <c r="B28" s="1">
        <f t="shared" si="8"/>
        <v>1.4482981664981105</v>
      </c>
      <c r="C28" s="5">
        <f t="shared" si="9"/>
        <v>45436.978416950347</v>
      </c>
      <c r="D28" s="5">
        <f t="shared" si="0"/>
        <v>43676.596690350278</v>
      </c>
      <c r="E28" s="5">
        <f t="shared" si="1"/>
        <v>34176.596690350278</v>
      </c>
      <c r="F28" s="5">
        <f t="shared" si="2"/>
        <v>11460.408819399367</v>
      </c>
      <c r="G28" s="5">
        <f t="shared" si="3"/>
        <v>32216.187870950911</v>
      </c>
      <c r="H28" s="22">
        <f t="shared" si="10"/>
        <v>19941.194566356415</v>
      </c>
      <c r="I28" s="5">
        <f t="shared" si="4"/>
        <v>50980.851957892301</v>
      </c>
      <c r="J28" s="25">
        <f t="shared" si="5"/>
        <v>0.17132414413957373</v>
      </c>
      <c r="L28" s="22">
        <f t="shared" si="11"/>
        <v>58520.993977814345</v>
      </c>
      <c r="M28" s="5">
        <f>scrimecost*Meta!O25</f>
        <v>16303.143</v>
      </c>
      <c r="N28" s="5">
        <f>L28-Grade15!L28</f>
        <v>6448.9792594269602</v>
      </c>
      <c r="O28" s="5">
        <f>Grade15!M28-M28</f>
        <v>127.7489999999998</v>
      </c>
      <c r="P28" s="22">
        <f t="shared" si="12"/>
        <v>49.740177622338614</v>
      </c>
      <c r="Q28" s="22"/>
      <c r="R28" s="22"/>
      <c r="S28" s="22">
        <f t="shared" si="6"/>
        <v>1908.733170297495</v>
      </c>
      <c r="T28" s="22">
        <f t="shared" si="7"/>
        <v>988.86358414382289</v>
      </c>
    </row>
    <row r="29" spans="1:20" x14ac:dyDescent="0.2">
      <c r="A29" s="5">
        <v>38</v>
      </c>
      <c r="B29" s="1">
        <f t="shared" si="8"/>
        <v>1.4845056206605631</v>
      </c>
      <c r="C29" s="5">
        <f t="shared" si="9"/>
        <v>46572.902877374101</v>
      </c>
      <c r="D29" s="5">
        <f t="shared" si="0"/>
        <v>44745.501607609032</v>
      </c>
      <c r="E29" s="5">
        <f t="shared" si="1"/>
        <v>35245.501607609032</v>
      </c>
      <c r="F29" s="5">
        <f t="shared" si="2"/>
        <v>11883.956435645254</v>
      </c>
      <c r="G29" s="5">
        <f t="shared" si="3"/>
        <v>32861.545171963779</v>
      </c>
      <c r="H29" s="22">
        <f t="shared" si="10"/>
        <v>20439.724430515325</v>
      </c>
      <c r="I29" s="5">
        <f t="shared" si="4"/>
        <v>52095.325861078702</v>
      </c>
      <c r="J29" s="25">
        <f t="shared" si="5"/>
        <v>0.17386220681895648</v>
      </c>
      <c r="L29" s="22">
        <f t="shared" si="11"/>
        <v>59984.018827259693</v>
      </c>
      <c r="M29" s="5">
        <f>scrimecost*Meta!O26</f>
        <v>16303.143</v>
      </c>
      <c r="N29" s="5">
        <f>L29-Grade15!L29</f>
        <v>6610.2037409126278</v>
      </c>
      <c r="O29" s="5">
        <f>Grade15!M29-M29</f>
        <v>127.7489999999998</v>
      </c>
      <c r="P29" s="22">
        <f t="shared" si="12"/>
        <v>50.948861661531652</v>
      </c>
      <c r="Q29" s="22"/>
      <c r="R29" s="22"/>
      <c r="S29" s="22">
        <f t="shared" si="6"/>
        <v>1954.8469124904523</v>
      </c>
      <c r="T29" s="22">
        <f t="shared" si="7"/>
        <v>971.971125458899</v>
      </c>
    </row>
    <row r="30" spans="1:20" x14ac:dyDescent="0.2">
      <c r="A30" s="5">
        <v>39</v>
      </c>
      <c r="B30" s="1">
        <f t="shared" si="8"/>
        <v>1.521618261177077</v>
      </c>
      <c r="C30" s="5">
        <f t="shared" si="9"/>
        <v>47737.22544930844</v>
      </c>
      <c r="D30" s="5">
        <f t="shared" si="0"/>
        <v>45841.129147799249</v>
      </c>
      <c r="E30" s="5">
        <f t="shared" si="1"/>
        <v>36341.129147799249</v>
      </c>
      <c r="F30" s="5">
        <f t="shared" si="2"/>
        <v>12351.24158153638</v>
      </c>
      <c r="G30" s="5">
        <f t="shared" si="3"/>
        <v>33489.887566262871</v>
      </c>
      <c r="H30" s="22">
        <f t="shared" si="10"/>
        <v>20950.717541278205</v>
      </c>
      <c r="I30" s="5">
        <f t="shared" si="4"/>
        <v>53204.512772605667</v>
      </c>
      <c r="J30" s="25">
        <f t="shared" si="5"/>
        <v>0.17685122477871673</v>
      </c>
      <c r="L30" s="22">
        <f t="shared" si="11"/>
        <v>61483.619297941179</v>
      </c>
      <c r="M30" s="5">
        <f>scrimecost*Meta!O27</f>
        <v>16303.143</v>
      </c>
      <c r="N30" s="5">
        <f>L30-Grade15!L30</f>
        <v>6775.4588344354343</v>
      </c>
      <c r="O30" s="5">
        <f>Grade15!M30-M30</f>
        <v>127.7489999999998</v>
      </c>
      <c r="P30" s="22">
        <f t="shared" si="12"/>
        <v>52.282360130007767</v>
      </c>
      <c r="Q30" s="22"/>
      <c r="R30" s="22"/>
      <c r="S30" s="22">
        <f t="shared" si="6"/>
        <v>2002.1605131103988</v>
      </c>
      <c r="T30" s="22">
        <f t="shared" si="7"/>
        <v>955.40816910155547</v>
      </c>
    </row>
    <row r="31" spans="1:20" x14ac:dyDescent="0.2">
      <c r="A31" s="5">
        <v>40</v>
      </c>
      <c r="B31" s="1">
        <f t="shared" si="8"/>
        <v>1.559658717706504</v>
      </c>
      <c r="C31" s="5">
        <f t="shared" si="9"/>
        <v>48930.656085541166</v>
      </c>
      <c r="D31" s="5">
        <f t="shared" si="0"/>
        <v>46964.147376494242</v>
      </c>
      <c r="E31" s="5">
        <f t="shared" si="1"/>
        <v>37464.147376494242</v>
      </c>
      <c r="F31" s="5">
        <f t="shared" si="2"/>
        <v>12830.208856074794</v>
      </c>
      <c r="G31" s="5">
        <f t="shared" si="3"/>
        <v>34133.938520419448</v>
      </c>
      <c r="H31" s="22">
        <f t="shared" si="10"/>
        <v>21474.485479810159</v>
      </c>
      <c r="I31" s="5">
        <f t="shared" si="4"/>
        <v>54341.429356920809</v>
      </c>
      <c r="J31" s="25">
        <f t="shared" si="5"/>
        <v>0.17976733986140972</v>
      </c>
      <c r="L31" s="22">
        <f t="shared" si="11"/>
        <v>63020.709780389712</v>
      </c>
      <c r="M31" s="5">
        <f>scrimecost*Meta!O28</f>
        <v>14260.607999999998</v>
      </c>
      <c r="N31" s="5">
        <f>L31-Grade15!L31</f>
        <v>6944.8453052963232</v>
      </c>
      <c r="O31" s="5">
        <f>Grade15!M31-M31</f>
        <v>111.7440000000006</v>
      </c>
      <c r="P31" s="22">
        <f t="shared" si="12"/>
        <v>53.649196060195791</v>
      </c>
      <c r="Q31" s="22"/>
      <c r="R31" s="22"/>
      <c r="S31" s="22">
        <f t="shared" si="6"/>
        <v>2042.7024687458484</v>
      </c>
      <c r="T31" s="22">
        <f t="shared" si="7"/>
        <v>935.50178371469337</v>
      </c>
    </row>
    <row r="32" spans="1:20" x14ac:dyDescent="0.2">
      <c r="A32" s="5">
        <v>41</v>
      </c>
      <c r="B32" s="1">
        <f t="shared" si="8"/>
        <v>1.5986501856491666</v>
      </c>
      <c r="C32" s="5">
        <f t="shared" si="9"/>
        <v>50153.922487679694</v>
      </c>
      <c r="D32" s="5">
        <f t="shared" si="0"/>
        <v>48115.241060906599</v>
      </c>
      <c r="E32" s="5">
        <f t="shared" si="1"/>
        <v>38615.241060906599</v>
      </c>
      <c r="F32" s="5">
        <f t="shared" si="2"/>
        <v>13321.150312476664</v>
      </c>
      <c r="G32" s="5">
        <f t="shared" si="3"/>
        <v>34794.090748429939</v>
      </c>
      <c r="H32" s="22">
        <f t="shared" si="10"/>
        <v>22011.347616805415</v>
      </c>
      <c r="I32" s="5">
        <f t="shared" si="4"/>
        <v>55506.768855843839</v>
      </c>
      <c r="J32" s="25">
        <f t="shared" si="5"/>
        <v>0.18261233018598821</v>
      </c>
      <c r="L32" s="22">
        <f t="shared" si="11"/>
        <v>64596.227524899456</v>
      </c>
      <c r="M32" s="5">
        <f>scrimecost*Meta!O29</f>
        <v>14260.607999999998</v>
      </c>
      <c r="N32" s="5">
        <f>L32-Grade15!L32</f>
        <v>7118.4664379287424</v>
      </c>
      <c r="O32" s="5">
        <f>Grade15!M32-M32</f>
        <v>111.7440000000006</v>
      </c>
      <c r="P32" s="22">
        <f t="shared" si="12"/>
        <v>55.05020288863853</v>
      </c>
      <c r="Q32" s="22"/>
      <c r="R32" s="22"/>
      <c r="S32" s="22">
        <f t="shared" si="6"/>
        <v>2092.4113203971856</v>
      </c>
      <c r="T32" s="22">
        <f t="shared" si="7"/>
        <v>919.67845982321285</v>
      </c>
    </row>
    <row r="33" spans="1:20" x14ac:dyDescent="0.2">
      <c r="A33" s="5">
        <v>42</v>
      </c>
      <c r="B33" s="1">
        <f t="shared" si="8"/>
        <v>1.6386164402903955</v>
      </c>
      <c r="C33" s="5">
        <f t="shared" si="9"/>
        <v>51407.770549871675</v>
      </c>
      <c r="D33" s="5">
        <f t="shared" si="0"/>
        <v>49295.112087429254</v>
      </c>
      <c r="E33" s="5">
        <f t="shared" si="1"/>
        <v>39795.112087429254</v>
      </c>
      <c r="F33" s="5">
        <f t="shared" si="2"/>
        <v>13824.365305288578</v>
      </c>
      <c r="G33" s="5">
        <f t="shared" si="3"/>
        <v>35470.746782140675</v>
      </c>
      <c r="H33" s="22">
        <f t="shared" si="10"/>
        <v>22561.631307225547</v>
      </c>
      <c r="I33" s="5">
        <f t="shared" si="4"/>
        <v>56701.241842239921</v>
      </c>
      <c r="J33" s="25">
        <f t="shared" si="5"/>
        <v>0.18538793050265015</v>
      </c>
      <c r="L33" s="22">
        <f t="shared" si="11"/>
        <v>66211.133213021938</v>
      </c>
      <c r="M33" s="5">
        <f>scrimecost*Meta!O30</f>
        <v>14260.607999999998</v>
      </c>
      <c r="N33" s="5">
        <f>L33-Grade15!L33</f>
        <v>7296.4280988769679</v>
      </c>
      <c r="O33" s="5">
        <f>Grade15!M33-M33</f>
        <v>111.7440000000006</v>
      </c>
      <c r="P33" s="22">
        <f t="shared" si="12"/>
        <v>56.486234887792314</v>
      </c>
      <c r="Q33" s="22"/>
      <c r="R33" s="22"/>
      <c r="S33" s="22">
        <f t="shared" si="6"/>
        <v>2143.3628933398054</v>
      </c>
      <c r="T33" s="22">
        <f t="shared" si="7"/>
        <v>904.13672322297759</v>
      </c>
    </row>
    <row r="34" spans="1:20" x14ac:dyDescent="0.2">
      <c r="A34" s="5">
        <v>43</v>
      </c>
      <c r="B34" s="1">
        <f t="shared" si="8"/>
        <v>1.6795818512976552</v>
      </c>
      <c r="C34" s="5">
        <f t="shared" si="9"/>
        <v>52692.964813618462</v>
      </c>
      <c r="D34" s="5">
        <f t="shared" si="0"/>
        <v>50504.47988961498</v>
      </c>
      <c r="E34" s="5">
        <f t="shared" si="1"/>
        <v>41004.47988961498</v>
      </c>
      <c r="F34" s="5">
        <f t="shared" si="2"/>
        <v>14340.160672920789</v>
      </c>
      <c r="G34" s="5">
        <f t="shared" si="3"/>
        <v>36164.319216694188</v>
      </c>
      <c r="H34" s="22">
        <f t="shared" si="10"/>
        <v>23125.672089906184</v>
      </c>
      <c r="I34" s="5">
        <f t="shared" si="4"/>
        <v>57925.57665329591</v>
      </c>
      <c r="J34" s="25">
        <f t="shared" si="5"/>
        <v>0.18809583325061296</v>
      </c>
      <c r="L34" s="22">
        <f t="shared" si="11"/>
        <v>67866.411543347465</v>
      </c>
      <c r="M34" s="5">
        <f>scrimecost*Meta!O31</f>
        <v>14260.607999999998</v>
      </c>
      <c r="N34" s="5">
        <f>L34-Grade15!L34</f>
        <v>7478.8388013488657</v>
      </c>
      <c r="O34" s="5">
        <f>Grade15!M34-M34</f>
        <v>111.7440000000006</v>
      </c>
      <c r="P34" s="22">
        <f t="shared" si="12"/>
        <v>57.958167686924931</v>
      </c>
      <c r="Q34" s="22"/>
      <c r="R34" s="22"/>
      <c r="S34" s="22">
        <f t="shared" si="6"/>
        <v>2195.588255605981</v>
      </c>
      <c r="T34" s="22">
        <f t="shared" si="7"/>
        <v>888.87102241466744</v>
      </c>
    </row>
    <row r="35" spans="1:20" x14ac:dyDescent="0.2">
      <c r="A35" s="5">
        <v>44</v>
      </c>
      <c r="B35" s="1">
        <f t="shared" si="8"/>
        <v>1.7215713975800966</v>
      </c>
      <c r="C35" s="5">
        <f t="shared" si="9"/>
        <v>54010.288933958924</v>
      </c>
      <c r="D35" s="5">
        <f t="shared" si="0"/>
        <v>51744.081886855354</v>
      </c>
      <c r="E35" s="5">
        <f t="shared" si="1"/>
        <v>42244.081886855354</v>
      </c>
      <c r="F35" s="5">
        <f t="shared" si="2"/>
        <v>14868.850924743809</v>
      </c>
      <c r="G35" s="5">
        <f t="shared" si="3"/>
        <v>36875.230962111542</v>
      </c>
      <c r="H35" s="22">
        <f t="shared" si="10"/>
        <v>23703.813892153838</v>
      </c>
      <c r="I35" s="5">
        <f t="shared" si="4"/>
        <v>59180.5198346283</v>
      </c>
      <c r="J35" s="25">
        <f t="shared" si="5"/>
        <v>0.19073768959008894</v>
      </c>
      <c r="L35" s="22">
        <f t="shared" si="11"/>
        <v>69563.071831931156</v>
      </c>
      <c r="M35" s="5">
        <f>scrimecost*Meta!O32</f>
        <v>14260.607999999998</v>
      </c>
      <c r="N35" s="5">
        <f>L35-Grade15!L35</f>
        <v>7665.8097713825846</v>
      </c>
      <c r="O35" s="5">
        <f>Grade15!M35-M35</f>
        <v>111.7440000000006</v>
      </c>
      <c r="P35" s="22">
        <f t="shared" si="12"/>
        <v>59.466898806035893</v>
      </c>
      <c r="Q35" s="22"/>
      <c r="R35" s="22"/>
      <c r="S35" s="22">
        <f t="shared" si="6"/>
        <v>2249.1192519288179</v>
      </c>
      <c r="T35" s="22">
        <f t="shared" si="7"/>
        <v>873.87593525181762</v>
      </c>
    </row>
    <row r="36" spans="1:20" x14ac:dyDescent="0.2">
      <c r="A36" s="5">
        <v>45</v>
      </c>
      <c r="B36" s="1">
        <f t="shared" si="8"/>
        <v>1.7646106825195991</v>
      </c>
      <c r="C36" s="5">
        <f t="shared" si="9"/>
        <v>55360.546157307894</v>
      </c>
      <c r="D36" s="5">
        <f t="shared" si="0"/>
        <v>53014.67393402673</v>
      </c>
      <c r="E36" s="5">
        <f t="shared" si="1"/>
        <v>43514.67393402673</v>
      </c>
      <c r="F36" s="5">
        <f t="shared" si="2"/>
        <v>15410.758432862402</v>
      </c>
      <c r="G36" s="5">
        <f t="shared" si="3"/>
        <v>37603.915501164331</v>
      </c>
      <c r="H36" s="22">
        <f t="shared" si="10"/>
        <v>24296.409239457684</v>
      </c>
      <c r="I36" s="5">
        <f t="shared" si="4"/>
        <v>60466.836595494009</v>
      </c>
      <c r="J36" s="25">
        <f t="shared" si="5"/>
        <v>0.19331511040908983</v>
      </c>
      <c r="L36" s="22">
        <f t="shared" si="11"/>
        <v>71302.148627729446</v>
      </c>
      <c r="M36" s="5">
        <f>scrimecost*Meta!O33</f>
        <v>11524.849</v>
      </c>
      <c r="N36" s="5">
        <f>L36-Grade15!L36</f>
        <v>7857.4550156671685</v>
      </c>
      <c r="O36" s="5">
        <f>Grade15!M36-M36</f>
        <v>90.307000000000698</v>
      </c>
      <c r="P36" s="22">
        <f t="shared" si="12"/>
        <v>61.013348203124607</v>
      </c>
      <c r="Q36" s="22"/>
      <c r="R36" s="22"/>
      <c r="S36" s="22">
        <f t="shared" si="6"/>
        <v>2293.334334159732</v>
      </c>
      <c r="T36" s="22">
        <f t="shared" si="7"/>
        <v>855.17326977044524</v>
      </c>
    </row>
    <row r="37" spans="1:20" x14ac:dyDescent="0.2">
      <c r="A37" s="5">
        <v>46</v>
      </c>
      <c r="B37" s="1">
        <f t="shared" ref="B37:B56" si="13">(1+experiencepremium)^(A37-startage)</f>
        <v>1.8087259495825889</v>
      </c>
      <c r="C37" s="5">
        <f t="shared" ref="C37:C56" si="14">pretaxincome*B37/expnorm</f>
        <v>56744.559811240593</v>
      </c>
      <c r="D37" s="5">
        <f t="shared" ref="D37:D56" si="15">IF(A37&lt;startage,1,0)*(C37*(1-initialunempprob))+IF(A37=startage,1,0)*(C37*(1-unempprob))+IF(A37&gt;startage,1,0)*(C37*(1-unempprob)+unempprob*300*52)</f>
        <v>54317.030782377406</v>
      </c>
      <c r="E37" s="5">
        <f t="shared" si="1"/>
        <v>44817.030782377406</v>
      </c>
      <c r="F37" s="5">
        <f t="shared" si="2"/>
        <v>15966.213628683963</v>
      </c>
      <c r="G37" s="5">
        <f t="shared" si="3"/>
        <v>38350.817153693439</v>
      </c>
      <c r="H37" s="22">
        <f t="shared" ref="H37:H56" si="16">benefits*B37/expnorm</f>
        <v>24903.819470444123</v>
      </c>
      <c r="I37" s="5">
        <f t="shared" ref="I37:I56" si="17">G37+IF(A37&lt;startage,1,0)*(H37*(1-initialunempprob))+IF(A37&gt;=startage,1,0)*(H37*(1-unempprob))</f>
        <v>61785.311275381362</v>
      </c>
      <c r="J37" s="25">
        <f t="shared" si="5"/>
        <v>0.19582966730567619</v>
      </c>
      <c r="L37" s="22">
        <f t="shared" ref="L37:L56" si="18">(sincome+sbenefits)*(1-sunemp)*B37/expnorm</f>
        <v>73084.702343422672</v>
      </c>
      <c r="M37" s="5">
        <f>scrimecost*Meta!O34</f>
        <v>11524.849</v>
      </c>
      <c r="N37" s="5">
        <f>L37-Grade15!L37</f>
        <v>8053.8913910588526</v>
      </c>
      <c r="O37" s="5">
        <f>Grade15!M37-M37</f>
        <v>90.307000000000698</v>
      </c>
      <c r="P37" s="22">
        <f t="shared" si="12"/>
        <v>62.598458835140569</v>
      </c>
      <c r="Q37" s="22"/>
      <c r="R37" s="22"/>
      <c r="S37" s="22">
        <f t="shared" si="6"/>
        <v>2349.5753371714145</v>
      </c>
      <c r="T37" s="22">
        <f t="shared" si="7"/>
        <v>840.86362780527384</v>
      </c>
    </row>
    <row r="38" spans="1:20" x14ac:dyDescent="0.2">
      <c r="A38" s="5">
        <v>47</v>
      </c>
      <c r="B38" s="1">
        <f t="shared" si="13"/>
        <v>1.8539440983221533</v>
      </c>
      <c r="C38" s="5">
        <f t="shared" si="14"/>
        <v>58163.17380652159</v>
      </c>
      <c r="D38" s="5">
        <f t="shared" si="15"/>
        <v>55651.946551936824</v>
      </c>
      <c r="E38" s="5">
        <f t="shared" si="1"/>
        <v>46151.946551936824</v>
      </c>
      <c r="F38" s="5">
        <f t="shared" si="2"/>
        <v>16535.555204401055</v>
      </c>
      <c r="G38" s="5">
        <f t="shared" si="3"/>
        <v>39116.391347535769</v>
      </c>
      <c r="H38" s="22">
        <f t="shared" si="16"/>
        <v>25526.414957205223</v>
      </c>
      <c r="I38" s="5">
        <f t="shared" si="17"/>
        <v>63136.747822265883</v>
      </c>
      <c r="J38" s="25">
        <f t="shared" si="5"/>
        <v>0.19828289354624809</v>
      </c>
      <c r="L38" s="22">
        <f t="shared" si="18"/>
        <v>74911.819902008225</v>
      </c>
      <c r="M38" s="5">
        <f>scrimecost*Meta!O35</f>
        <v>11524.849</v>
      </c>
      <c r="N38" s="5">
        <f>L38-Grade15!L38</f>
        <v>8255.2386758353096</v>
      </c>
      <c r="O38" s="5">
        <f>Grade15!M38-M38</f>
        <v>90.307000000000698</v>
      </c>
      <c r="P38" s="22">
        <f t="shared" si="12"/>
        <v>64.223197232956878</v>
      </c>
      <c r="Q38" s="22"/>
      <c r="R38" s="22"/>
      <c r="S38" s="22">
        <f t="shared" si="6"/>
        <v>2407.2223652583843</v>
      </c>
      <c r="T38" s="22">
        <f t="shared" si="7"/>
        <v>826.80263054652528</v>
      </c>
    </row>
    <row r="39" spans="1:20" x14ac:dyDescent="0.2">
      <c r="A39" s="5">
        <v>48</v>
      </c>
      <c r="B39" s="1">
        <f t="shared" si="13"/>
        <v>1.9002927007802071</v>
      </c>
      <c r="C39" s="5">
        <f t="shared" si="14"/>
        <v>59617.253151684628</v>
      </c>
      <c r="D39" s="5">
        <f t="shared" si="15"/>
        <v>57020.235215735243</v>
      </c>
      <c r="E39" s="5">
        <f t="shared" si="1"/>
        <v>47520.235215735243</v>
      </c>
      <c r="F39" s="5">
        <f t="shared" si="2"/>
        <v>17119.130319511081</v>
      </c>
      <c r="G39" s="5">
        <f t="shared" si="3"/>
        <v>39901.104896224162</v>
      </c>
      <c r="H39" s="22">
        <f t="shared" si="16"/>
        <v>26164.575331135351</v>
      </c>
      <c r="I39" s="5">
        <f t="shared" si="17"/>
        <v>64521.970282822527</v>
      </c>
      <c r="J39" s="25">
        <f t="shared" si="5"/>
        <v>0.20067628500046469</v>
      </c>
      <c r="L39" s="22">
        <f t="shared" si="18"/>
        <v>76784.615399558432</v>
      </c>
      <c r="M39" s="5">
        <f>scrimecost*Meta!O36</f>
        <v>11524.849</v>
      </c>
      <c r="N39" s="5">
        <f>L39-Grade15!L39</f>
        <v>8461.6196427311952</v>
      </c>
      <c r="O39" s="5">
        <f>Grade15!M39-M39</f>
        <v>90.307000000000698</v>
      </c>
      <c r="P39" s="22">
        <f t="shared" si="12"/>
        <v>65.888554090718642</v>
      </c>
      <c r="Q39" s="22"/>
      <c r="R39" s="22"/>
      <c r="S39" s="22">
        <f t="shared" si="6"/>
        <v>2466.3105690475327</v>
      </c>
      <c r="T39" s="22">
        <f t="shared" si="7"/>
        <v>812.98559714289922</v>
      </c>
    </row>
    <row r="40" spans="1:20" x14ac:dyDescent="0.2">
      <c r="A40" s="5">
        <v>49</v>
      </c>
      <c r="B40" s="1">
        <f t="shared" si="13"/>
        <v>1.9478000182997122</v>
      </c>
      <c r="C40" s="5">
        <f t="shared" si="14"/>
        <v>61107.684480476746</v>
      </c>
      <c r="D40" s="5">
        <f t="shared" si="15"/>
        <v>58422.73109612862</v>
      </c>
      <c r="E40" s="5">
        <f t="shared" si="1"/>
        <v>48922.73109612862</v>
      </c>
      <c r="F40" s="5">
        <f t="shared" si="2"/>
        <v>17717.294812498854</v>
      </c>
      <c r="G40" s="5">
        <f t="shared" si="3"/>
        <v>40705.436283629766</v>
      </c>
      <c r="H40" s="22">
        <f t="shared" si="16"/>
        <v>26818.689714413737</v>
      </c>
      <c r="I40" s="5">
        <f t="shared" si="17"/>
        <v>65941.8233048931</v>
      </c>
      <c r="J40" s="25">
        <f t="shared" si="5"/>
        <v>0.20301130105335885</v>
      </c>
      <c r="L40" s="22">
        <f t="shared" si="18"/>
        <v>78704.230784547384</v>
      </c>
      <c r="M40" s="5">
        <f>scrimecost*Meta!O37</f>
        <v>11524.849</v>
      </c>
      <c r="N40" s="5">
        <f>L40-Grade15!L40</f>
        <v>8673.1601337994798</v>
      </c>
      <c r="O40" s="5">
        <f>Grade15!M40-M40</f>
        <v>90.307000000000698</v>
      </c>
      <c r="P40" s="22">
        <f t="shared" si="12"/>
        <v>67.59554486992441</v>
      </c>
      <c r="Q40" s="22"/>
      <c r="R40" s="22"/>
      <c r="S40" s="22">
        <f t="shared" si="6"/>
        <v>2526.8759779314105</v>
      </c>
      <c r="T40" s="22">
        <f t="shared" si="7"/>
        <v>799.40794845621235</v>
      </c>
    </row>
    <row r="41" spans="1:20" x14ac:dyDescent="0.2">
      <c r="A41" s="5">
        <v>50</v>
      </c>
      <c r="B41" s="1">
        <f t="shared" si="13"/>
        <v>1.9964950187572048</v>
      </c>
      <c r="C41" s="5">
        <f t="shared" si="14"/>
        <v>62635.376592488661</v>
      </c>
      <c r="D41" s="5">
        <f t="shared" si="15"/>
        <v>59860.289373531836</v>
      </c>
      <c r="E41" s="5">
        <f t="shared" si="1"/>
        <v>50360.289373531836</v>
      </c>
      <c r="F41" s="5">
        <f t="shared" si="2"/>
        <v>18330.413417811331</v>
      </c>
      <c r="G41" s="5">
        <f t="shared" si="3"/>
        <v>41529.875955720505</v>
      </c>
      <c r="H41" s="22">
        <f t="shared" si="16"/>
        <v>27489.156957274077</v>
      </c>
      <c r="I41" s="5">
        <f t="shared" si="17"/>
        <v>67397.172652515408</v>
      </c>
      <c r="J41" s="25">
        <f t="shared" si="5"/>
        <v>0.20528936549520693</v>
      </c>
      <c r="L41" s="22">
        <f t="shared" si="18"/>
        <v>80671.836554161069</v>
      </c>
      <c r="M41" s="5">
        <f>scrimecost*Meta!O38</f>
        <v>7699.7380000000003</v>
      </c>
      <c r="N41" s="5">
        <f>L41-Grade15!L41</f>
        <v>8889.9891371444537</v>
      </c>
      <c r="O41" s="5">
        <f>Grade15!M41-M41</f>
        <v>60.333999999999833</v>
      </c>
      <c r="P41" s="22">
        <f t="shared" si="12"/>
        <v>69.34521041861035</v>
      </c>
      <c r="Q41" s="22"/>
      <c r="R41" s="22"/>
      <c r="S41" s="22">
        <f t="shared" si="6"/>
        <v>2574.0589410373796</v>
      </c>
      <c r="T41" s="22">
        <f t="shared" si="7"/>
        <v>781.54226688881249</v>
      </c>
    </row>
    <row r="42" spans="1:20" x14ac:dyDescent="0.2">
      <c r="A42" s="5">
        <v>51</v>
      </c>
      <c r="B42" s="1">
        <f t="shared" si="13"/>
        <v>2.0464073942261352</v>
      </c>
      <c r="C42" s="5">
        <f t="shared" si="14"/>
        <v>64201.261007300884</v>
      </c>
      <c r="D42" s="5">
        <f t="shared" si="15"/>
        <v>61333.786607870134</v>
      </c>
      <c r="E42" s="5">
        <f t="shared" si="1"/>
        <v>51833.786607870134</v>
      </c>
      <c r="F42" s="5">
        <f t="shared" si="2"/>
        <v>18958.859988256612</v>
      </c>
      <c r="G42" s="5">
        <f t="shared" si="3"/>
        <v>42374.926619613521</v>
      </c>
      <c r="H42" s="22">
        <f t="shared" si="16"/>
        <v>28176.385881205933</v>
      </c>
      <c r="I42" s="5">
        <f t="shared" si="17"/>
        <v>68888.905733828302</v>
      </c>
      <c r="J42" s="25">
        <f t="shared" si="5"/>
        <v>0.20751186738969274</v>
      </c>
      <c r="L42" s="22">
        <f t="shared" si="18"/>
        <v>82688.632468015101</v>
      </c>
      <c r="M42" s="5">
        <f>scrimecost*Meta!O39</f>
        <v>7699.7380000000003</v>
      </c>
      <c r="N42" s="5">
        <f>L42-Grade15!L42</f>
        <v>9112.2388655730902</v>
      </c>
      <c r="O42" s="5">
        <f>Grade15!M42-M42</f>
        <v>60.333999999999833</v>
      </c>
      <c r="P42" s="22">
        <f t="shared" si="12"/>
        <v>71.13861760601344</v>
      </c>
      <c r="Q42" s="22"/>
      <c r="R42" s="22"/>
      <c r="S42" s="22">
        <f t="shared" si="6"/>
        <v>2637.690473746009</v>
      </c>
      <c r="T42" s="22">
        <f t="shared" si="7"/>
        <v>768.6121786646919</v>
      </c>
    </row>
    <row r="43" spans="1:20" x14ac:dyDescent="0.2">
      <c r="A43" s="5">
        <v>52</v>
      </c>
      <c r="B43" s="1">
        <f t="shared" si="13"/>
        <v>2.097567579081788</v>
      </c>
      <c r="C43" s="5">
        <f t="shared" si="14"/>
        <v>65806.292532483392</v>
      </c>
      <c r="D43" s="5">
        <f t="shared" si="15"/>
        <v>62844.121273066878</v>
      </c>
      <c r="E43" s="5">
        <f t="shared" si="1"/>
        <v>53344.121273066878</v>
      </c>
      <c r="F43" s="5">
        <f t="shared" si="2"/>
        <v>19603.017722963024</v>
      </c>
      <c r="G43" s="5">
        <f t="shared" si="3"/>
        <v>43241.103550103857</v>
      </c>
      <c r="H43" s="22">
        <f t="shared" si="16"/>
        <v>28880.795528236071</v>
      </c>
      <c r="I43" s="5">
        <f t="shared" si="17"/>
        <v>70417.932142174002</v>
      </c>
      <c r="J43" s="25">
        <f t="shared" si="5"/>
        <v>0.20968016192089853</v>
      </c>
      <c r="L43" s="22">
        <f t="shared" si="18"/>
        <v>84755.848279715457</v>
      </c>
      <c r="M43" s="5">
        <f>scrimecost*Meta!O40</f>
        <v>7699.7380000000003</v>
      </c>
      <c r="N43" s="5">
        <f>L43-Grade15!L43</f>
        <v>9340.0448372123792</v>
      </c>
      <c r="O43" s="5">
        <f>Grade15!M43-M43</f>
        <v>60.333999999999833</v>
      </c>
      <c r="P43" s="22">
        <f t="shared" si="12"/>
        <v>72.976859973101611</v>
      </c>
      <c r="Q43" s="22"/>
      <c r="R43" s="22"/>
      <c r="S43" s="22">
        <f t="shared" si="6"/>
        <v>2702.9127947723368</v>
      </c>
      <c r="T43" s="22">
        <f t="shared" si="7"/>
        <v>755.90098718778836</v>
      </c>
    </row>
    <row r="44" spans="1:20" x14ac:dyDescent="0.2">
      <c r="A44" s="5">
        <v>53</v>
      </c>
      <c r="B44" s="1">
        <f t="shared" si="13"/>
        <v>2.1500067685588333</v>
      </c>
      <c r="C44" s="5">
        <f t="shared" si="14"/>
        <v>67451.449845795491</v>
      </c>
      <c r="D44" s="5">
        <f t="shared" si="15"/>
        <v>64392.214304893561</v>
      </c>
      <c r="E44" s="5">
        <f t="shared" si="1"/>
        <v>54892.214304893561</v>
      </c>
      <c r="F44" s="5">
        <f t="shared" si="2"/>
        <v>20263.279401037104</v>
      </c>
      <c r="G44" s="5">
        <f t="shared" si="3"/>
        <v>44128.934903856454</v>
      </c>
      <c r="H44" s="22">
        <f t="shared" si="16"/>
        <v>29602.815416441983</v>
      </c>
      <c r="I44" s="5">
        <f t="shared" si="17"/>
        <v>71985.184210728359</v>
      </c>
      <c r="J44" s="25">
        <f t="shared" si="5"/>
        <v>0.2117955712196358</v>
      </c>
      <c r="L44" s="22">
        <f t="shared" si="18"/>
        <v>86874.744486708369</v>
      </c>
      <c r="M44" s="5">
        <f>scrimecost*Meta!O41</f>
        <v>7699.7380000000003</v>
      </c>
      <c r="N44" s="5">
        <f>L44-Grade15!L44</f>
        <v>9573.5459581427276</v>
      </c>
      <c r="O44" s="5">
        <f>Grade15!M44-M44</f>
        <v>60.333999999999833</v>
      </c>
      <c r="P44" s="22">
        <f t="shared" si="12"/>
        <v>74.861058399366982</v>
      </c>
      <c r="Q44" s="22"/>
      <c r="R44" s="22"/>
      <c r="S44" s="22">
        <f t="shared" ref="S44:S69" si="19">IF(A44&lt;startage,1,0)*(N44-Q44-R44)+IF(A44&gt;=startage,1,0)*completionprob*(N44*spart+O44+P44)</f>
        <v>2769.7656738243445</v>
      </c>
      <c r="T44" s="22">
        <f t="shared" ref="T44:T69" si="20">S44/sreturn^(A44-startage+1)</f>
        <v>743.40478952437843</v>
      </c>
    </row>
    <row r="45" spans="1:20" x14ac:dyDescent="0.2">
      <c r="A45" s="5">
        <v>54</v>
      </c>
      <c r="B45" s="1">
        <f t="shared" si="13"/>
        <v>2.2037569377728037</v>
      </c>
      <c r="C45" s="5">
        <f t="shared" si="14"/>
        <v>69137.736091940358</v>
      </c>
      <c r="D45" s="5">
        <f t="shared" si="15"/>
        <v>65979.009662515877</v>
      </c>
      <c r="E45" s="5">
        <f t="shared" si="1"/>
        <v>56479.009662515877</v>
      </c>
      <c r="F45" s="5">
        <f t="shared" si="2"/>
        <v>20940.047621063022</v>
      </c>
      <c r="G45" s="5">
        <f t="shared" si="3"/>
        <v>45038.962041452854</v>
      </c>
      <c r="H45" s="22">
        <f t="shared" si="16"/>
        <v>30342.885801853026</v>
      </c>
      <c r="I45" s="5">
        <f t="shared" si="17"/>
        <v>73591.61758099655</v>
      </c>
      <c r="J45" s="25">
        <f t="shared" si="5"/>
        <v>0.21385938516962336</v>
      </c>
      <c r="L45" s="22">
        <f t="shared" si="18"/>
        <v>89046.613098876056</v>
      </c>
      <c r="M45" s="5">
        <f>scrimecost*Meta!O42</f>
        <v>7699.7380000000003</v>
      </c>
      <c r="N45" s="5">
        <f>L45-Grade15!L45</f>
        <v>9812.8846070962754</v>
      </c>
      <c r="O45" s="5">
        <f>Grade15!M45-M45</f>
        <v>60.333999999999833</v>
      </c>
      <c r="P45" s="22">
        <f t="shared" si="12"/>
        <v>76.792361786288964</v>
      </c>
      <c r="Q45" s="22"/>
      <c r="R45" s="22"/>
      <c r="S45" s="22">
        <f t="shared" si="19"/>
        <v>2838.2898748526354</v>
      </c>
      <c r="T45" s="22">
        <f t="shared" si="20"/>
        <v>731.1197599637519</v>
      </c>
    </row>
    <row r="46" spans="1:20" x14ac:dyDescent="0.2">
      <c r="A46" s="5">
        <v>55</v>
      </c>
      <c r="B46" s="1">
        <f t="shared" si="13"/>
        <v>2.2588508612171236</v>
      </c>
      <c r="C46" s="5">
        <f t="shared" si="14"/>
        <v>70866.179494238866</v>
      </c>
      <c r="D46" s="5">
        <f t="shared" si="15"/>
        <v>67605.474904078772</v>
      </c>
      <c r="E46" s="5">
        <f t="shared" si="1"/>
        <v>58105.474904078772</v>
      </c>
      <c r="F46" s="5">
        <f t="shared" si="2"/>
        <v>21633.735046589594</v>
      </c>
      <c r="G46" s="5">
        <f t="shared" si="3"/>
        <v>45971.739857489178</v>
      </c>
      <c r="H46" s="22">
        <f t="shared" si="16"/>
        <v>31101.457946899351</v>
      </c>
      <c r="I46" s="5">
        <f t="shared" si="17"/>
        <v>75238.211785521475</v>
      </c>
      <c r="J46" s="25">
        <f t="shared" si="5"/>
        <v>0.21587286219400148</v>
      </c>
      <c r="L46" s="22">
        <f t="shared" si="18"/>
        <v>91272.778426347941</v>
      </c>
      <c r="M46" s="5">
        <f>scrimecost*Meta!O43</f>
        <v>4270.7550000000001</v>
      </c>
      <c r="N46" s="5">
        <f>L46-Grade15!L46</f>
        <v>10058.206722273666</v>
      </c>
      <c r="O46" s="5">
        <f>Grade15!M46-M46</f>
        <v>33.464999999999236</v>
      </c>
      <c r="P46" s="22">
        <f t="shared" si="12"/>
        <v>78.771947757883993</v>
      </c>
      <c r="Q46" s="22"/>
      <c r="R46" s="22"/>
      <c r="S46" s="22">
        <f t="shared" si="19"/>
        <v>2895.1732879066344</v>
      </c>
      <c r="T46" s="22">
        <f t="shared" si="20"/>
        <v>715.74081687861644</v>
      </c>
    </row>
    <row r="47" spans="1:20" x14ac:dyDescent="0.2">
      <c r="A47" s="5">
        <v>56</v>
      </c>
      <c r="B47" s="1">
        <f t="shared" si="13"/>
        <v>2.3153221327475517</v>
      </c>
      <c r="C47" s="5">
        <f t="shared" si="14"/>
        <v>72637.833981594842</v>
      </c>
      <c r="D47" s="5">
        <f t="shared" si="15"/>
        <v>69272.601776680749</v>
      </c>
      <c r="E47" s="5">
        <f t="shared" si="1"/>
        <v>59772.601776680749</v>
      </c>
      <c r="F47" s="5">
        <f t="shared" si="2"/>
        <v>22344.764657754338</v>
      </c>
      <c r="G47" s="5">
        <f t="shared" si="3"/>
        <v>46927.837118926414</v>
      </c>
      <c r="H47" s="22">
        <f t="shared" si="16"/>
        <v>31878.994395571834</v>
      </c>
      <c r="I47" s="5">
        <f t="shared" si="17"/>
        <v>76925.970845159507</v>
      </c>
      <c r="J47" s="25">
        <f t="shared" si="5"/>
        <v>0.21783723002266314</v>
      </c>
      <c r="L47" s="22">
        <f t="shared" si="18"/>
        <v>93554.597887006646</v>
      </c>
      <c r="M47" s="5">
        <f>scrimecost*Meta!O44</f>
        <v>4270.7550000000001</v>
      </c>
      <c r="N47" s="5">
        <f>L47-Grade15!L47</f>
        <v>10309.661890330521</v>
      </c>
      <c r="O47" s="5">
        <f>Grade15!M47-M47</f>
        <v>33.464999999999236</v>
      </c>
      <c r="P47" s="22">
        <f t="shared" si="12"/>
        <v>80.801023378768946</v>
      </c>
      <c r="Q47" s="22"/>
      <c r="R47" s="22"/>
      <c r="S47" s="22">
        <f t="shared" si="19"/>
        <v>2967.1665266119926</v>
      </c>
      <c r="T47" s="22">
        <f t="shared" si="20"/>
        <v>703.99988815377515</v>
      </c>
    </row>
    <row r="48" spans="1:20" x14ac:dyDescent="0.2">
      <c r="A48" s="5">
        <v>57</v>
      </c>
      <c r="B48" s="1">
        <f t="shared" si="13"/>
        <v>2.3732051860662402</v>
      </c>
      <c r="C48" s="5">
        <f t="shared" si="14"/>
        <v>74453.779831134714</v>
      </c>
      <c r="D48" s="5">
        <f t="shared" si="15"/>
        <v>70981.406821097771</v>
      </c>
      <c r="E48" s="5">
        <f t="shared" si="1"/>
        <v>61481.406821097771</v>
      </c>
      <c r="F48" s="5">
        <f t="shared" si="2"/>
        <v>23073.5700091982</v>
      </c>
      <c r="G48" s="5">
        <f t="shared" si="3"/>
        <v>47907.836811899571</v>
      </c>
      <c r="H48" s="22">
        <f t="shared" si="16"/>
        <v>32675.969255461125</v>
      </c>
      <c r="I48" s="5">
        <f t="shared" si="17"/>
        <v>78655.923881288487</v>
      </c>
      <c r="J48" s="25">
        <f t="shared" si="5"/>
        <v>0.21975368644086962</v>
      </c>
      <c r="L48" s="22">
        <f t="shared" si="18"/>
        <v>95893.462834181802</v>
      </c>
      <c r="M48" s="5">
        <f>scrimecost*Meta!O45</f>
        <v>4270.7550000000001</v>
      </c>
      <c r="N48" s="5">
        <f>L48-Grade15!L48</f>
        <v>10567.403437588771</v>
      </c>
      <c r="O48" s="5">
        <f>Grade15!M48-M48</f>
        <v>33.464999999999236</v>
      </c>
      <c r="P48" s="22">
        <f t="shared" si="12"/>
        <v>82.880825890175984</v>
      </c>
      <c r="Q48" s="22"/>
      <c r="R48" s="22"/>
      <c r="S48" s="22">
        <f t="shared" si="19"/>
        <v>3040.9595962849771</v>
      </c>
      <c r="T48" s="22">
        <f t="shared" si="20"/>
        <v>692.45374245107007</v>
      </c>
    </row>
    <row r="49" spans="1:20" x14ac:dyDescent="0.2">
      <c r="A49" s="5">
        <v>58</v>
      </c>
      <c r="B49" s="1">
        <f t="shared" si="13"/>
        <v>2.4325353157178964</v>
      </c>
      <c r="C49" s="5">
        <f t="shared" si="14"/>
        <v>76315.124326913079</v>
      </c>
      <c r="D49" s="5">
        <f t="shared" si="15"/>
        <v>72732.931991625199</v>
      </c>
      <c r="E49" s="5">
        <f t="shared" si="1"/>
        <v>63232.931991625199</v>
      </c>
      <c r="F49" s="5">
        <f t="shared" si="2"/>
        <v>23820.595494428148</v>
      </c>
      <c r="G49" s="5">
        <f t="shared" si="3"/>
        <v>48912.336497197051</v>
      </c>
      <c r="H49" s="22">
        <f t="shared" si="16"/>
        <v>33492.868486847656</v>
      </c>
      <c r="I49" s="5">
        <f t="shared" si="17"/>
        <v>80429.125743320692</v>
      </c>
      <c r="J49" s="25">
        <f t="shared" si="5"/>
        <v>0.22162340001960756</v>
      </c>
      <c r="L49" s="22">
        <f t="shared" si="18"/>
        <v>98290.799405036349</v>
      </c>
      <c r="M49" s="5">
        <f>scrimecost*Meta!O46</f>
        <v>4270.7550000000001</v>
      </c>
      <c r="N49" s="5">
        <f>L49-Grade15!L49</f>
        <v>10831.58852352851</v>
      </c>
      <c r="O49" s="5">
        <f>Grade15!M49-M49</f>
        <v>33.464999999999236</v>
      </c>
      <c r="P49" s="22">
        <f t="shared" si="12"/>
        <v>85.012623464368204</v>
      </c>
      <c r="Q49" s="22"/>
      <c r="R49" s="22"/>
      <c r="S49" s="22">
        <f t="shared" si="19"/>
        <v>3116.5974926997947</v>
      </c>
      <c r="T49" s="22">
        <f t="shared" si="20"/>
        <v>681.09906095379597</v>
      </c>
    </row>
    <row r="50" spans="1:20" x14ac:dyDescent="0.2">
      <c r="A50" s="5">
        <v>59</v>
      </c>
      <c r="B50" s="1">
        <f t="shared" si="13"/>
        <v>2.4933486986108435</v>
      </c>
      <c r="C50" s="5">
        <f t="shared" si="14"/>
        <v>78223.002435085902</v>
      </c>
      <c r="D50" s="5">
        <f t="shared" si="15"/>
        <v>74528.245291415835</v>
      </c>
      <c r="E50" s="5">
        <f t="shared" si="1"/>
        <v>65028.245291415835</v>
      </c>
      <c r="F50" s="5">
        <f t="shared" si="2"/>
        <v>24586.296616788855</v>
      </c>
      <c r="G50" s="5">
        <f t="shared" si="3"/>
        <v>49941.948674626983</v>
      </c>
      <c r="H50" s="22">
        <f t="shared" si="16"/>
        <v>34330.190199018842</v>
      </c>
      <c r="I50" s="5">
        <f t="shared" si="17"/>
        <v>82246.657651903719</v>
      </c>
      <c r="J50" s="25">
        <f t="shared" si="5"/>
        <v>0.2234475108281325</v>
      </c>
      <c r="L50" s="22">
        <f t="shared" si="18"/>
        <v>100748.06939016226</v>
      </c>
      <c r="M50" s="5">
        <f>scrimecost*Meta!O47</f>
        <v>4270.7550000000001</v>
      </c>
      <c r="N50" s="5">
        <f>L50-Grade15!L50</f>
        <v>11102.378236616743</v>
      </c>
      <c r="O50" s="5">
        <f>Grade15!M50-M50</f>
        <v>33.464999999999236</v>
      </c>
      <c r="P50" s="22">
        <f t="shared" si="12"/>
        <v>87.197715977915252</v>
      </c>
      <c r="Q50" s="22"/>
      <c r="R50" s="22"/>
      <c r="S50" s="22">
        <f t="shared" si="19"/>
        <v>3194.1263365249838</v>
      </c>
      <c r="T50" s="22">
        <f t="shared" si="20"/>
        <v>669.93258484388355</v>
      </c>
    </row>
    <row r="51" spans="1:20" x14ac:dyDescent="0.2">
      <c r="A51" s="5">
        <v>60</v>
      </c>
      <c r="B51" s="1">
        <f t="shared" si="13"/>
        <v>2.555682416076114</v>
      </c>
      <c r="C51" s="5">
        <f t="shared" si="14"/>
        <v>80178.577495963022</v>
      </c>
      <c r="D51" s="5">
        <f t="shared" si="15"/>
        <v>76368.441423701195</v>
      </c>
      <c r="E51" s="5">
        <f t="shared" si="1"/>
        <v>66868.441423701195</v>
      </c>
      <c r="F51" s="5">
        <f t="shared" si="2"/>
        <v>25371.140267208561</v>
      </c>
      <c r="G51" s="5">
        <f t="shared" si="3"/>
        <v>50997.301156492635</v>
      </c>
      <c r="H51" s="22">
        <f t="shared" si="16"/>
        <v>35188.444953994302</v>
      </c>
      <c r="I51" s="5">
        <f t="shared" si="17"/>
        <v>84109.627858201275</v>
      </c>
      <c r="J51" s="25">
        <f t="shared" si="5"/>
        <v>0.22522713112913231</v>
      </c>
      <c r="L51" s="22">
        <f t="shared" si="18"/>
        <v>103266.7711249163</v>
      </c>
      <c r="M51" s="5">
        <f>scrimecost*Meta!O48</f>
        <v>2252.9780000000001</v>
      </c>
      <c r="N51" s="5">
        <f>L51-Grade15!L51</f>
        <v>11379.937692532127</v>
      </c>
      <c r="O51" s="5">
        <f>Grade15!M51-M51</f>
        <v>17.653999999999996</v>
      </c>
      <c r="P51" s="22">
        <f t="shared" si="12"/>
        <v>89.437435804300932</v>
      </c>
      <c r="Q51" s="22"/>
      <c r="R51" s="22"/>
      <c r="S51" s="22">
        <f t="shared" si="19"/>
        <v>3265.7353344457865</v>
      </c>
      <c r="T51" s="22">
        <f t="shared" si="20"/>
        <v>657.36934097792982</v>
      </c>
    </row>
    <row r="52" spans="1:20" x14ac:dyDescent="0.2">
      <c r="A52" s="5">
        <v>61</v>
      </c>
      <c r="B52" s="1">
        <f t="shared" si="13"/>
        <v>2.6195744764780171</v>
      </c>
      <c r="C52" s="5">
        <f t="shared" si="14"/>
        <v>82183.04193336211</v>
      </c>
      <c r="D52" s="5">
        <f t="shared" si="15"/>
        <v>78254.64245929374</v>
      </c>
      <c r="E52" s="5">
        <f t="shared" si="1"/>
        <v>68754.64245929374</v>
      </c>
      <c r="F52" s="5">
        <f t="shared" si="2"/>
        <v>26175.605008888782</v>
      </c>
      <c r="G52" s="5">
        <f t="shared" si="3"/>
        <v>52079.037450404954</v>
      </c>
      <c r="H52" s="22">
        <f t="shared" si="16"/>
        <v>36068.156077844171</v>
      </c>
      <c r="I52" s="5">
        <f t="shared" si="17"/>
        <v>86019.172319656325</v>
      </c>
      <c r="J52" s="25">
        <f t="shared" si="5"/>
        <v>0.2269633460569371</v>
      </c>
      <c r="L52" s="22">
        <f t="shared" si="18"/>
        <v>105848.4404030392</v>
      </c>
      <c r="M52" s="5">
        <f>scrimecost*Meta!O49</f>
        <v>2252.9780000000001</v>
      </c>
      <c r="N52" s="5">
        <f>L52-Grade15!L52</f>
        <v>11664.43613484544</v>
      </c>
      <c r="O52" s="5">
        <f>Grade15!M52-M52</f>
        <v>17.653999999999996</v>
      </c>
      <c r="P52" s="22">
        <f t="shared" si="12"/>
        <v>91.733148626346292</v>
      </c>
      <c r="Q52" s="22"/>
      <c r="R52" s="22"/>
      <c r="S52" s="22">
        <f t="shared" si="19"/>
        <v>3347.1890759896223</v>
      </c>
      <c r="T52" s="22">
        <f t="shared" si="20"/>
        <v>646.63342981018025</v>
      </c>
    </row>
    <row r="53" spans="1:20" x14ac:dyDescent="0.2">
      <c r="A53" s="5">
        <v>62</v>
      </c>
      <c r="B53" s="1">
        <f t="shared" si="13"/>
        <v>2.6850638383899672</v>
      </c>
      <c r="C53" s="5">
        <f t="shared" si="14"/>
        <v>84237.617981696152</v>
      </c>
      <c r="D53" s="5">
        <f t="shared" si="15"/>
        <v>80187.998520776076</v>
      </c>
      <c r="E53" s="5">
        <f t="shared" si="1"/>
        <v>70687.998520776076</v>
      </c>
      <c r="F53" s="5">
        <f t="shared" si="2"/>
        <v>27000.181369111</v>
      </c>
      <c r="G53" s="5">
        <f t="shared" si="3"/>
        <v>53187.817151665076</v>
      </c>
      <c r="H53" s="22">
        <f t="shared" si="16"/>
        <v>36969.859979790264</v>
      </c>
      <c r="I53" s="5">
        <f t="shared" si="17"/>
        <v>87976.455392647709</v>
      </c>
      <c r="J53" s="25">
        <f t="shared" si="5"/>
        <v>0.2286572142791857</v>
      </c>
      <c r="L53" s="22">
        <f t="shared" si="18"/>
        <v>108494.65141311516</v>
      </c>
      <c r="M53" s="5">
        <f>scrimecost*Meta!O50</f>
        <v>2252.9780000000001</v>
      </c>
      <c r="N53" s="5">
        <f>L53-Grade15!L53</f>
        <v>11956.047038216566</v>
      </c>
      <c r="O53" s="5">
        <f>Grade15!M53-M53</f>
        <v>17.653999999999996</v>
      </c>
      <c r="P53" s="22">
        <f t="shared" si="12"/>
        <v>94.086254268942781</v>
      </c>
      <c r="Q53" s="22"/>
      <c r="R53" s="22"/>
      <c r="S53" s="22">
        <f t="shared" si="19"/>
        <v>3430.6791610720484</v>
      </c>
      <c r="T53" s="22">
        <f t="shared" si="20"/>
        <v>636.0737305275477</v>
      </c>
    </row>
    <row r="54" spans="1:20" x14ac:dyDescent="0.2">
      <c r="A54" s="5">
        <v>63</v>
      </c>
      <c r="B54" s="1">
        <f t="shared" si="13"/>
        <v>2.7521904343497163</v>
      </c>
      <c r="C54" s="5">
        <f t="shared" si="14"/>
        <v>86343.558431238547</v>
      </c>
      <c r="D54" s="5">
        <f t="shared" si="15"/>
        <v>82169.688483795471</v>
      </c>
      <c r="E54" s="5">
        <f t="shared" si="1"/>
        <v>72669.688483795471</v>
      </c>
      <c r="F54" s="5">
        <f t="shared" si="2"/>
        <v>27845.372138338767</v>
      </c>
      <c r="G54" s="5">
        <f t="shared" si="3"/>
        <v>54324.316345456704</v>
      </c>
      <c r="H54" s="22">
        <f t="shared" si="16"/>
        <v>37894.106479285016</v>
      </c>
      <c r="I54" s="5">
        <f t="shared" si="17"/>
        <v>89982.670542463908</v>
      </c>
      <c r="J54" s="25">
        <f t="shared" si="5"/>
        <v>0.23030976864235495</v>
      </c>
      <c r="L54" s="22">
        <f t="shared" si="18"/>
        <v>111207.01769844304</v>
      </c>
      <c r="M54" s="5">
        <f>scrimecost*Meta!O51</f>
        <v>2252.9780000000001</v>
      </c>
      <c r="N54" s="5">
        <f>L54-Grade15!L54</f>
        <v>12254.948214171978</v>
      </c>
      <c r="O54" s="5">
        <f>Grade15!M54-M54</f>
        <v>17.653999999999996</v>
      </c>
      <c r="P54" s="22">
        <f t="shared" si="12"/>
        <v>96.498187552604151</v>
      </c>
      <c r="Q54" s="22"/>
      <c r="R54" s="22"/>
      <c r="S54" s="22">
        <f t="shared" si="19"/>
        <v>3516.2564982815366</v>
      </c>
      <c r="T54" s="22">
        <f t="shared" si="20"/>
        <v>625.68731571407795</v>
      </c>
    </row>
    <row r="55" spans="1:20" x14ac:dyDescent="0.2">
      <c r="A55" s="5">
        <v>64</v>
      </c>
      <c r="B55" s="1">
        <f t="shared" si="13"/>
        <v>2.8209951952084591</v>
      </c>
      <c r="C55" s="5">
        <f t="shared" si="14"/>
        <v>88502.147392019499</v>
      </c>
      <c r="D55" s="5">
        <f t="shared" si="15"/>
        <v>84200.920695890352</v>
      </c>
      <c r="E55" s="5">
        <f t="shared" si="1"/>
        <v>74700.920695890352</v>
      </c>
      <c r="F55" s="5">
        <f t="shared" si="2"/>
        <v>28711.692676797233</v>
      </c>
      <c r="G55" s="5">
        <f t="shared" si="3"/>
        <v>55489.22801909312</v>
      </c>
      <c r="H55" s="22">
        <f t="shared" si="16"/>
        <v>38841.459141267143</v>
      </c>
      <c r="I55" s="5">
        <f t="shared" si="17"/>
        <v>92039.041071025509</v>
      </c>
      <c r="J55" s="25">
        <f t="shared" si="5"/>
        <v>0.23192201680154453</v>
      </c>
      <c r="L55" s="22">
        <f t="shared" si="18"/>
        <v>113987.19314090411</v>
      </c>
      <c r="M55" s="5">
        <f>scrimecost*Meta!O52</f>
        <v>2252.9780000000001</v>
      </c>
      <c r="N55" s="5">
        <f>L55-Grade15!L55</f>
        <v>12561.321919526279</v>
      </c>
      <c r="O55" s="5">
        <f>Grade15!M55-M55</f>
        <v>17.653999999999996</v>
      </c>
      <c r="P55" s="22">
        <f t="shared" si="12"/>
        <v>98.970419168357083</v>
      </c>
      <c r="Q55" s="22"/>
      <c r="R55" s="22"/>
      <c r="S55" s="22">
        <f t="shared" si="19"/>
        <v>3603.9732689212638</v>
      </c>
      <c r="T55" s="22">
        <f t="shared" si="20"/>
        <v>615.47130799251056</v>
      </c>
    </row>
    <row r="56" spans="1:20" x14ac:dyDescent="0.2">
      <c r="A56" s="5">
        <v>65</v>
      </c>
      <c r="B56" s="1">
        <f t="shared" si="13"/>
        <v>2.8915200750886707</v>
      </c>
      <c r="C56" s="5">
        <f t="shared" si="14"/>
        <v>90714.701076819998</v>
      </c>
      <c r="D56" s="5">
        <f t="shared" si="15"/>
        <v>86282.933713287624</v>
      </c>
      <c r="E56" s="5">
        <f t="shared" si="1"/>
        <v>76782.933713287624</v>
      </c>
      <c r="F56" s="5">
        <f t="shared" si="2"/>
        <v>29599.671228717172</v>
      </c>
      <c r="G56" s="5">
        <f t="shared" si="3"/>
        <v>56683.262484570456</v>
      </c>
      <c r="H56" s="22">
        <f t="shared" si="16"/>
        <v>39812.495619798829</v>
      </c>
      <c r="I56" s="5">
        <f t="shared" si="17"/>
        <v>94146.820862801163</v>
      </c>
      <c r="J56" s="25">
        <f t="shared" si="5"/>
        <v>0.23349494183490024</v>
      </c>
      <c r="L56" s="22">
        <f t="shared" si="18"/>
        <v>116836.87296942672</v>
      </c>
      <c r="M56" s="5">
        <f>scrimecost*Meta!O53</f>
        <v>680.84500000000003</v>
      </c>
      <c r="N56" s="5">
        <f>L56-Grade15!L56</f>
        <v>12875.35496751446</v>
      </c>
      <c r="O56" s="5">
        <f>Grade15!M56-M56</f>
        <v>5.3349999999999227</v>
      </c>
      <c r="P56" s="22">
        <f t="shared" si="12"/>
        <v>101.50445657450385</v>
      </c>
      <c r="Q56" s="22"/>
      <c r="R56" s="22"/>
      <c r="S56" s="22">
        <f t="shared" si="19"/>
        <v>3687.7604158269901</v>
      </c>
      <c r="T56" s="22">
        <f t="shared" si="20"/>
        <v>604.41940183720135</v>
      </c>
    </row>
    <row r="57" spans="1:20" x14ac:dyDescent="0.2">
      <c r="A57" s="5">
        <v>66</v>
      </c>
      <c r="C57" s="5"/>
      <c r="H57" s="21"/>
      <c r="I57" s="5"/>
      <c r="M57" s="5">
        <f>scrimecost*Meta!O54</f>
        <v>680.84500000000003</v>
      </c>
      <c r="N57" s="5">
        <f>L57-Grade15!L57</f>
        <v>0</v>
      </c>
      <c r="O57" s="5">
        <f>Grade15!M57-M57</f>
        <v>5.3349999999999227</v>
      </c>
      <c r="Q57" s="22"/>
      <c r="R57" s="22"/>
      <c r="S57" s="22">
        <f t="shared" si="19"/>
        <v>2.6514949999999615</v>
      </c>
      <c r="T57" s="22">
        <f t="shared" si="20"/>
        <v>0.41707672875277846</v>
      </c>
    </row>
    <row r="58" spans="1:20" x14ac:dyDescent="0.2">
      <c r="A58" s="5">
        <v>67</v>
      </c>
      <c r="C58" s="5"/>
      <c r="H58" s="21"/>
      <c r="I58" s="5"/>
      <c r="M58" s="5">
        <f>scrimecost*Meta!O55</f>
        <v>680.84500000000003</v>
      </c>
      <c r="N58" s="5">
        <f>L58-Grade15!L58</f>
        <v>0</v>
      </c>
      <c r="O58" s="5">
        <f>Grade15!M58-M58</f>
        <v>5.3349999999999227</v>
      </c>
      <c r="Q58" s="22"/>
      <c r="R58" s="22"/>
      <c r="S58" s="22">
        <f t="shared" si="19"/>
        <v>2.6514949999999615</v>
      </c>
      <c r="T58" s="22">
        <f t="shared" si="20"/>
        <v>0.40028139650219619</v>
      </c>
    </row>
    <row r="59" spans="1:20" x14ac:dyDescent="0.2">
      <c r="A59" s="5">
        <v>68</v>
      </c>
      <c r="H59" s="21"/>
      <c r="I59" s="5"/>
      <c r="M59" s="5">
        <f>scrimecost*Meta!O56</f>
        <v>680.84500000000003</v>
      </c>
      <c r="N59" s="5">
        <f>L59-Grade15!L59</f>
        <v>0</v>
      </c>
      <c r="O59" s="5">
        <f>Grade15!M59-M59</f>
        <v>5.3349999999999227</v>
      </c>
      <c r="Q59" s="22"/>
      <c r="R59" s="22"/>
      <c r="S59" s="22">
        <f t="shared" si="19"/>
        <v>2.6514949999999615</v>
      </c>
      <c r="T59" s="22">
        <f t="shared" si="20"/>
        <v>0.38416239828312648</v>
      </c>
    </row>
    <row r="60" spans="1:20" x14ac:dyDescent="0.2">
      <c r="A60" s="5">
        <v>69</v>
      </c>
      <c r="H60" s="21"/>
      <c r="I60" s="5"/>
      <c r="M60" s="5">
        <f>scrimecost*Meta!O57</f>
        <v>680.84500000000003</v>
      </c>
      <c r="N60" s="5">
        <f>L60-Grade15!L60</f>
        <v>0</v>
      </c>
      <c r="O60" s="5">
        <f>Grade15!M60-M60</f>
        <v>5.3349999999999227</v>
      </c>
      <c r="Q60" s="22"/>
      <c r="R60" s="22"/>
      <c r="S60" s="22">
        <f t="shared" si="19"/>
        <v>2.6514949999999615</v>
      </c>
      <c r="T60" s="22">
        <f t="shared" si="20"/>
        <v>0.36869249868781695</v>
      </c>
    </row>
    <row r="61" spans="1:20" x14ac:dyDescent="0.2">
      <c r="A61" s="5">
        <v>70</v>
      </c>
      <c r="H61" s="21"/>
      <c r="I61" s="5"/>
      <c r="M61" s="5">
        <f>scrimecost*Meta!O58</f>
        <v>680.84500000000003</v>
      </c>
      <c r="N61" s="5">
        <f>L61-Grade15!L61</f>
        <v>0</v>
      </c>
      <c r="O61" s="5">
        <f>Grade15!M61-M61</f>
        <v>5.3349999999999227</v>
      </c>
      <c r="Q61" s="22"/>
      <c r="R61" s="22"/>
      <c r="S61" s="22">
        <f t="shared" si="19"/>
        <v>2.6514949999999615</v>
      </c>
      <c r="T61" s="22">
        <f t="shared" si="20"/>
        <v>0.35384555905568577</v>
      </c>
    </row>
    <row r="62" spans="1:20" x14ac:dyDescent="0.2">
      <c r="A62" s="5">
        <v>71</v>
      </c>
      <c r="H62" s="21"/>
      <c r="I62" s="5"/>
      <c r="M62" s="5">
        <f>scrimecost*Meta!O59</f>
        <v>680.84500000000003</v>
      </c>
      <c r="N62" s="5">
        <f>L62-Grade15!L62</f>
        <v>0</v>
      </c>
      <c r="O62" s="5">
        <f>Grade15!M62-M62</f>
        <v>5.3349999999999227</v>
      </c>
      <c r="Q62" s="22"/>
      <c r="R62" s="22"/>
      <c r="S62" s="22">
        <f t="shared" si="19"/>
        <v>2.6514949999999615</v>
      </c>
      <c r="T62" s="22">
        <f t="shared" si="20"/>
        <v>0.33959649330822722</v>
      </c>
    </row>
    <row r="63" spans="1:20" x14ac:dyDescent="0.2">
      <c r="A63" s="5">
        <v>72</v>
      </c>
      <c r="H63" s="21"/>
      <c r="M63" s="5">
        <f>scrimecost*Meta!O60</f>
        <v>680.84500000000003</v>
      </c>
      <c r="N63" s="5">
        <f>L63-Grade15!L63</f>
        <v>0</v>
      </c>
      <c r="O63" s="5">
        <f>Grade15!M63-M63</f>
        <v>5.3349999999999227</v>
      </c>
      <c r="Q63" s="22"/>
      <c r="R63" s="22"/>
      <c r="S63" s="22">
        <f t="shared" si="19"/>
        <v>2.6514949999999615</v>
      </c>
      <c r="T63" s="22">
        <f t="shared" si="20"/>
        <v>0.32592122556240877</v>
      </c>
    </row>
    <row r="64" spans="1:20" x14ac:dyDescent="0.2">
      <c r="A64" s="5">
        <v>73</v>
      </c>
      <c r="H64" s="21"/>
      <c r="M64" s="5">
        <f>scrimecost*Meta!O61</f>
        <v>680.84500000000003</v>
      </c>
      <c r="N64" s="5">
        <f>L64-Grade15!L64</f>
        <v>0</v>
      </c>
      <c r="O64" s="5">
        <f>Grade15!M64-M64</f>
        <v>5.3349999999999227</v>
      </c>
      <c r="Q64" s="22"/>
      <c r="R64" s="22"/>
      <c r="S64" s="22">
        <f t="shared" si="19"/>
        <v>2.6514949999999615</v>
      </c>
      <c r="T64" s="22">
        <f t="shared" si="20"/>
        <v>0.31279664945094154</v>
      </c>
    </row>
    <row r="65" spans="1:20" x14ac:dyDescent="0.2">
      <c r="A65" s="5">
        <v>74</v>
      </c>
      <c r="H65" s="21"/>
      <c r="M65" s="5">
        <f>scrimecost*Meta!O62</f>
        <v>680.84500000000003</v>
      </c>
      <c r="N65" s="5">
        <f>L65-Grade15!L65</f>
        <v>0</v>
      </c>
      <c r="O65" s="5">
        <f>Grade15!M65-M65</f>
        <v>5.3349999999999227</v>
      </c>
      <c r="Q65" s="22"/>
      <c r="R65" s="22"/>
      <c r="S65" s="22">
        <f t="shared" si="19"/>
        <v>2.6514949999999615</v>
      </c>
      <c r="T65" s="22">
        <f t="shared" si="20"/>
        <v>0.30020058908068892</v>
      </c>
    </row>
    <row r="66" spans="1:20" x14ac:dyDescent="0.2">
      <c r="A66" s="5">
        <v>75</v>
      </c>
      <c r="H66" s="21"/>
      <c r="M66" s="5">
        <f>scrimecost*Meta!O63</f>
        <v>680.84500000000003</v>
      </c>
      <c r="N66" s="5">
        <f>L66-Grade15!L66</f>
        <v>0</v>
      </c>
      <c r="O66" s="5">
        <f>Grade15!M66-M66</f>
        <v>5.3349999999999227</v>
      </c>
      <c r="Q66" s="22"/>
      <c r="R66" s="22"/>
      <c r="S66" s="22">
        <f t="shared" si="19"/>
        <v>2.6514949999999615</v>
      </c>
      <c r="T66" s="22">
        <f t="shared" si="20"/>
        <v>0.2881117615632483</v>
      </c>
    </row>
    <row r="67" spans="1:20" x14ac:dyDescent="0.2">
      <c r="A67" s="5">
        <v>76</v>
      </c>
      <c r="H67" s="21"/>
      <c r="M67" s="5">
        <f>scrimecost*Meta!O64</f>
        <v>680.84500000000003</v>
      </c>
      <c r="N67" s="5">
        <f>L67-Grade15!L67</f>
        <v>0</v>
      </c>
      <c r="O67" s="5">
        <f>Grade15!M67-M67</f>
        <v>5.3349999999999227</v>
      </c>
      <c r="Q67" s="22"/>
      <c r="R67" s="22"/>
      <c r="S67" s="22">
        <f t="shared" si="19"/>
        <v>2.6514949999999615</v>
      </c>
      <c r="T67" s="22">
        <f t="shared" si="20"/>
        <v>0.27650974105439474</v>
      </c>
    </row>
    <row r="68" spans="1:20" x14ac:dyDescent="0.2">
      <c r="A68" s="5">
        <v>77</v>
      </c>
      <c r="H68" s="21"/>
      <c r="M68" s="5">
        <f>scrimecost*Meta!O65</f>
        <v>680.84500000000003</v>
      </c>
      <c r="N68" s="5">
        <f>L68-Grade15!L68</f>
        <v>0</v>
      </c>
      <c r="O68" s="5">
        <f>Grade15!M68-M68</f>
        <v>5.3349999999999227</v>
      </c>
      <c r="Q68" s="22"/>
      <c r="R68" s="22"/>
      <c r="S68" s="22">
        <f t="shared" si="19"/>
        <v>2.6514949999999615</v>
      </c>
      <c r="T68" s="22">
        <f t="shared" si="20"/>
        <v>0.26537492424162595</v>
      </c>
    </row>
    <row r="69" spans="1:20" x14ac:dyDescent="0.2">
      <c r="A69" s="5">
        <v>78</v>
      </c>
      <c r="H69" s="21"/>
      <c r="M69" s="5">
        <f>scrimecost*Meta!O66</f>
        <v>680.84500000000003</v>
      </c>
      <c r="N69" s="5">
        <f>L69-Grade15!L69</f>
        <v>0</v>
      </c>
      <c r="O69" s="5">
        <f>Grade15!M69-M69</f>
        <v>5.3349999999999227</v>
      </c>
      <c r="Q69" s="22"/>
      <c r="R69" s="22"/>
      <c r="S69" s="22">
        <f t="shared" si="19"/>
        <v>2.6514949999999615</v>
      </c>
      <c r="T69" s="22">
        <f t="shared" si="20"/>
        <v>0.25468849722149578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-6.0021432268797525E-12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Meta!A11+6</f>
        <v>23</v>
      </c>
      <c r="C2" s="7">
        <f>Meta!B11</f>
        <v>57677</v>
      </c>
      <c r="D2" s="7">
        <f>Meta!C11</f>
        <v>25202</v>
      </c>
      <c r="E2" s="1">
        <f>Meta!D11</f>
        <v>5.8999999999999997E-2</v>
      </c>
      <c r="F2" s="1">
        <f>Meta!F11</f>
        <v>0.66700000000000004</v>
      </c>
      <c r="G2" s="1">
        <f>Meta!I11</f>
        <v>1.7595535582220223</v>
      </c>
      <c r="H2" s="1">
        <f>Meta!E11</f>
        <v>0.214</v>
      </c>
      <c r="I2" s="13"/>
      <c r="J2" s="1">
        <f>Meta!X10</f>
        <v>0.56799999999999995</v>
      </c>
      <c r="K2" s="1">
        <f>Meta!D10</f>
        <v>5.8999999999999997E-2</v>
      </c>
      <c r="L2" s="28"/>
      <c r="N2" s="22">
        <f>Meta!T11</f>
        <v>71633</v>
      </c>
      <c r="O2" s="22">
        <f>Meta!U11</f>
        <v>31591</v>
      </c>
      <c r="P2" s="1">
        <f>Meta!V11</f>
        <v>0.09</v>
      </c>
      <c r="Q2" s="1">
        <f>Meta!X11</f>
        <v>0.56799999999999995</v>
      </c>
      <c r="R2" s="22">
        <f>Meta!W11</f>
        <v>12379</v>
      </c>
      <c r="T2" s="12">
        <f>IRR(S5:S69)+1</f>
        <v>1.0401100913394121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5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5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B13" s="1">
        <v>1</v>
      </c>
      <c r="C13" s="5">
        <f>0.1*Grade16!C13</f>
        <v>3137.2668603740603</v>
      </c>
      <c r="D13" s="5">
        <f t="shared" ref="D13:D36" si="0">IF(A13&lt;startage,1,0)*(C13*(1-initialunempprob))+IF(A13=startage,1,0)*(C13*(1-unempprob))+IF(A13&gt;startage,1,0)*(C13*(1-unempprob)+unempprob*300*52)</f>
        <v>2952.1681156119907</v>
      </c>
      <c r="E13" s="5">
        <f t="shared" ref="E13:E56" si="1">IF(D13-9500&gt;0,1,0)*(D13-9500)</f>
        <v>0</v>
      </c>
      <c r="F13" s="5">
        <f t="shared" ref="F13:F56" si="2">IF(E13&lt;=8500,1,0)*(0.1*E13+0.1*E13+0.0765*D13)+IF(AND(E13&gt;8500,E13&lt;=34500),1,0)*(850+0.15*(E13-8500)+0.1*E13+0.0765*D13)+IF(AND(E13&gt;34500,E13&lt;=83600),1,0)*(4750+0.25*(E13-34500)+0.1*E13+0.0765*D13)+IF(AND(E13&gt;83600,E13&lt;=174400,D13&lt;=106800),1,0)*(17025+0.28*(E13-83600)+0.1*E13+0.0765*D13)+IF(AND(E13&gt;83600,E13&lt;=174400,D13&gt;106800),1,0)*(17025+0.28*(E13-83600)+0.1*E13+8170.2+0.0145*(D13-106800))+IF(AND(E13&gt;174400,E13&lt;=379150),1,0)*(42449+0.33*(E13-174400)+0.1*E13+8170.2+0.0145*(D13-106800))+IF(E13&gt;379150,1,0)*(110016.5+0.35*(E13-379150)+0.1*E13+8170.2+0.0145*(D13-106800))</f>
        <v>225.84086084431729</v>
      </c>
      <c r="G13" s="5">
        <f t="shared" ref="G13:G56" si="3">D13-F13</f>
        <v>2726.3272547676734</v>
      </c>
      <c r="H13" s="22">
        <f>0.1*Grade16!H13</f>
        <v>1376.870801029384</v>
      </c>
      <c r="I13" s="5">
        <f t="shared" ref="I13:I36" si="4">G13+IF(A13&lt;startage,1,0)*(H13*(1-initialunempprob))+IF(A13&gt;=startage,1,0)*(H13*(1-unempprob))</f>
        <v>4021.9626785363234</v>
      </c>
      <c r="J13" s="25">
        <f t="shared" ref="J13:J56" si="5">(F13-(IF(A13&gt;startage,1,0)*(unempprob*300*52)))/(IF(A13&lt;startage,1,0)*((C13+H13)*(1-initialunempprob))+IF(A13&gt;=startage,1,0)*((C13+H13)*(1-unempprob)))</f>
        <v>5.3166503288249164E-2</v>
      </c>
      <c r="L13" s="22">
        <f>0.1*Grade16!L13</f>
        <v>4040.6730693662512</v>
      </c>
      <c r="M13" s="5">
        <f>scrimecost*Meta!O10</f>
        <v>34760.231999999996</v>
      </c>
      <c r="N13" s="5">
        <f>L13-Grade16!L13</f>
        <v>-36366.057624296256</v>
      </c>
      <c r="O13" s="5"/>
      <c r="P13" s="22"/>
      <c r="Q13" s="22">
        <f>0.05*feel*Grade16!G13</f>
        <v>317.55993162105466</v>
      </c>
      <c r="R13" s="22">
        <f>coltuition</f>
        <v>8279</v>
      </c>
      <c r="S13" s="22">
        <f t="shared" ref="S13:S44" si="6">IF(A13&lt;startage,1,0)*(N13-Q13-R13)+IF(A13&gt;=startage,1,0)*completionprob*(N13*spart+O13+P13)</f>
        <v>-44962.617555917313</v>
      </c>
      <c r="T13" s="22">
        <f t="shared" ref="T13:T44" si="7">S13/sreturn^(A13-startage+1)</f>
        <v>-44962.617555917313</v>
      </c>
    </row>
    <row r="14" spans="1:20" x14ac:dyDescent="0.2">
      <c r="A14" s="5">
        <v>23</v>
      </c>
      <c r="B14" s="1">
        <f t="shared" ref="B14:B36" si="8">(1+experiencepremium)^(A14-startage)</f>
        <v>1</v>
      </c>
      <c r="C14" s="5">
        <f t="shared" ref="C14:C36" si="9">pretaxincome*B14/expnorm</f>
        <v>32779.337537347215</v>
      </c>
      <c r="D14" s="5">
        <f t="shared" si="0"/>
        <v>30845.356622643732</v>
      </c>
      <c r="E14" s="5">
        <f t="shared" si="1"/>
        <v>21345.356622643732</v>
      </c>
      <c r="F14" s="5">
        <f t="shared" si="2"/>
        <v>7271.008937293178</v>
      </c>
      <c r="G14" s="5">
        <f t="shared" si="3"/>
        <v>23574.347685350556</v>
      </c>
      <c r="H14" s="22">
        <f t="shared" ref="H14:H36" si="10">benefits*B14/expnorm</f>
        <v>14322.951343104263</v>
      </c>
      <c r="I14" s="5">
        <f t="shared" si="4"/>
        <v>37052.24489921167</v>
      </c>
      <c r="J14" s="25">
        <f t="shared" si="5"/>
        <v>0.16404501718474332</v>
      </c>
      <c r="L14" s="22">
        <f t="shared" ref="L14:L36" si="11">(sincome+sbenefits)*(1-sunemp)*B14/expnorm</f>
        <v>53385.041655064713</v>
      </c>
      <c r="M14" s="5">
        <f>scrimecost*Meta!O11</f>
        <v>32482.496000000003</v>
      </c>
      <c r="N14" s="5">
        <f>L14-Grade16!L14</f>
        <v>11968.142694060647</v>
      </c>
      <c r="O14" s="5">
        <f>Grade16!M14-M14</f>
        <v>0</v>
      </c>
      <c r="P14" s="22">
        <f t="shared" ref="P14:P56" si="12">(spart-initialspart)*(L14*J14+nptrans)</f>
        <v>0</v>
      </c>
      <c r="Q14" s="22"/>
      <c r="R14" s="22"/>
      <c r="S14" s="22">
        <f t="shared" si="6"/>
        <v>1454.7516807484596</v>
      </c>
      <c r="T14" s="22">
        <f t="shared" si="7"/>
        <v>1398.6516358812448</v>
      </c>
    </row>
    <row r="15" spans="1:20" x14ac:dyDescent="0.2">
      <c r="A15" s="5">
        <v>24</v>
      </c>
      <c r="B15" s="1">
        <f t="shared" si="8"/>
        <v>1.0249999999999999</v>
      </c>
      <c r="C15" s="5">
        <f t="shared" si="9"/>
        <v>33598.820975780895</v>
      </c>
      <c r="D15" s="5">
        <f t="shared" si="0"/>
        <v>32536.890538209824</v>
      </c>
      <c r="E15" s="5">
        <f t="shared" si="1"/>
        <v>23036.890538209824</v>
      </c>
      <c r="F15" s="5">
        <f t="shared" si="2"/>
        <v>7823.2947607255073</v>
      </c>
      <c r="G15" s="5">
        <f t="shared" si="3"/>
        <v>24713.595777484315</v>
      </c>
      <c r="H15" s="22">
        <f t="shared" si="10"/>
        <v>14681.025126681869</v>
      </c>
      <c r="I15" s="5">
        <f t="shared" si="4"/>
        <v>38528.440421691957</v>
      </c>
      <c r="J15" s="25">
        <f t="shared" si="5"/>
        <v>0.15194126989684029</v>
      </c>
      <c r="L15" s="22">
        <f t="shared" si="11"/>
        <v>54719.667696441327</v>
      </c>
      <c r="M15" s="5">
        <f>scrimecost*Meta!O12</f>
        <v>31034.153000000002</v>
      </c>
      <c r="N15" s="5">
        <f>L15-Grade16!L15</f>
        <v>12267.34626141216</v>
      </c>
      <c r="O15" s="5">
        <f>Grade16!M15-M15</f>
        <v>0</v>
      </c>
      <c r="P15" s="22">
        <f t="shared" si="12"/>
        <v>0</v>
      </c>
      <c r="Q15" s="22"/>
      <c r="R15" s="22"/>
      <c r="S15" s="22">
        <f t="shared" si="6"/>
        <v>1491.1204727671707</v>
      </c>
      <c r="T15" s="22">
        <f t="shared" si="7"/>
        <v>1378.3328694870365</v>
      </c>
    </row>
    <row r="16" spans="1:20" x14ac:dyDescent="0.2">
      <c r="A16" s="5">
        <v>25</v>
      </c>
      <c r="B16" s="1">
        <f t="shared" si="8"/>
        <v>1.0506249999999999</v>
      </c>
      <c r="C16" s="5">
        <f t="shared" si="9"/>
        <v>34438.791500175415</v>
      </c>
      <c r="D16" s="5">
        <f t="shared" si="0"/>
        <v>33327.302801665064</v>
      </c>
      <c r="E16" s="5">
        <f t="shared" si="1"/>
        <v>23827.302801665064</v>
      </c>
      <c r="F16" s="5">
        <f t="shared" si="2"/>
        <v>8081.3643647436438</v>
      </c>
      <c r="G16" s="5">
        <f t="shared" si="3"/>
        <v>25245.93843692142</v>
      </c>
      <c r="H16" s="22">
        <f t="shared" si="10"/>
        <v>15048.050754848917</v>
      </c>
      <c r="I16" s="5">
        <f t="shared" si="4"/>
        <v>39406.154197234253</v>
      </c>
      <c r="J16" s="25">
        <f t="shared" si="5"/>
        <v>0.15377727001108846</v>
      </c>
      <c r="L16" s="22">
        <f t="shared" si="11"/>
        <v>56087.659388852364</v>
      </c>
      <c r="M16" s="5">
        <f>scrimecost*Meta!O13</f>
        <v>26057.794999999998</v>
      </c>
      <c r="N16" s="5">
        <f>L16-Grade16!L16</f>
        <v>12574.02991794746</v>
      </c>
      <c r="O16" s="5">
        <f>Grade16!M16-M16</f>
        <v>0</v>
      </c>
      <c r="P16" s="22">
        <f t="shared" si="12"/>
        <v>0</v>
      </c>
      <c r="Q16" s="22"/>
      <c r="R16" s="22"/>
      <c r="S16" s="22">
        <f t="shared" si="6"/>
        <v>1528.3984845863497</v>
      </c>
      <c r="T16" s="22">
        <f t="shared" si="7"/>
        <v>1358.309281861573</v>
      </c>
    </row>
    <row r="17" spans="1:20" x14ac:dyDescent="0.2">
      <c r="A17" s="5">
        <v>26</v>
      </c>
      <c r="B17" s="1">
        <f t="shared" si="8"/>
        <v>1.0768906249999999</v>
      </c>
      <c r="C17" s="5">
        <f t="shared" si="9"/>
        <v>35299.761287679801</v>
      </c>
      <c r="D17" s="5">
        <f t="shared" si="0"/>
        <v>34137.4753717067</v>
      </c>
      <c r="E17" s="5">
        <f t="shared" si="1"/>
        <v>24637.4753717067</v>
      </c>
      <c r="F17" s="5">
        <f t="shared" si="2"/>
        <v>8345.8857088622372</v>
      </c>
      <c r="G17" s="5">
        <f t="shared" si="3"/>
        <v>25791.589662844461</v>
      </c>
      <c r="H17" s="22">
        <f t="shared" si="10"/>
        <v>15424.252023720139</v>
      </c>
      <c r="I17" s="5">
        <f t="shared" si="4"/>
        <v>40305.810817165111</v>
      </c>
      <c r="J17" s="25">
        <f t="shared" si="5"/>
        <v>0.15556848963474526</v>
      </c>
      <c r="L17" s="22">
        <f t="shared" si="11"/>
        <v>57489.850873573669</v>
      </c>
      <c r="M17" s="5">
        <f>scrimecost*Meta!O14</f>
        <v>26057.794999999998</v>
      </c>
      <c r="N17" s="5">
        <f>L17-Grade16!L17</f>
        <v>12888.380665896148</v>
      </c>
      <c r="O17" s="5">
        <f>Grade16!M17-M17</f>
        <v>0</v>
      </c>
      <c r="P17" s="22">
        <f t="shared" si="12"/>
        <v>0</v>
      </c>
      <c r="Q17" s="22"/>
      <c r="R17" s="22"/>
      <c r="S17" s="22">
        <f t="shared" si="6"/>
        <v>1566.6084467010085</v>
      </c>
      <c r="T17" s="22">
        <f t="shared" si="7"/>
        <v>1338.5765848259455</v>
      </c>
    </row>
    <row r="18" spans="1:20" x14ac:dyDescent="0.2">
      <c r="A18" s="5">
        <v>27</v>
      </c>
      <c r="B18" s="1">
        <f t="shared" si="8"/>
        <v>1.1038128906249998</v>
      </c>
      <c r="C18" s="5">
        <f t="shared" si="9"/>
        <v>36182.255319871794</v>
      </c>
      <c r="D18" s="5">
        <f t="shared" si="0"/>
        <v>34967.902255999361</v>
      </c>
      <c r="E18" s="5">
        <f t="shared" si="1"/>
        <v>25467.902255999361</v>
      </c>
      <c r="F18" s="5">
        <f t="shared" si="2"/>
        <v>8617.0200865837905</v>
      </c>
      <c r="G18" s="5">
        <f t="shared" si="3"/>
        <v>26350.88216941557</v>
      </c>
      <c r="H18" s="22">
        <f t="shared" si="10"/>
        <v>15809.85832431314</v>
      </c>
      <c r="I18" s="5">
        <f t="shared" si="4"/>
        <v>41227.958852594238</v>
      </c>
      <c r="J18" s="25">
        <f t="shared" si="5"/>
        <v>0.15731602097489816</v>
      </c>
      <c r="L18" s="22">
        <f t="shared" si="11"/>
        <v>58927.097145413005</v>
      </c>
      <c r="M18" s="5">
        <f>scrimecost*Meta!O15</f>
        <v>26057.794999999998</v>
      </c>
      <c r="N18" s="5">
        <f>L18-Grade16!L18</f>
        <v>13210.590182543558</v>
      </c>
      <c r="O18" s="5">
        <f>Grade16!M18-M18</f>
        <v>0</v>
      </c>
      <c r="P18" s="22">
        <f t="shared" si="12"/>
        <v>0</v>
      </c>
      <c r="Q18" s="22"/>
      <c r="R18" s="22"/>
      <c r="S18" s="22">
        <f t="shared" si="6"/>
        <v>1605.7736578685344</v>
      </c>
      <c r="T18" s="22">
        <f t="shared" si="7"/>
        <v>1319.1305524973181</v>
      </c>
    </row>
    <row r="19" spans="1:20" x14ac:dyDescent="0.2">
      <c r="A19" s="5">
        <v>28</v>
      </c>
      <c r="B19" s="1">
        <f t="shared" si="8"/>
        <v>1.1314082128906247</v>
      </c>
      <c r="C19" s="5">
        <f t="shared" si="9"/>
        <v>37086.811702868581</v>
      </c>
      <c r="D19" s="5">
        <f t="shared" si="0"/>
        <v>35819.089812399339</v>
      </c>
      <c r="E19" s="5">
        <f t="shared" si="1"/>
        <v>26319.089812399339</v>
      </c>
      <c r="F19" s="5">
        <f t="shared" si="2"/>
        <v>8894.9328237483842</v>
      </c>
      <c r="G19" s="5">
        <f t="shared" si="3"/>
        <v>26924.156988650953</v>
      </c>
      <c r="H19" s="22">
        <f t="shared" si="10"/>
        <v>16205.104782420967</v>
      </c>
      <c r="I19" s="5">
        <f t="shared" si="4"/>
        <v>42173.160588909086</v>
      </c>
      <c r="J19" s="25">
        <f t="shared" si="5"/>
        <v>0.15902092959943762</v>
      </c>
      <c r="L19" s="22">
        <f t="shared" si="11"/>
        <v>60400.274574048322</v>
      </c>
      <c r="M19" s="5">
        <f>scrimecost*Meta!O16</f>
        <v>26057.794999999998</v>
      </c>
      <c r="N19" s="5">
        <f>L19-Grade16!L19</f>
        <v>13540.854937107142</v>
      </c>
      <c r="O19" s="5">
        <f>Grade16!M19-M19</f>
        <v>0</v>
      </c>
      <c r="P19" s="22">
        <f t="shared" si="12"/>
        <v>0</v>
      </c>
      <c r="Q19" s="22"/>
      <c r="R19" s="22"/>
      <c r="S19" s="22">
        <f t="shared" si="6"/>
        <v>1645.9179993152472</v>
      </c>
      <c r="T19" s="22">
        <f t="shared" si="7"/>
        <v>1299.967020383928</v>
      </c>
    </row>
    <row r="20" spans="1:20" x14ac:dyDescent="0.2">
      <c r="A20" s="5">
        <v>29</v>
      </c>
      <c r="B20" s="1">
        <f t="shared" si="8"/>
        <v>1.1596934182128902</v>
      </c>
      <c r="C20" s="5">
        <f t="shared" si="9"/>
        <v>38013.981995440299</v>
      </c>
      <c r="D20" s="5">
        <f t="shared" si="0"/>
        <v>36691.557057709324</v>
      </c>
      <c r="E20" s="5">
        <f t="shared" si="1"/>
        <v>27191.557057709324</v>
      </c>
      <c r="F20" s="5">
        <f t="shared" si="2"/>
        <v>9179.7933793420943</v>
      </c>
      <c r="G20" s="5">
        <f t="shared" si="3"/>
        <v>27511.763678367228</v>
      </c>
      <c r="H20" s="22">
        <f t="shared" si="10"/>
        <v>16610.232401981488</v>
      </c>
      <c r="I20" s="5">
        <f t="shared" si="4"/>
        <v>43141.992368631807</v>
      </c>
      <c r="J20" s="25">
        <f t="shared" si="5"/>
        <v>0.16068425508679318</v>
      </c>
      <c r="L20" s="22">
        <f t="shared" si="11"/>
        <v>61910.281438399521</v>
      </c>
      <c r="M20" s="5">
        <f>scrimecost*Meta!O17</f>
        <v>26057.794999999998</v>
      </c>
      <c r="N20" s="5">
        <f>L20-Grade16!L20</f>
        <v>13879.376310534804</v>
      </c>
      <c r="O20" s="5">
        <f>Grade16!M20-M20</f>
        <v>0</v>
      </c>
      <c r="P20" s="22">
        <f t="shared" si="12"/>
        <v>0</v>
      </c>
      <c r="Q20" s="22"/>
      <c r="R20" s="22"/>
      <c r="S20" s="22">
        <f t="shared" si="6"/>
        <v>1687.0659492981263</v>
      </c>
      <c r="T20" s="22">
        <f t="shared" si="7"/>
        <v>1281.0818844932346</v>
      </c>
    </row>
    <row r="21" spans="1:20" x14ac:dyDescent="0.2">
      <c r="A21" s="5">
        <v>30</v>
      </c>
      <c r="B21" s="1">
        <f t="shared" si="8"/>
        <v>1.1886857536682125</v>
      </c>
      <c r="C21" s="5">
        <f t="shared" si="9"/>
        <v>38964.331545326306</v>
      </c>
      <c r="D21" s="5">
        <f t="shared" si="0"/>
        <v>37585.835984152058</v>
      </c>
      <c r="E21" s="5">
        <f t="shared" si="1"/>
        <v>28085.835984152058</v>
      </c>
      <c r="F21" s="5">
        <f t="shared" si="2"/>
        <v>9471.7754488256469</v>
      </c>
      <c r="G21" s="5">
        <f t="shared" si="3"/>
        <v>28114.060535326411</v>
      </c>
      <c r="H21" s="22">
        <f t="shared" si="10"/>
        <v>17025.488212031029</v>
      </c>
      <c r="I21" s="5">
        <f t="shared" si="4"/>
        <v>44135.044942847613</v>
      </c>
      <c r="J21" s="25">
        <f t="shared" si="5"/>
        <v>0.162307011659823</v>
      </c>
      <c r="L21" s="22">
        <f t="shared" si="11"/>
        <v>63458.03847435952</v>
      </c>
      <c r="M21" s="5">
        <f>scrimecost*Meta!O18</f>
        <v>21007.163</v>
      </c>
      <c r="N21" s="5">
        <f>L21-Grade16!L21</f>
        <v>14226.360718298187</v>
      </c>
      <c r="O21" s="5">
        <f>Grade16!M21-M21</f>
        <v>0</v>
      </c>
      <c r="P21" s="22">
        <f t="shared" si="12"/>
        <v>0</v>
      </c>
      <c r="Q21" s="22"/>
      <c r="R21" s="22"/>
      <c r="S21" s="22">
        <f t="shared" si="6"/>
        <v>1729.2425980305811</v>
      </c>
      <c r="T21" s="22">
        <f t="shared" si="7"/>
        <v>1262.4711004530277</v>
      </c>
    </row>
    <row r="22" spans="1:20" x14ac:dyDescent="0.2">
      <c r="A22" s="5">
        <v>31</v>
      </c>
      <c r="B22" s="1">
        <f t="shared" si="8"/>
        <v>1.2184028975099177</v>
      </c>
      <c r="C22" s="5">
        <f t="shared" si="9"/>
        <v>39938.439833959455</v>
      </c>
      <c r="D22" s="5">
        <f t="shared" si="0"/>
        <v>38502.471883755854</v>
      </c>
      <c r="E22" s="5">
        <f t="shared" si="1"/>
        <v>29002.471883755854</v>
      </c>
      <c r="F22" s="5">
        <f t="shared" si="2"/>
        <v>9771.0570700462868</v>
      </c>
      <c r="G22" s="5">
        <f t="shared" si="3"/>
        <v>28731.414813709569</v>
      </c>
      <c r="H22" s="22">
        <f t="shared" si="10"/>
        <v>17451.125417331801</v>
      </c>
      <c r="I22" s="5">
        <f t="shared" si="4"/>
        <v>45152.923831418797</v>
      </c>
      <c r="J22" s="25">
        <f t="shared" si="5"/>
        <v>0.16389018880424236</v>
      </c>
      <c r="L22" s="22">
        <f t="shared" si="11"/>
        <v>65044.489436218493</v>
      </c>
      <c r="M22" s="5">
        <f>scrimecost*Meta!O19</f>
        <v>21007.163</v>
      </c>
      <c r="N22" s="5">
        <f>L22-Grade16!L22</f>
        <v>14582.019736255636</v>
      </c>
      <c r="O22" s="5">
        <f>Grade16!M22-M22</f>
        <v>0</v>
      </c>
      <c r="P22" s="22">
        <f t="shared" si="12"/>
        <v>0</v>
      </c>
      <c r="Q22" s="22"/>
      <c r="R22" s="22"/>
      <c r="S22" s="22">
        <f t="shared" si="6"/>
        <v>1772.4736629813447</v>
      </c>
      <c r="T22" s="22">
        <f t="shared" si="7"/>
        <v>1244.1306826452853</v>
      </c>
    </row>
    <row r="23" spans="1:20" x14ac:dyDescent="0.2">
      <c r="A23" s="5">
        <v>32</v>
      </c>
      <c r="B23" s="1">
        <f t="shared" si="8"/>
        <v>1.2488629699476654</v>
      </c>
      <c r="C23" s="5">
        <f t="shared" si="9"/>
        <v>40936.900829808445</v>
      </c>
      <c r="D23" s="5">
        <f t="shared" si="0"/>
        <v>39442.02368084975</v>
      </c>
      <c r="E23" s="5">
        <f t="shared" si="1"/>
        <v>29942.02368084975</v>
      </c>
      <c r="F23" s="5">
        <f t="shared" si="2"/>
        <v>10077.820731797443</v>
      </c>
      <c r="G23" s="5">
        <f t="shared" si="3"/>
        <v>29364.202949052305</v>
      </c>
      <c r="H23" s="22">
        <f t="shared" si="10"/>
        <v>17887.403552765096</v>
      </c>
      <c r="I23" s="5">
        <f t="shared" si="4"/>
        <v>46196.249692204263</v>
      </c>
      <c r="J23" s="25">
        <f t="shared" si="5"/>
        <v>0.16543475187196852</v>
      </c>
      <c r="L23" s="22">
        <f t="shared" si="11"/>
        <v>66670.601672123958</v>
      </c>
      <c r="M23" s="5">
        <f>scrimecost*Meta!O20</f>
        <v>21007.163</v>
      </c>
      <c r="N23" s="5">
        <f>L23-Grade16!L23</f>
        <v>14946.570229662029</v>
      </c>
      <c r="O23" s="5">
        <f>Grade16!M23-M23</f>
        <v>0</v>
      </c>
      <c r="P23" s="22">
        <f t="shared" si="12"/>
        <v>0</v>
      </c>
      <c r="Q23" s="22"/>
      <c r="R23" s="22"/>
      <c r="S23" s="22">
        <f t="shared" si="6"/>
        <v>1816.785504555879</v>
      </c>
      <c r="T23" s="22">
        <f t="shared" si="7"/>
        <v>1226.0567033526449</v>
      </c>
    </row>
    <row r="24" spans="1:20" x14ac:dyDescent="0.2">
      <c r="A24" s="5">
        <v>33</v>
      </c>
      <c r="B24" s="1">
        <f t="shared" si="8"/>
        <v>1.2800845441963571</v>
      </c>
      <c r="C24" s="5">
        <f t="shared" si="9"/>
        <v>41960.323350553648</v>
      </c>
      <c r="D24" s="5">
        <f t="shared" si="0"/>
        <v>40405.064272870986</v>
      </c>
      <c r="E24" s="5">
        <f t="shared" si="1"/>
        <v>30905.064272870986</v>
      </c>
      <c r="F24" s="5">
        <f t="shared" si="2"/>
        <v>10392.253485092377</v>
      </c>
      <c r="G24" s="5">
        <f t="shared" si="3"/>
        <v>30012.81078777861</v>
      </c>
      <c r="H24" s="22">
        <f t="shared" si="10"/>
        <v>18334.588641584221</v>
      </c>
      <c r="I24" s="5">
        <f t="shared" si="4"/>
        <v>47265.658699509368</v>
      </c>
      <c r="J24" s="25">
        <f t="shared" si="5"/>
        <v>0.16694164266975012</v>
      </c>
      <c r="L24" s="22">
        <f t="shared" si="11"/>
        <v>68337.366713927055</v>
      </c>
      <c r="M24" s="5">
        <f>scrimecost*Meta!O21</f>
        <v>21007.163</v>
      </c>
      <c r="N24" s="5">
        <f>L24-Grade16!L24</f>
        <v>15320.234485403576</v>
      </c>
      <c r="O24" s="5">
        <f>Grade16!M24-M24</f>
        <v>0</v>
      </c>
      <c r="P24" s="22">
        <f t="shared" si="12"/>
        <v>0</v>
      </c>
      <c r="Q24" s="22"/>
      <c r="R24" s="22"/>
      <c r="S24" s="22">
        <f t="shared" si="6"/>
        <v>1862.2051421697754</v>
      </c>
      <c r="T24" s="22">
        <f t="shared" si="7"/>
        <v>1208.2452919172451</v>
      </c>
    </row>
    <row r="25" spans="1:20" x14ac:dyDescent="0.2">
      <c r="A25" s="5">
        <v>34</v>
      </c>
      <c r="B25" s="1">
        <f t="shared" si="8"/>
        <v>1.312086657801266</v>
      </c>
      <c r="C25" s="5">
        <f t="shared" si="9"/>
        <v>43009.331434317493</v>
      </c>
      <c r="D25" s="5">
        <f t="shared" si="0"/>
        <v>41392.180879692765</v>
      </c>
      <c r="E25" s="5">
        <f t="shared" si="1"/>
        <v>31892.180879692765</v>
      </c>
      <c r="F25" s="5">
        <f t="shared" si="2"/>
        <v>10714.547057219688</v>
      </c>
      <c r="G25" s="5">
        <f t="shared" si="3"/>
        <v>30677.633822473079</v>
      </c>
      <c r="H25" s="22">
        <f t="shared" si="10"/>
        <v>18792.953357623825</v>
      </c>
      <c r="I25" s="5">
        <f t="shared" si="4"/>
        <v>48361.802931997096</v>
      </c>
      <c r="J25" s="25">
        <f t="shared" si="5"/>
        <v>0.16841178003343957</v>
      </c>
      <c r="L25" s="22">
        <f t="shared" si="11"/>
        <v>70045.800881775227</v>
      </c>
      <c r="M25" s="5">
        <f>scrimecost*Meta!O22</f>
        <v>21007.163</v>
      </c>
      <c r="N25" s="5">
        <f>L25-Grade16!L25</f>
        <v>15703.240347538667</v>
      </c>
      <c r="O25" s="5">
        <f>Grade16!M25-M25</f>
        <v>0</v>
      </c>
      <c r="P25" s="22">
        <f t="shared" si="12"/>
        <v>0</v>
      </c>
      <c r="Q25" s="22"/>
      <c r="R25" s="22"/>
      <c r="S25" s="22">
        <f t="shared" si="6"/>
        <v>1908.7602707240201</v>
      </c>
      <c r="T25" s="22">
        <f t="shared" si="7"/>
        <v>1190.6926339118088</v>
      </c>
    </row>
    <row r="26" spans="1:20" x14ac:dyDescent="0.2">
      <c r="A26" s="5">
        <v>35</v>
      </c>
      <c r="B26" s="1">
        <f t="shared" si="8"/>
        <v>1.3448888242462975</v>
      </c>
      <c r="C26" s="5">
        <f t="shared" si="9"/>
        <v>44084.564720175433</v>
      </c>
      <c r="D26" s="5">
        <f t="shared" si="0"/>
        <v>42403.975401685086</v>
      </c>
      <c r="E26" s="5">
        <f t="shared" si="1"/>
        <v>32903.975401685086</v>
      </c>
      <c r="F26" s="5">
        <f t="shared" si="2"/>
        <v>11044.897968650181</v>
      </c>
      <c r="G26" s="5">
        <f t="shared" si="3"/>
        <v>31359.077433034905</v>
      </c>
      <c r="H26" s="22">
        <f t="shared" si="10"/>
        <v>19262.777191564423</v>
      </c>
      <c r="I26" s="5">
        <f t="shared" si="4"/>
        <v>49485.350770297024</v>
      </c>
      <c r="J26" s="25">
        <f t="shared" si="5"/>
        <v>0.16984606038825847</v>
      </c>
      <c r="L26" s="22">
        <f t="shared" si="11"/>
        <v>71796.945903819593</v>
      </c>
      <c r="M26" s="5">
        <f>scrimecost*Meta!O23</f>
        <v>16303.143</v>
      </c>
      <c r="N26" s="5">
        <f>L26-Grade16!L26</f>
        <v>16095.821356227127</v>
      </c>
      <c r="O26" s="5">
        <f>Grade16!M26-M26</f>
        <v>0</v>
      </c>
      <c r="P26" s="22">
        <f t="shared" si="12"/>
        <v>0</v>
      </c>
      <c r="Q26" s="22"/>
      <c r="R26" s="22"/>
      <c r="S26" s="22">
        <f t="shared" si="6"/>
        <v>1956.4792774921193</v>
      </c>
      <c r="T26" s="22">
        <f t="shared" si="7"/>
        <v>1173.3949703227509</v>
      </c>
    </row>
    <row r="27" spans="1:20" x14ac:dyDescent="0.2">
      <c r="A27" s="5">
        <v>36</v>
      </c>
      <c r="B27" s="1">
        <f t="shared" si="8"/>
        <v>1.3785110448524549</v>
      </c>
      <c r="C27" s="5">
        <f t="shared" si="9"/>
        <v>45186.678838179803</v>
      </c>
      <c r="D27" s="5">
        <f t="shared" si="0"/>
        <v>43441.064786727198</v>
      </c>
      <c r="E27" s="5">
        <f t="shared" si="1"/>
        <v>33941.064786727198</v>
      </c>
      <c r="F27" s="5">
        <f t="shared" si="2"/>
        <v>11383.50765286643</v>
      </c>
      <c r="G27" s="5">
        <f t="shared" si="3"/>
        <v>32057.55713386077</v>
      </c>
      <c r="H27" s="22">
        <f t="shared" si="10"/>
        <v>19744.346621353532</v>
      </c>
      <c r="I27" s="5">
        <f t="shared" si="4"/>
        <v>50636.987304554445</v>
      </c>
      <c r="J27" s="25">
        <f t="shared" si="5"/>
        <v>0.17124535829539886</v>
      </c>
      <c r="L27" s="22">
        <f t="shared" si="11"/>
        <v>73591.86955141509</v>
      </c>
      <c r="M27" s="5">
        <f>scrimecost*Meta!O24</f>
        <v>16303.143</v>
      </c>
      <c r="N27" s="5">
        <f>L27-Grade16!L27</f>
        <v>16498.216890132819</v>
      </c>
      <c r="O27" s="5">
        <f>Grade16!M27-M27</f>
        <v>0</v>
      </c>
      <c r="P27" s="22">
        <f t="shared" si="12"/>
        <v>0</v>
      </c>
      <c r="Q27" s="22"/>
      <c r="R27" s="22"/>
      <c r="S27" s="22">
        <f t="shared" si="6"/>
        <v>2005.3912594294241</v>
      </c>
      <c r="T27" s="22">
        <f t="shared" si="7"/>
        <v>1156.3485967451707</v>
      </c>
    </row>
    <row r="28" spans="1:20" x14ac:dyDescent="0.2">
      <c r="A28" s="5">
        <v>37</v>
      </c>
      <c r="B28" s="1">
        <f t="shared" si="8"/>
        <v>1.4129738209737661</v>
      </c>
      <c r="C28" s="5">
        <f t="shared" si="9"/>
        <v>46316.345809134305</v>
      </c>
      <c r="D28" s="5">
        <f t="shared" si="0"/>
        <v>44504.081406395388</v>
      </c>
      <c r="E28" s="5">
        <f t="shared" si="1"/>
        <v>35004.081406395388</v>
      </c>
      <c r="F28" s="5">
        <f t="shared" si="2"/>
        <v>11780.990719827632</v>
      </c>
      <c r="G28" s="5">
        <f t="shared" si="3"/>
        <v>32723.090686567753</v>
      </c>
      <c r="H28" s="22">
        <f t="shared" si="10"/>
        <v>20237.955286887365</v>
      </c>
      <c r="I28" s="5">
        <f t="shared" si="4"/>
        <v>51767.006611528763</v>
      </c>
      <c r="J28" s="25">
        <f t="shared" si="5"/>
        <v>0.17341541401253713</v>
      </c>
      <c r="L28" s="22">
        <f t="shared" si="11"/>
        <v>75431.666290200461</v>
      </c>
      <c r="M28" s="5">
        <f>scrimecost*Meta!O25</f>
        <v>16303.143</v>
      </c>
      <c r="N28" s="5">
        <f>L28-Grade16!L28</f>
        <v>16910.672312386116</v>
      </c>
      <c r="O28" s="5">
        <f>Grade16!M28-M28</f>
        <v>0</v>
      </c>
      <c r="P28" s="22">
        <f t="shared" si="12"/>
        <v>0</v>
      </c>
      <c r="Q28" s="22"/>
      <c r="R28" s="22"/>
      <c r="S28" s="22">
        <f t="shared" si="6"/>
        <v>2055.526040915157</v>
      </c>
      <c r="T28" s="22">
        <f t="shared" si="7"/>
        <v>1139.5498625895184</v>
      </c>
    </row>
    <row r="29" spans="1:20" x14ac:dyDescent="0.2">
      <c r="A29" s="5">
        <v>38</v>
      </c>
      <c r="B29" s="1">
        <f t="shared" si="8"/>
        <v>1.4482981664981105</v>
      </c>
      <c r="C29" s="5">
        <f t="shared" si="9"/>
        <v>47474.254454362665</v>
      </c>
      <c r="D29" s="5">
        <f t="shared" si="0"/>
        <v>45593.673441555271</v>
      </c>
      <c r="E29" s="5">
        <f t="shared" si="1"/>
        <v>36093.673441555271</v>
      </c>
      <c r="F29" s="5">
        <f t="shared" si="2"/>
        <v>12245.701722823324</v>
      </c>
      <c r="G29" s="5">
        <f t="shared" si="3"/>
        <v>33347.971718731947</v>
      </c>
      <c r="H29" s="22">
        <f t="shared" si="10"/>
        <v>20743.904169059555</v>
      </c>
      <c r="I29" s="5">
        <f t="shared" si="4"/>
        <v>52867.98554181699</v>
      </c>
      <c r="J29" s="25">
        <f t="shared" si="5"/>
        <v>0.17642501584525735</v>
      </c>
      <c r="L29" s="22">
        <f t="shared" si="11"/>
        <v>77317.457947455478</v>
      </c>
      <c r="M29" s="5">
        <f>scrimecost*Meta!O26</f>
        <v>16303.143</v>
      </c>
      <c r="N29" s="5">
        <f>L29-Grade16!L29</f>
        <v>17333.439120195784</v>
      </c>
      <c r="O29" s="5">
        <f>Grade16!M29-M29</f>
        <v>0</v>
      </c>
      <c r="P29" s="22">
        <f t="shared" si="12"/>
        <v>0</v>
      </c>
      <c r="Q29" s="22"/>
      <c r="R29" s="22"/>
      <c r="S29" s="22">
        <f t="shared" si="6"/>
        <v>2106.9141919380377</v>
      </c>
      <c r="T29" s="22">
        <f t="shared" si="7"/>
        <v>1122.9951702998133</v>
      </c>
    </row>
    <row r="30" spans="1:20" x14ac:dyDescent="0.2">
      <c r="A30" s="5">
        <v>39</v>
      </c>
      <c r="B30" s="1">
        <f t="shared" si="8"/>
        <v>1.4845056206605631</v>
      </c>
      <c r="C30" s="5">
        <f t="shared" si="9"/>
        <v>48661.110815721724</v>
      </c>
      <c r="D30" s="5">
        <f t="shared" si="0"/>
        <v>46710.505277594144</v>
      </c>
      <c r="E30" s="5">
        <f t="shared" si="1"/>
        <v>37210.505277594144</v>
      </c>
      <c r="F30" s="5">
        <f t="shared" si="2"/>
        <v>12722.030500893903</v>
      </c>
      <c r="G30" s="5">
        <f t="shared" si="3"/>
        <v>33988.474776700241</v>
      </c>
      <c r="H30" s="22">
        <f t="shared" si="10"/>
        <v>21262.50177328604</v>
      </c>
      <c r="I30" s="5">
        <f t="shared" si="4"/>
        <v>53996.488945362406</v>
      </c>
      <c r="J30" s="25">
        <f t="shared" si="5"/>
        <v>0.17936121275522829</v>
      </c>
      <c r="L30" s="22">
        <f t="shared" si="11"/>
        <v>79250.394396141855</v>
      </c>
      <c r="M30" s="5">
        <f>scrimecost*Meta!O27</f>
        <v>16303.143</v>
      </c>
      <c r="N30" s="5">
        <f>L30-Grade16!L30</f>
        <v>17766.775098200676</v>
      </c>
      <c r="O30" s="5">
        <f>Grade16!M30-M30</f>
        <v>0</v>
      </c>
      <c r="P30" s="22">
        <f t="shared" si="12"/>
        <v>0</v>
      </c>
      <c r="Q30" s="22"/>
      <c r="R30" s="22"/>
      <c r="S30" s="22">
        <f t="shared" si="6"/>
        <v>2159.5870467364884</v>
      </c>
      <c r="T30" s="22">
        <f t="shared" si="7"/>
        <v>1106.6809745831872</v>
      </c>
    </row>
    <row r="31" spans="1:20" x14ac:dyDescent="0.2">
      <c r="A31" s="5">
        <v>40</v>
      </c>
      <c r="B31" s="1">
        <f t="shared" si="8"/>
        <v>1.521618261177077</v>
      </c>
      <c r="C31" s="5">
        <f t="shared" si="9"/>
        <v>49877.638586114765</v>
      </c>
      <c r="D31" s="5">
        <f t="shared" si="0"/>
        <v>47855.257909533997</v>
      </c>
      <c r="E31" s="5">
        <f t="shared" si="1"/>
        <v>38355.257909533997</v>
      </c>
      <c r="F31" s="5">
        <f t="shared" si="2"/>
        <v>13210.26749841625</v>
      </c>
      <c r="G31" s="5">
        <f t="shared" si="3"/>
        <v>34644.990411117746</v>
      </c>
      <c r="H31" s="22">
        <f t="shared" si="10"/>
        <v>21794.064317618187</v>
      </c>
      <c r="I31" s="5">
        <f t="shared" si="4"/>
        <v>55153.204933996458</v>
      </c>
      <c r="J31" s="25">
        <f t="shared" si="5"/>
        <v>0.18222579510641954</v>
      </c>
      <c r="L31" s="22">
        <f t="shared" si="11"/>
        <v>81231.654256045396</v>
      </c>
      <c r="M31" s="5">
        <f>scrimecost*Meta!O28</f>
        <v>14260.607999999998</v>
      </c>
      <c r="N31" s="5">
        <f>L31-Grade16!L31</f>
        <v>18210.944475655684</v>
      </c>
      <c r="O31" s="5">
        <f>Grade16!M31-M31</f>
        <v>0</v>
      </c>
      <c r="P31" s="22">
        <f t="shared" si="12"/>
        <v>0</v>
      </c>
      <c r="Q31" s="22"/>
      <c r="R31" s="22"/>
      <c r="S31" s="22">
        <f t="shared" si="6"/>
        <v>2213.5767229048997</v>
      </c>
      <c r="T31" s="22">
        <f t="shared" si="7"/>
        <v>1090.6037816506507</v>
      </c>
    </row>
    <row r="32" spans="1:20" x14ac:dyDescent="0.2">
      <c r="A32" s="5">
        <v>41</v>
      </c>
      <c r="B32" s="1">
        <f t="shared" si="8"/>
        <v>1.559658717706504</v>
      </c>
      <c r="C32" s="5">
        <f t="shared" si="9"/>
        <v>51124.57955076763</v>
      </c>
      <c r="D32" s="5">
        <f t="shared" si="0"/>
        <v>49028.629357272344</v>
      </c>
      <c r="E32" s="5">
        <f t="shared" si="1"/>
        <v>39528.629357272344</v>
      </c>
      <c r="F32" s="5">
        <f t="shared" si="2"/>
        <v>13710.710420876654</v>
      </c>
      <c r="G32" s="5">
        <f t="shared" si="3"/>
        <v>35317.91893639569</v>
      </c>
      <c r="H32" s="22">
        <f t="shared" si="10"/>
        <v>22338.915925558642</v>
      </c>
      <c r="I32" s="5">
        <f t="shared" si="4"/>
        <v>56338.83882234637</v>
      </c>
      <c r="J32" s="25">
        <f t="shared" si="5"/>
        <v>0.18502050959538657</v>
      </c>
      <c r="L32" s="22">
        <f t="shared" si="11"/>
        <v>83262.445612446521</v>
      </c>
      <c r="M32" s="5">
        <f>scrimecost*Meta!O29</f>
        <v>14260.607999999998</v>
      </c>
      <c r="N32" s="5">
        <f>L32-Grade16!L32</f>
        <v>18666.218087547066</v>
      </c>
      <c r="O32" s="5">
        <f>Grade16!M32-M32</f>
        <v>0</v>
      </c>
      <c r="P32" s="22">
        <f t="shared" si="12"/>
        <v>0</v>
      </c>
      <c r="Q32" s="22"/>
      <c r="R32" s="22"/>
      <c r="S32" s="22">
        <f t="shared" si="6"/>
        <v>2268.9161409775206</v>
      </c>
      <c r="T32" s="22">
        <f t="shared" si="7"/>
        <v>1074.7601484688696</v>
      </c>
    </row>
    <row r="33" spans="1:20" x14ac:dyDescent="0.2">
      <c r="A33" s="5">
        <v>42</v>
      </c>
      <c r="B33" s="1">
        <f t="shared" si="8"/>
        <v>1.5986501856491666</v>
      </c>
      <c r="C33" s="5">
        <f t="shared" si="9"/>
        <v>52402.694039536829</v>
      </c>
      <c r="D33" s="5">
        <f t="shared" si="0"/>
        <v>50231.335091204164</v>
      </c>
      <c r="E33" s="5">
        <f t="shared" si="1"/>
        <v>40731.335091204164</v>
      </c>
      <c r="F33" s="5">
        <f t="shared" si="2"/>
        <v>14223.664416398577</v>
      </c>
      <c r="G33" s="5">
        <f t="shared" si="3"/>
        <v>36007.670674805588</v>
      </c>
      <c r="H33" s="22">
        <f t="shared" si="10"/>
        <v>22897.388823697609</v>
      </c>
      <c r="I33" s="5">
        <f t="shared" si="4"/>
        <v>57554.113557905039</v>
      </c>
      <c r="J33" s="25">
        <f t="shared" si="5"/>
        <v>0.18774706031633004</v>
      </c>
      <c r="L33" s="22">
        <f t="shared" si="11"/>
        <v>85344.00675275769</v>
      </c>
      <c r="M33" s="5">
        <f>scrimecost*Meta!O30</f>
        <v>14260.607999999998</v>
      </c>
      <c r="N33" s="5">
        <f>L33-Grade16!L33</f>
        <v>19132.873539735752</v>
      </c>
      <c r="O33" s="5">
        <f>Grade16!M33-M33</f>
        <v>0</v>
      </c>
      <c r="P33" s="22">
        <f t="shared" si="12"/>
        <v>0</v>
      </c>
      <c r="Q33" s="22"/>
      <c r="R33" s="22"/>
      <c r="S33" s="22">
        <f t="shared" si="6"/>
        <v>2325.6390445019601</v>
      </c>
      <c r="T33" s="22">
        <f t="shared" si="7"/>
        <v>1059.1466820228213</v>
      </c>
    </row>
    <row r="34" spans="1:20" x14ac:dyDescent="0.2">
      <c r="A34" s="5">
        <v>43</v>
      </c>
      <c r="B34" s="1">
        <f t="shared" si="8"/>
        <v>1.6386164402903955</v>
      </c>
      <c r="C34" s="5">
        <f t="shared" si="9"/>
        <v>53712.761390525244</v>
      </c>
      <c r="D34" s="5">
        <f t="shared" si="0"/>
        <v>51464.108468484257</v>
      </c>
      <c r="E34" s="5">
        <f t="shared" si="1"/>
        <v>41964.108468484257</v>
      </c>
      <c r="F34" s="5">
        <f t="shared" si="2"/>
        <v>14749.442261808534</v>
      </c>
      <c r="G34" s="5">
        <f t="shared" si="3"/>
        <v>36714.666206675727</v>
      </c>
      <c r="H34" s="22">
        <f t="shared" si="10"/>
        <v>23469.823544290048</v>
      </c>
      <c r="I34" s="5">
        <f t="shared" si="4"/>
        <v>58799.770161852663</v>
      </c>
      <c r="J34" s="25">
        <f t="shared" si="5"/>
        <v>0.19040710980017722</v>
      </c>
      <c r="L34" s="22">
        <f t="shared" si="11"/>
        <v>87477.606921576618</v>
      </c>
      <c r="M34" s="5">
        <f>scrimecost*Meta!O31</f>
        <v>14260.607999999998</v>
      </c>
      <c r="N34" s="5">
        <f>L34-Grade16!L34</f>
        <v>19611.195378229153</v>
      </c>
      <c r="O34" s="5">
        <f>Grade16!M34-M34</f>
        <v>0</v>
      </c>
      <c r="P34" s="22">
        <f t="shared" si="12"/>
        <v>0</v>
      </c>
      <c r="Q34" s="22"/>
      <c r="R34" s="22"/>
      <c r="S34" s="22">
        <f t="shared" si="6"/>
        <v>2383.7800206145098</v>
      </c>
      <c r="T34" s="22">
        <f t="shared" si="7"/>
        <v>1043.7600385891531</v>
      </c>
    </row>
    <row r="35" spans="1:20" x14ac:dyDescent="0.2">
      <c r="A35" s="5">
        <v>44</v>
      </c>
      <c r="B35" s="1">
        <f t="shared" si="8"/>
        <v>1.6795818512976552</v>
      </c>
      <c r="C35" s="5">
        <f t="shared" si="9"/>
        <v>55055.580425288361</v>
      </c>
      <c r="D35" s="5">
        <f t="shared" si="0"/>
        <v>52727.701180196353</v>
      </c>
      <c r="E35" s="5">
        <f t="shared" si="1"/>
        <v>43227.701180196353</v>
      </c>
      <c r="F35" s="5">
        <f t="shared" si="2"/>
        <v>15288.364553353744</v>
      </c>
      <c r="G35" s="5">
        <f t="shared" si="3"/>
        <v>37439.336626842611</v>
      </c>
      <c r="H35" s="22">
        <f t="shared" si="10"/>
        <v>24056.569132897297</v>
      </c>
      <c r="I35" s="5">
        <f t="shared" si="4"/>
        <v>60076.568180898968</v>
      </c>
      <c r="J35" s="25">
        <f t="shared" si="5"/>
        <v>0.19300228002832093</v>
      </c>
      <c r="L35" s="22">
        <f t="shared" si="11"/>
        <v>89664.547094616035</v>
      </c>
      <c r="M35" s="5">
        <f>scrimecost*Meta!O32</f>
        <v>14260.607999999998</v>
      </c>
      <c r="N35" s="5">
        <f>L35-Grade16!L35</f>
        <v>20101.475262684879</v>
      </c>
      <c r="O35" s="5">
        <f>Grade16!M35-M35</f>
        <v>0</v>
      </c>
      <c r="P35" s="22">
        <f t="shared" si="12"/>
        <v>0</v>
      </c>
      <c r="Q35" s="22"/>
      <c r="R35" s="22"/>
      <c r="S35" s="22">
        <f t="shared" si="6"/>
        <v>2443.3745211298719</v>
      </c>
      <c r="T35" s="22">
        <f t="shared" si="7"/>
        <v>1028.5969230201067</v>
      </c>
    </row>
    <row r="36" spans="1:20" x14ac:dyDescent="0.2">
      <c r="A36" s="5">
        <v>45</v>
      </c>
      <c r="B36" s="1">
        <f t="shared" si="8"/>
        <v>1.7215713975800966</v>
      </c>
      <c r="C36" s="5">
        <f t="shared" si="9"/>
        <v>56431.96993592057</v>
      </c>
      <c r="D36" s="5">
        <f t="shared" si="0"/>
        <v>54022.883709701258</v>
      </c>
      <c r="E36" s="5">
        <f t="shared" si="1"/>
        <v>44522.883709701258</v>
      </c>
      <c r="F36" s="5">
        <f t="shared" si="2"/>
        <v>15840.759902187587</v>
      </c>
      <c r="G36" s="5">
        <f t="shared" si="3"/>
        <v>38182.123807513672</v>
      </c>
      <c r="H36" s="22">
        <f t="shared" si="10"/>
        <v>24657.983361219729</v>
      </c>
      <c r="I36" s="5">
        <f t="shared" si="4"/>
        <v>61385.286150421438</v>
      </c>
      <c r="J36" s="25">
        <f t="shared" si="5"/>
        <v>0.19553415342163183</v>
      </c>
      <c r="L36" s="22">
        <f t="shared" si="11"/>
        <v>91906.160771981435</v>
      </c>
      <c r="M36" s="5">
        <f>scrimecost*Meta!O33</f>
        <v>11524.849</v>
      </c>
      <c r="N36" s="5">
        <f>L36-Grade16!L36</f>
        <v>20604.012144251989</v>
      </c>
      <c r="O36" s="5">
        <f>Grade16!M36-M36</f>
        <v>0</v>
      </c>
      <c r="P36" s="22">
        <f t="shared" si="12"/>
        <v>0</v>
      </c>
      <c r="Q36" s="22"/>
      <c r="R36" s="22"/>
      <c r="S36" s="22">
        <f t="shared" si="6"/>
        <v>2504.4588841581176</v>
      </c>
      <c r="T36" s="22">
        <f t="shared" si="7"/>
        <v>1013.6540880378425</v>
      </c>
    </row>
    <row r="37" spans="1:20" x14ac:dyDescent="0.2">
      <c r="A37" s="5">
        <v>46</v>
      </c>
      <c r="B37" s="1">
        <f t="shared" ref="B37:B56" si="13">(1+experiencepremium)^(A37-startage)</f>
        <v>1.7646106825195991</v>
      </c>
      <c r="C37" s="5">
        <f t="shared" ref="C37:C56" si="14">pretaxincome*B37/expnorm</f>
        <v>57842.769184318589</v>
      </c>
      <c r="D37" s="5">
        <f t="shared" ref="D37:D56" si="15">IF(A37&lt;startage,1,0)*(C37*(1-initialunempprob))+IF(A37=startage,1,0)*(C37*(1-unempprob))+IF(A37&gt;startage,1,0)*(C37*(1-unempprob)+unempprob*300*52)</f>
        <v>55350.445802443799</v>
      </c>
      <c r="E37" s="5">
        <f t="shared" si="1"/>
        <v>45850.445802443799</v>
      </c>
      <c r="F37" s="5">
        <f t="shared" si="2"/>
        <v>16406.96513474228</v>
      </c>
      <c r="G37" s="5">
        <f t="shared" si="3"/>
        <v>38943.480667701515</v>
      </c>
      <c r="H37" s="22">
        <f t="shared" ref="H37:H56" si="16">benefits*B37/expnorm</f>
        <v>25274.432945250224</v>
      </c>
      <c r="I37" s="5">
        <f t="shared" ref="I37:I56" si="17">G37+IF(A37&lt;startage,1,0)*(H37*(1-initialunempprob))+IF(A37&gt;=startage,1,0)*(H37*(1-unempprob))</f>
        <v>62726.722069181982</v>
      </c>
      <c r="J37" s="25">
        <f t="shared" si="5"/>
        <v>0.1980042738053498</v>
      </c>
      <c r="L37" s="22">
        <f t="shared" ref="L37:L56" si="18">(sincome+sbenefits)*(1-sunemp)*B37/expnorm</f>
        <v>94203.814791280965</v>
      </c>
      <c r="M37" s="5">
        <f>scrimecost*Meta!O34</f>
        <v>11524.849</v>
      </c>
      <c r="N37" s="5">
        <f>L37-Grade16!L37</f>
        <v>21119.112447858293</v>
      </c>
      <c r="O37" s="5">
        <f>Grade16!M37-M37</f>
        <v>0</v>
      </c>
      <c r="P37" s="22">
        <f t="shared" si="12"/>
        <v>0</v>
      </c>
      <c r="Q37" s="22"/>
      <c r="R37" s="22"/>
      <c r="S37" s="22">
        <f t="shared" si="6"/>
        <v>2567.0703562620711</v>
      </c>
      <c r="T37" s="22">
        <f t="shared" si="7"/>
        <v>998.92833353901244</v>
      </c>
    </row>
    <row r="38" spans="1:20" x14ac:dyDescent="0.2">
      <c r="A38" s="5">
        <v>47</v>
      </c>
      <c r="B38" s="1">
        <f t="shared" si="13"/>
        <v>1.8087259495825889</v>
      </c>
      <c r="C38" s="5">
        <f t="shared" si="14"/>
        <v>59288.838413926547</v>
      </c>
      <c r="D38" s="5">
        <f t="shared" si="15"/>
        <v>56711.196947504883</v>
      </c>
      <c r="E38" s="5">
        <f t="shared" si="1"/>
        <v>47211.196947504883</v>
      </c>
      <c r="F38" s="5">
        <f t="shared" si="2"/>
        <v>16987.325498110833</v>
      </c>
      <c r="G38" s="5">
        <f t="shared" si="3"/>
        <v>39723.87144939405</v>
      </c>
      <c r="H38" s="22">
        <f t="shared" si="16"/>
        <v>25906.293768881475</v>
      </c>
      <c r="I38" s="5">
        <f t="shared" si="17"/>
        <v>64101.693885911518</v>
      </c>
      <c r="J38" s="25">
        <f t="shared" si="5"/>
        <v>0.20041414735044044</v>
      </c>
      <c r="L38" s="22">
        <f t="shared" si="18"/>
        <v>96558.910161062988</v>
      </c>
      <c r="M38" s="5">
        <f>scrimecost*Meta!O35</f>
        <v>11524.849</v>
      </c>
      <c r="N38" s="5">
        <f>L38-Grade16!L38</f>
        <v>21647.090259054763</v>
      </c>
      <c r="O38" s="5">
        <f>Grade16!M38-M38</f>
        <v>0</v>
      </c>
      <c r="P38" s="22">
        <f t="shared" si="12"/>
        <v>0</v>
      </c>
      <c r="Q38" s="22"/>
      <c r="R38" s="22"/>
      <c r="S38" s="22">
        <f t="shared" si="6"/>
        <v>2631.2471151686241</v>
      </c>
      <c r="T38" s="22">
        <f t="shared" si="7"/>
        <v>984.41650590943595</v>
      </c>
    </row>
    <row r="39" spans="1:20" x14ac:dyDescent="0.2">
      <c r="A39" s="5">
        <v>48</v>
      </c>
      <c r="B39" s="1">
        <f t="shared" si="13"/>
        <v>1.8539440983221533</v>
      </c>
      <c r="C39" s="5">
        <f t="shared" si="14"/>
        <v>60771.059374274701</v>
      </c>
      <c r="D39" s="5">
        <f t="shared" si="15"/>
        <v>58105.966871192497</v>
      </c>
      <c r="E39" s="5">
        <f t="shared" si="1"/>
        <v>48605.966871192497</v>
      </c>
      <c r="F39" s="5">
        <f t="shared" si="2"/>
        <v>17582.194870563599</v>
      </c>
      <c r="G39" s="5">
        <f t="shared" si="3"/>
        <v>40523.772000628902</v>
      </c>
      <c r="H39" s="22">
        <f t="shared" si="16"/>
        <v>26553.951113103507</v>
      </c>
      <c r="I39" s="5">
        <f t="shared" si="17"/>
        <v>65511.039998059307</v>
      </c>
      <c r="J39" s="25">
        <f t="shared" si="5"/>
        <v>0.20276524349199229</v>
      </c>
      <c r="L39" s="22">
        <f t="shared" si="18"/>
        <v>98972.882915089547</v>
      </c>
      <c r="M39" s="5">
        <f>scrimecost*Meta!O36</f>
        <v>11524.849</v>
      </c>
      <c r="N39" s="5">
        <f>L39-Grade16!L39</f>
        <v>22188.267515531115</v>
      </c>
      <c r="O39" s="5">
        <f>Grade16!M39-M39</f>
        <v>0</v>
      </c>
      <c r="P39" s="22">
        <f t="shared" si="12"/>
        <v>0</v>
      </c>
      <c r="Q39" s="22"/>
      <c r="R39" s="22"/>
      <c r="S39" s="22">
        <f t="shared" si="6"/>
        <v>2697.0282930478379</v>
      </c>
      <c r="T39" s="22">
        <f t="shared" si="7"/>
        <v>970.11549734873427</v>
      </c>
    </row>
    <row r="40" spans="1:20" x14ac:dyDescent="0.2">
      <c r="A40" s="5">
        <v>49</v>
      </c>
      <c r="B40" s="1">
        <f t="shared" si="13"/>
        <v>1.9002927007802071</v>
      </c>
      <c r="C40" s="5">
        <f t="shared" si="14"/>
        <v>62290.335858631566</v>
      </c>
      <c r="D40" s="5">
        <f t="shared" si="15"/>
        <v>59535.606042972307</v>
      </c>
      <c r="E40" s="5">
        <f t="shared" si="1"/>
        <v>50035.606042972307</v>
      </c>
      <c r="F40" s="5">
        <f t="shared" si="2"/>
        <v>18191.935977327688</v>
      </c>
      <c r="G40" s="5">
        <f t="shared" si="3"/>
        <v>41343.670065644619</v>
      </c>
      <c r="H40" s="22">
        <f t="shared" si="16"/>
        <v>27217.799890931095</v>
      </c>
      <c r="I40" s="5">
        <f t="shared" si="17"/>
        <v>66955.619763010778</v>
      </c>
      <c r="J40" s="25">
        <f t="shared" si="5"/>
        <v>0.20505899582521367</v>
      </c>
      <c r="L40" s="22">
        <f t="shared" si="18"/>
        <v>101447.20498796678</v>
      </c>
      <c r="M40" s="5">
        <f>scrimecost*Meta!O37</f>
        <v>11524.849</v>
      </c>
      <c r="N40" s="5">
        <f>L40-Grade16!L40</f>
        <v>22742.974203419391</v>
      </c>
      <c r="O40" s="5">
        <f>Grade16!M40-M40</f>
        <v>0</v>
      </c>
      <c r="P40" s="22">
        <f t="shared" si="12"/>
        <v>0</v>
      </c>
      <c r="Q40" s="22"/>
      <c r="R40" s="22"/>
      <c r="S40" s="22">
        <f t="shared" si="6"/>
        <v>2764.4540003740335</v>
      </c>
      <c r="T40" s="22">
        <f t="shared" si="7"/>
        <v>956.02224520477887</v>
      </c>
    </row>
    <row r="41" spans="1:20" x14ac:dyDescent="0.2">
      <c r="A41" s="5">
        <v>50</v>
      </c>
      <c r="B41" s="1">
        <f t="shared" si="13"/>
        <v>1.9478000182997122</v>
      </c>
      <c r="C41" s="5">
        <f t="shared" si="14"/>
        <v>63847.594255097349</v>
      </c>
      <c r="D41" s="5">
        <f t="shared" si="15"/>
        <v>61000.986194046607</v>
      </c>
      <c r="E41" s="5">
        <f t="shared" si="1"/>
        <v>51500.986194046607</v>
      </c>
      <c r="F41" s="5">
        <f t="shared" si="2"/>
        <v>18816.920611760877</v>
      </c>
      <c r="G41" s="5">
        <f t="shared" si="3"/>
        <v>42184.06558228573</v>
      </c>
      <c r="H41" s="22">
        <f t="shared" si="16"/>
        <v>27898.244888204372</v>
      </c>
      <c r="I41" s="5">
        <f t="shared" si="17"/>
        <v>68436.314022086037</v>
      </c>
      <c r="J41" s="25">
        <f t="shared" si="5"/>
        <v>0.20729680297957592</v>
      </c>
      <c r="L41" s="22">
        <f t="shared" si="18"/>
        <v>103983.38511266596</v>
      </c>
      <c r="M41" s="5">
        <f>scrimecost*Meta!O38</f>
        <v>7699.7380000000003</v>
      </c>
      <c r="N41" s="5">
        <f>L41-Grade16!L41</f>
        <v>23311.548558504888</v>
      </c>
      <c r="O41" s="5">
        <f>Grade16!M41-M41</f>
        <v>0</v>
      </c>
      <c r="P41" s="22">
        <f t="shared" si="12"/>
        <v>0</v>
      </c>
      <c r="Q41" s="22"/>
      <c r="R41" s="22"/>
      <c r="S41" s="22">
        <f t="shared" si="6"/>
        <v>2833.565350383386</v>
      </c>
      <c r="T41" s="22">
        <f t="shared" si="7"/>
        <v>942.13373131780088</v>
      </c>
    </row>
    <row r="42" spans="1:20" x14ac:dyDescent="0.2">
      <c r="A42" s="5">
        <v>51</v>
      </c>
      <c r="B42" s="1">
        <f t="shared" si="13"/>
        <v>1.9964950187572048</v>
      </c>
      <c r="C42" s="5">
        <f t="shared" si="14"/>
        <v>65443.784111474786</v>
      </c>
      <c r="D42" s="5">
        <f t="shared" si="15"/>
        <v>62503.000848897776</v>
      </c>
      <c r="E42" s="5">
        <f t="shared" si="1"/>
        <v>53003.000848897776</v>
      </c>
      <c r="F42" s="5">
        <f t="shared" si="2"/>
        <v>19457.529862054904</v>
      </c>
      <c r="G42" s="5">
        <f t="shared" si="3"/>
        <v>43045.470986842876</v>
      </c>
      <c r="H42" s="22">
        <f t="shared" si="16"/>
        <v>28595.701010409477</v>
      </c>
      <c r="I42" s="5">
        <f t="shared" si="17"/>
        <v>69954.025637638202</v>
      </c>
      <c r="J42" s="25">
        <f t="shared" si="5"/>
        <v>0.20948002947163677</v>
      </c>
      <c r="L42" s="22">
        <f t="shared" si="18"/>
        <v>106582.96974048259</v>
      </c>
      <c r="M42" s="5">
        <f>scrimecost*Meta!O39</f>
        <v>7699.7380000000003</v>
      </c>
      <c r="N42" s="5">
        <f>L42-Grade16!L42</f>
        <v>23894.337272467485</v>
      </c>
      <c r="O42" s="5">
        <f>Grade16!M42-M42</f>
        <v>0</v>
      </c>
      <c r="P42" s="22">
        <f t="shared" si="12"/>
        <v>0</v>
      </c>
      <c r="Q42" s="22"/>
      <c r="R42" s="22"/>
      <c r="S42" s="22">
        <f t="shared" si="6"/>
        <v>2904.4044841429672</v>
      </c>
      <c r="T42" s="22">
        <f t="shared" si="7"/>
        <v>928.44698137403077</v>
      </c>
    </row>
    <row r="43" spans="1:20" x14ac:dyDescent="0.2">
      <c r="A43" s="5">
        <v>52</v>
      </c>
      <c r="B43" s="1">
        <f t="shared" si="13"/>
        <v>2.0464073942261352</v>
      </c>
      <c r="C43" s="5">
        <f t="shared" si="14"/>
        <v>67079.878714261664</v>
      </c>
      <c r="D43" s="5">
        <f t="shared" si="15"/>
        <v>64042.565870120234</v>
      </c>
      <c r="E43" s="5">
        <f t="shared" si="1"/>
        <v>54542.565870120234</v>
      </c>
      <c r="F43" s="5">
        <f t="shared" si="2"/>
        <v>20114.154343606278</v>
      </c>
      <c r="G43" s="5">
        <f t="shared" si="3"/>
        <v>43928.411526513955</v>
      </c>
      <c r="H43" s="22">
        <f t="shared" si="16"/>
        <v>29310.593535669719</v>
      </c>
      <c r="I43" s="5">
        <f t="shared" si="17"/>
        <v>71509.680043579167</v>
      </c>
      <c r="J43" s="25">
        <f t="shared" si="5"/>
        <v>0.21161000653706191</v>
      </c>
      <c r="L43" s="22">
        <f t="shared" si="18"/>
        <v>109247.54398399466</v>
      </c>
      <c r="M43" s="5">
        <f>scrimecost*Meta!O40</f>
        <v>7699.7380000000003</v>
      </c>
      <c r="N43" s="5">
        <f>L43-Grade16!L43</f>
        <v>24491.695704279206</v>
      </c>
      <c r="O43" s="5">
        <f>Grade16!M43-M43</f>
        <v>0</v>
      </c>
      <c r="P43" s="22">
        <f t="shared" si="12"/>
        <v>0</v>
      </c>
      <c r="Q43" s="22"/>
      <c r="R43" s="22"/>
      <c r="S43" s="22">
        <f t="shared" si="6"/>
        <v>2977.0145962465458</v>
      </c>
      <c r="T43" s="22">
        <f t="shared" si="7"/>
        <v>914.95906426874069</v>
      </c>
    </row>
    <row r="44" spans="1:20" x14ac:dyDescent="0.2">
      <c r="A44" s="5">
        <v>53</v>
      </c>
      <c r="B44" s="1">
        <f t="shared" si="13"/>
        <v>2.097567579081788</v>
      </c>
      <c r="C44" s="5">
        <f t="shared" si="14"/>
        <v>68756.875682118189</v>
      </c>
      <c r="D44" s="5">
        <f t="shared" si="15"/>
        <v>65620.620016873218</v>
      </c>
      <c r="E44" s="5">
        <f t="shared" si="1"/>
        <v>56120.620016873218</v>
      </c>
      <c r="F44" s="5">
        <f t="shared" si="2"/>
        <v>20787.194437196427</v>
      </c>
      <c r="G44" s="5">
        <f t="shared" si="3"/>
        <v>44833.42557967679</v>
      </c>
      <c r="H44" s="22">
        <f t="shared" si="16"/>
        <v>30043.358374061456</v>
      </c>
      <c r="I44" s="5">
        <f t="shared" si="17"/>
        <v>73104.225809668627</v>
      </c>
      <c r="J44" s="25">
        <f t="shared" si="5"/>
        <v>0.21368803294235469</v>
      </c>
      <c r="L44" s="22">
        <f t="shared" si="18"/>
        <v>111978.73258359449</v>
      </c>
      <c r="M44" s="5">
        <f>scrimecost*Meta!O41</f>
        <v>7699.7380000000003</v>
      </c>
      <c r="N44" s="5">
        <f>L44-Grade16!L44</f>
        <v>25103.988096886125</v>
      </c>
      <c r="O44" s="5">
        <f>Grade16!M44-M44</f>
        <v>0</v>
      </c>
      <c r="P44" s="22">
        <f t="shared" si="12"/>
        <v>0</v>
      </c>
      <c r="Q44" s="22"/>
      <c r="R44" s="22"/>
      <c r="S44" s="22">
        <f t="shared" si="6"/>
        <v>3051.4399611527019</v>
      </c>
      <c r="T44" s="22">
        <f t="shared" si="7"/>
        <v>901.66709147851179</v>
      </c>
    </row>
    <row r="45" spans="1:20" x14ac:dyDescent="0.2">
      <c r="A45" s="5">
        <v>54</v>
      </c>
      <c r="B45" s="1">
        <f t="shared" si="13"/>
        <v>2.1500067685588333</v>
      </c>
      <c r="C45" s="5">
        <f t="shared" si="14"/>
        <v>70475.797574171156</v>
      </c>
      <c r="D45" s="5">
        <f t="shared" si="15"/>
        <v>67238.125517295062</v>
      </c>
      <c r="E45" s="5">
        <f t="shared" si="1"/>
        <v>57738.125517295062</v>
      </c>
      <c r="F45" s="5">
        <f t="shared" si="2"/>
        <v>21477.060533126343</v>
      </c>
      <c r="G45" s="5">
        <f t="shared" si="3"/>
        <v>45761.064984168719</v>
      </c>
      <c r="H45" s="22">
        <f t="shared" si="16"/>
        <v>30794.442333413001</v>
      </c>
      <c r="I45" s="5">
        <f t="shared" si="17"/>
        <v>74738.635219910357</v>
      </c>
      <c r="J45" s="25">
        <f t="shared" si="5"/>
        <v>0.21571537577678676</v>
      </c>
      <c r="L45" s="22">
        <f t="shared" si="18"/>
        <v>114778.2008981844</v>
      </c>
      <c r="M45" s="5">
        <f>scrimecost*Meta!O42</f>
        <v>7699.7380000000003</v>
      </c>
      <c r="N45" s="5">
        <f>L45-Grade16!L45</f>
        <v>25731.587799308341</v>
      </c>
      <c r="O45" s="5">
        <f>Grade16!M45-M45</f>
        <v>0</v>
      </c>
      <c r="P45" s="22">
        <f t="shared" si="12"/>
        <v>0</v>
      </c>
      <c r="Q45" s="22"/>
      <c r="R45" s="22"/>
      <c r="S45" s="22">
        <f t="shared" ref="S45:S69" si="19">IF(A45&lt;startage,1,0)*(N45-Q45-R45)+IF(A45&gt;=startage,1,0)*completionprob*(N45*spart+O45+P45)</f>
        <v>3127.7259601815272</v>
      </c>
      <c r="T45" s="22">
        <f t="shared" ref="T45:T69" si="20">S45/sreturn^(A45-startage+1)</f>
        <v>888.56821644266313</v>
      </c>
    </row>
    <row r="46" spans="1:20" x14ac:dyDescent="0.2">
      <c r="A46" s="5">
        <v>55</v>
      </c>
      <c r="B46" s="1">
        <f t="shared" si="13"/>
        <v>2.2037569377728037</v>
      </c>
      <c r="C46" s="5">
        <f t="shared" si="14"/>
        <v>72237.692513525428</v>
      </c>
      <c r="D46" s="5">
        <f t="shared" si="15"/>
        <v>68896.068655227427</v>
      </c>
      <c r="E46" s="5">
        <f t="shared" si="1"/>
        <v>59396.068655227427</v>
      </c>
      <c r="F46" s="5">
        <f t="shared" si="2"/>
        <v>22184.173281454496</v>
      </c>
      <c r="G46" s="5">
        <f t="shared" si="3"/>
        <v>46711.895373772932</v>
      </c>
      <c r="H46" s="22">
        <f t="shared" si="16"/>
        <v>31564.303391748315</v>
      </c>
      <c r="I46" s="5">
        <f t="shared" si="17"/>
        <v>76413.904865408098</v>
      </c>
      <c r="J46" s="25">
        <f t="shared" si="5"/>
        <v>0.21769327122501309</v>
      </c>
      <c r="L46" s="22">
        <f t="shared" si="18"/>
        <v>117647.65592063899</v>
      </c>
      <c r="M46" s="5">
        <f>scrimecost*Meta!O43</f>
        <v>4270.7550000000001</v>
      </c>
      <c r="N46" s="5">
        <f>L46-Grade16!L46</f>
        <v>26374.877494291053</v>
      </c>
      <c r="O46" s="5">
        <f>Grade16!M46-M46</f>
        <v>0</v>
      </c>
      <c r="P46" s="22">
        <f t="shared" si="12"/>
        <v>0</v>
      </c>
      <c r="Q46" s="22"/>
      <c r="R46" s="22"/>
      <c r="S46" s="22">
        <f t="shared" si="19"/>
        <v>3205.9191091860657</v>
      </c>
      <c r="T46" s="22">
        <f t="shared" si="20"/>
        <v>875.65963395361416</v>
      </c>
    </row>
    <row r="47" spans="1:20" x14ac:dyDescent="0.2">
      <c r="A47" s="5">
        <v>56</v>
      </c>
      <c r="B47" s="1">
        <f t="shared" si="13"/>
        <v>2.2588508612171236</v>
      </c>
      <c r="C47" s="5">
        <f t="shared" si="14"/>
        <v>74043.634826363545</v>
      </c>
      <c r="D47" s="5">
        <f t="shared" si="15"/>
        <v>70595.460371608089</v>
      </c>
      <c r="E47" s="5">
        <f t="shared" si="1"/>
        <v>61095.460371608089</v>
      </c>
      <c r="F47" s="5">
        <f t="shared" si="2"/>
        <v>22908.96384849085</v>
      </c>
      <c r="G47" s="5">
        <f t="shared" si="3"/>
        <v>47686.496523117239</v>
      </c>
      <c r="H47" s="22">
        <f t="shared" si="16"/>
        <v>32353.410976542022</v>
      </c>
      <c r="I47" s="5">
        <f t="shared" si="17"/>
        <v>78131.056252043287</v>
      </c>
      <c r="J47" s="25">
        <f t="shared" si="5"/>
        <v>0.21962292532084363</v>
      </c>
      <c r="L47" s="22">
        <f t="shared" si="18"/>
        <v>120588.84731865495</v>
      </c>
      <c r="M47" s="5">
        <f>scrimecost*Meta!O44</f>
        <v>4270.7550000000001</v>
      </c>
      <c r="N47" s="5">
        <f>L47-Grade16!L47</f>
        <v>27034.249431648306</v>
      </c>
      <c r="O47" s="5">
        <f>Grade16!M47-M47</f>
        <v>0</v>
      </c>
      <c r="P47" s="22">
        <f t="shared" si="12"/>
        <v>0</v>
      </c>
      <c r="Q47" s="22"/>
      <c r="R47" s="22"/>
      <c r="S47" s="22">
        <f t="shared" si="19"/>
        <v>3286.0670869157143</v>
      </c>
      <c r="T47" s="22">
        <f t="shared" si="20"/>
        <v>862.93857955615385</v>
      </c>
    </row>
    <row r="48" spans="1:20" x14ac:dyDescent="0.2">
      <c r="A48" s="5">
        <v>57</v>
      </c>
      <c r="B48" s="1">
        <f t="shared" si="13"/>
        <v>2.3153221327475517</v>
      </c>
      <c r="C48" s="5">
        <f t="shared" si="14"/>
        <v>75894.725697022644</v>
      </c>
      <c r="D48" s="5">
        <f t="shared" si="15"/>
        <v>72337.336880898307</v>
      </c>
      <c r="E48" s="5">
        <f t="shared" si="1"/>
        <v>62837.336880898307</v>
      </c>
      <c r="F48" s="5">
        <f t="shared" si="2"/>
        <v>23651.874179703125</v>
      </c>
      <c r="G48" s="5">
        <f t="shared" si="3"/>
        <v>48685.462701195182</v>
      </c>
      <c r="H48" s="22">
        <f t="shared" si="16"/>
        <v>33162.24625095557</v>
      </c>
      <c r="I48" s="5">
        <f t="shared" si="17"/>
        <v>79891.136423344375</v>
      </c>
      <c r="J48" s="25">
        <f t="shared" si="5"/>
        <v>0.22150551468262963</v>
      </c>
      <c r="L48" s="22">
        <f t="shared" si="18"/>
        <v>123603.56850162132</v>
      </c>
      <c r="M48" s="5">
        <f>scrimecost*Meta!O45</f>
        <v>4270.7550000000001</v>
      </c>
      <c r="N48" s="5">
        <f>L48-Grade16!L48</f>
        <v>27710.105667439522</v>
      </c>
      <c r="O48" s="5">
        <f>Grade16!M48-M48</f>
        <v>0</v>
      </c>
      <c r="P48" s="22">
        <f t="shared" si="12"/>
        <v>0</v>
      </c>
      <c r="Q48" s="22"/>
      <c r="R48" s="22"/>
      <c r="S48" s="22">
        <f t="shared" si="19"/>
        <v>3368.2187640886086</v>
      </c>
      <c r="T48" s="22">
        <f t="shared" si="20"/>
        <v>850.40232895540782</v>
      </c>
    </row>
    <row r="49" spans="1:20" x14ac:dyDescent="0.2">
      <c r="A49" s="5">
        <v>58</v>
      </c>
      <c r="B49" s="1">
        <f t="shared" si="13"/>
        <v>2.3732051860662402</v>
      </c>
      <c r="C49" s="5">
        <f t="shared" si="14"/>
        <v>77792.093839448193</v>
      </c>
      <c r="D49" s="5">
        <f t="shared" si="15"/>
        <v>74122.760302920753</v>
      </c>
      <c r="E49" s="5">
        <f t="shared" si="1"/>
        <v>64622.760302920753</v>
      </c>
      <c r="F49" s="5">
        <f t="shared" si="2"/>
        <v>24413.357269195702</v>
      </c>
      <c r="G49" s="5">
        <f t="shared" si="3"/>
        <v>49709.403033725052</v>
      </c>
      <c r="H49" s="22">
        <f t="shared" si="16"/>
        <v>33991.302407229457</v>
      </c>
      <c r="I49" s="5">
        <f t="shared" si="17"/>
        <v>81695.218598927968</v>
      </c>
      <c r="J49" s="25">
        <f t="shared" si="5"/>
        <v>0.22334218723071353</v>
      </c>
      <c r="L49" s="22">
        <f t="shared" si="18"/>
        <v>126693.65771416185</v>
      </c>
      <c r="M49" s="5">
        <f>scrimecost*Meta!O46</f>
        <v>4270.7550000000001</v>
      </c>
      <c r="N49" s="5">
        <f>L49-Grade16!L49</f>
        <v>28402.858309125499</v>
      </c>
      <c r="O49" s="5">
        <f>Grade16!M49-M49</f>
        <v>0</v>
      </c>
      <c r="P49" s="22">
        <f t="shared" si="12"/>
        <v>0</v>
      </c>
      <c r="Q49" s="22"/>
      <c r="R49" s="22"/>
      <c r="S49" s="22">
        <f t="shared" si="19"/>
        <v>3452.4242331908222</v>
      </c>
      <c r="T49" s="22">
        <f t="shared" si="20"/>
        <v>838.04819743340897</v>
      </c>
    </row>
    <row r="50" spans="1:20" x14ac:dyDescent="0.2">
      <c r="A50" s="5">
        <v>59</v>
      </c>
      <c r="B50" s="1">
        <f t="shared" si="13"/>
        <v>2.4325353157178964</v>
      </c>
      <c r="C50" s="5">
        <f t="shared" si="14"/>
        <v>79736.896185434409</v>
      </c>
      <c r="D50" s="5">
        <f t="shared" si="15"/>
        <v>75952.819310493782</v>
      </c>
      <c r="E50" s="5">
        <f t="shared" si="1"/>
        <v>66452.819310493782</v>
      </c>
      <c r="F50" s="5">
        <f t="shared" si="2"/>
        <v>25193.877435925599</v>
      </c>
      <c r="G50" s="5">
        <f t="shared" si="3"/>
        <v>50758.941874568183</v>
      </c>
      <c r="H50" s="22">
        <f t="shared" si="16"/>
        <v>34841.084967410192</v>
      </c>
      <c r="I50" s="5">
        <f t="shared" si="17"/>
        <v>83544.402828901177</v>
      </c>
      <c r="J50" s="25">
        <f t="shared" si="5"/>
        <v>0.22513406288738075</v>
      </c>
      <c r="L50" s="22">
        <f t="shared" si="18"/>
        <v>129860.99915701589</v>
      </c>
      <c r="M50" s="5">
        <f>scrimecost*Meta!O47</f>
        <v>4270.7550000000001</v>
      </c>
      <c r="N50" s="5">
        <f>L50-Grade16!L50</f>
        <v>29112.929766853631</v>
      </c>
      <c r="O50" s="5">
        <f>Grade16!M50-M50</f>
        <v>0</v>
      </c>
      <c r="P50" s="22">
        <f t="shared" si="12"/>
        <v>0</v>
      </c>
      <c r="Q50" s="22"/>
      <c r="R50" s="22"/>
      <c r="S50" s="22">
        <f t="shared" si="19"/>
        <v>3538.7348390205925</v>
      </c>
      <c r="T50" s="22">
        <f t="shared" si="20"/>
        <v>825.87353927415427</v>
      </c>
    </row>
    <row r="51" spans="1:20" x14ac:dyDescent="0.2">
      <c r="A51" s="5">
        <v>60</v>
      </c>
      <c r="B51" s="1">
        <f t="shared" si="13"/>
        <v>2.4933486986108435</v>
      </c>
      <c r="C51" s="5">
        <f t="shared" si="14"/>
        <v>81730.318590070252</v>
      </c>
      <c r="D51" s="5">
        <f t="shared" si="15"/>
        <v>77828.629793256099</v>
      </c>
      <c r="E51" s="5">
        <f t="shared" si="1"/>
        <v>68328.629793256099</v>
      </c>
      <c r="F51" s="5">
        <f t="shared" si="2"/>
        <v>25993.910606823727</v>
      </c>
      <c r="G51" s="5">
        <f t="shared" si="3"/>
        <v>51834.719186432369</v>
      </c>
      <c r="H51" s="22">
        <f t="shared" si="16"/>
        <v>35712.112091595445</v>
      </c>
      <c r="I51" s="5">
        <f t="shared" si="17"/>
        <v>85439.816664623679</v>
      </c>
      <c r="J51" s="25">
        <f t="shared" si="5"/>
        <v>0.22688223425973891</v>
      </c>
      <c r="L51" s="22">
        <f t="shared" si="18"/>
        <v>133107.52413594129</v>
      </c>
      <c r="M51" s="5">
        <f>scrimecost*Meta!O48</f>
        <v>2252.9780000000001</v>
      </c>
      <c r="N51" s="5">
        <f>L51-Grade16!L51</f>
        <v>29840.753011024994</v>
      </c>
      <c r="O51" s="5">
        <f>Grade16!M51-M51</f>
        <v>0</v>
      </c>
      <c r="P51" s="22">
        <f t="shared" si="12"/>
        <v>0</v>
      </c>
      <c r="Q51" s="22"/>
      <c r="R51" s="22"/>
      <c r="S51" s="22">
        <f t="shared" si="19"/>
        <v>3627.2032099961098</v>
      </c>
      <c r="T51" s="22">
        <f t="shared" si="20"/>
        <v>813.87574719700456</v>
      </c>
    </row>
    <row r="52" spans="1:20" x14ac:dyDescent="0.2">
      <c r="A52" s="5">
        <v>61</v>
      </c>
      <c r="B52" s="1">
        <f t="shared" si="13"/>
        <v>2.555682416076114</v>
      </c>
      <c r="C52" s="5">
        <f t="shared" si="14"/>
        <v>83773.576554821993</v>
      </c>
      <c r="D52" s="5">
        <f t="shared" si="15"/>
        <v>79751.3355380875</v>
      </c>
      <c r="E52" s="5">
        <f t="shared" si="1"/>
        <v>70251.3355380875</v>
      </c>
      <c r="F52" s="5">
        <f t="shared" si="2"/>
        <v>26813.944606994319</v>
      </c>
      <c r="G52" s="5">
        <f t="shared" si="3"/>
        <v>52937.390931093178</v>
      </c>
      <c r="H52" s="22">
        <f t="shared" si="16"/>
        <v>36604.914893885325</v>
      </c>
      <c r="I52" s="5">
        <f t="shared" si="17"/>
        <v>87382.615846239263</v>
      </c>
      <c r="J52" s="25">
        <f t="shared" si="5"/>
        <v>0.22858776730594205</v>
      </c>
      <c r="L52" s="22">
        <f t="shared" si="18"/>
        <v>136435.21223933977</v>
      </c>
      <c r="M52" s="5">
        <f>scrimecost*Meta!O49</f>
        <v>2252.9780000000001</v>
      </c>
      <c r="N52" s="5">
        <f>L52-Grade16!L52</f>
        <v>30586.77183630057</v>
      </c>
      <c r="O52" s="5">
        <f>Grade16!M52-M52</f>
        <v>0</v>
      </c>
      <c r="P52" s="22">
        <f t="shared" si="12"/>
        <v>0</v>
      </c>
      <c r="Q52" s="22"/>
      <c r="R52" s="22"/>
      <c r="S52" s="22">
        <f t="shared" si="19"/>
        <v>3717.8832902460067</v>
      </c>
      <c r="T52" s="22">
        <f t="shared" si="20"/>
        <v>802.05225179831666</v>
      </c>
    </row>
    <row r="53" spans="1:20" x14ac:dyDescent="0.2">
      <c r="A53" s="5">
        <v>62</v>
      </c>
      <c r="B53" s="1">
        <f t="shared" si="13"/>
        <v>2.6195744764780171</v>
      </c>
      <c r="C53" s="5">
        <f t="shared" si="14"/>
        <v>85867.915968692556</v>
      </c>
      <c r="D53" s="5">
        <f t="shared" si="15"/>
        <v>81722.108926539688</v>
      </c>
      <c r="E53" s="5">
        <f t="shared" si="1"/>
        <v>72222.108926539688</v>
      </c>
      <c r="F53" s="5">
        <f t="shared" si="2"/>
        <v>27654.479457169178</v>
      </c>
      <c r="G53" s="5">
        <f t="shared" si="3"/>
        <v>54067.629469370513</v>
      </c>
      <c r="H53" s="22">
        <f t="shared" si="16"/>
        <v>37520.037766232461</v>
      </c>
      <c r="I53" s="5">
        <f t="shared" si="17"/>
        <v>89373.985007395269</v>
      </c>
      <c r="J53" s="25">
        <f t="shared" si="5"/>
        <v>0.23025170198516462</v>
      </c>
      <c r="L53" s="22">
        <f t="shared" si="18"/>
        <v>139846.09254532328</v>
      </c>
      <c r="M53" s="5">
        <f>scrimecost*Meta!O50</f>
        <v>2252.9780000000001</v>
      </c>
      <c r="N53" s="5">
        <f>L53-Grade16!L53</f>
        <v>31351.441132208114</v>
      </c>
      <c r="O53" s="5">
        <f>Grade16!M53-M53</f>
        <v>0</v>
      </c>
      <c r="P53" s="22">
        <f t="shared" si="12"/>
        <v>0</v>
      </c>
      <c r="Q53" s="22"/>
      <c r="R53" s="22"/>
      <c r="S53" s="22">
        <f t="shared" si="19"/>
        <v>3810.8303725021601</v>
      </c>
      <c r="T53" s="22">
        <f t="shared" si="20"/>
        <v>790.4005210011984</v>
      </c>
    </row>
    <row r="54" spans="1:20" x14ac:dyDescent="0.2">
      <c r="A54" s="5">
        <v>63</v>
      </c>
      <c r="B54" s="1">
        <f t="shared" si="13"/>
        <v>2.6850638383899672</v>
      </c>
      <c r="C54" s="5">
        <f t="shared" si="14"/>
        <v>88014.613867909866</v>
      </c>
      <c r="D54" s="5">
        <f t="shared" si="15"/>
        <v>83742.151649703184</v>
      </c>
      <c r="E54" s="5">
        <f t="shared" si="1"/>
        <v>74242.151649703184</v>
      </c>
      <c r="F54" s="5">
        <f t="shared" si="2"/>
        <v>28516.02767859841</v>
      </c>
      <c r="G54" s="5">
        <f t="shared" si="3"/>
        <v>55226.123971104775</v>
      </c>
      <c r="H54" s="22">
        <f t="shared" si="16"/>
        <v>38458.038710388268</v>
      </c>
      <c r="I54" s="5">
        <f t="shared" si="17"/>
        <v>91415.138397580129</v>
      </c>
      <c r="J54" s="25">
        <f t="shared" si="5"/>
        <v>0.23187505289172328</v>
      </c>
      <c r="L54" s="22">
        <f t="shared" si="18"/>
        <v>143342.24485895634</v>
      </c>
      <c r="M54" s="5">
        <f>scrimecost*Meta!O51</f>
        <v>2252.9780000000001</v>
      </c>
      <c r="N54" s="5">
        <f>L54-Grade16!L54</f>
        <v>32135.227160513299</v>
      </c>
      <c r="O54" s="5">
        <f>Grade16!M54-M54</f>
        <v>0</v>
      </c>
      <c r="P54" s="22">
        <f t="shared" si="12"/>
        <v>0</v>
      </c>
      <c r="Q54" s="22"/>
      <c r="R54" s="22"/>
      <c r="S54" s="22">
        <f t="shared" si="19"/>
        <v>3906.1011318147121</v>
      </c>
      <c r="T54" s="22">
        <f t="shared" si="20"/>
        <v>778.91805951323443</v>
      </c>
    </row>
    <row r="55" spans="1:20" x14ac:dyDescent="0.2">
      <c r="A55" s="5">
        <v>64</v>
      </c>
      <c r="B55" s="1">
        <f t="shared" si="13"/>
        <v>2.7521904343497163</v>
      </c>
      <c r="C55" s="5">
        <f t="shared" si="14"/>
        <v>90214.979214607592</v>
      </c>
      <c r="D55" s="5">
        <f t="shared" si="15"/>
        <v>85812.695440945739</v>
      </c>
      <c r="E55" s="5">
        <f t="shared" si="1"/>
        <v>76312.695440945739</v>
      </c>
      <c r="F55" s="5">
        <f t="shared" si="2"/>
        <v>29399.114605563358</v>
      </c>
      <c r="G55" s="5">
        <f t="shared" si="3"/>
        <v>56413.580835382381</v>
      </c>
      <c r="H55" s="22">
        <f t="shared" si="16"/>
        <v>39419.489678147977</v>
      </c>
      <c r="I55" s="5">
        <f t="shared" si="17"/>
        <v>93507.320622519619</v>
      </c>
      <c r="J55" s="25">
        <f t="shared" si="5"/>
        <v>0.23345880987373163</v>
      </c>
      <c r="L55" s="22">
        <f t="shared" si="18"/>
        <v>146925.80098043027</v>
      </c>
      <c r="M55" s="5">
        <f>scrimecost*Meta!O52</f>
        <v>2252.9780000000001</v>
      </c>
      <c r="N55" s="5">
        <f>L55-Grade16!L55</f>
        <v>32938.607839526157</v>
      </c>
      <c r="O55" s="5">
        <f>Grade16!M55-M55</f>
        <v>0</v>
      </c>
      <c r="P55" s="22">
        <f t="shared" si="12"/>
        <v>0</v>
      </c>
      <c r="Q55" s="22"/>
      <c r="R55" s="22"/>
      <c r="S55" s="22">
        <f t="shared" si="19"/>
        <v>4003.7536601100833</v>
      </c>
      <c r="T55" s="22">
        <f t="shared" si="20"/>
        <v>767.60240829211659</v>
      </c>
    </row>
    <row r="56" spans="1:20" x14ac:dyDescent="0.2">
      <c r="A56" s="5">
        <v>65</v>
      </c>
      <c r="B56" s="1">
        <f t="shared" si="13"/>
        <v>2.8209951952084591</v>
      </c>
      <c r="C56" s="5">
        <f t="shared" si="14"/>
        <v>92470.353694972786</v>
      </c>
      <c r="D56" s="5">
        <f t="shared" si="15"/>
        <v>87935.002826969387</v>
      </c>
      <c r="E56" s="5">
        <f t="shared" si="1"/>
        <v>78435.002826969387</v>
      </c>
      <c r="F56" s="5">
        <f t="shared" si="2"/>
        <v>30304.278705702443</v>
      </c>
      <c r="G56" s="5">
        <f t="shared" si="3"/>
        <v>57630.724121266947</v>
      </c>
      <c r="H56" s="22">
        <f t="shared" si="16"/>
        <v>40404.976920101668</v>
      </c>
      <c r="I56" s="5">
        <f t="shared" si="17"/>
        <v>95651.80740308261</v>
      </c>
      <c r="J56" s="25">
        <f t="shared" si="5"/>
        <v>0.23500393863666666</v>
      </c>
      <c r="L56" s="22">
        <f t="shared" si="18"/>
        <v>150598.94600494098</v>
      </c>
      <c r="M56" s="5">
        <f>scrimecost*Meta!O53</f>
        <v>680.84500000000003</v>
      </c>
      <c r="N56" s="5">
        <f>L56-Grade16!L56</f>
        <v>33762.073035514259</v>
      </c>
      <c r="O56" s="5">
        <f>Grade16!M56-M56</f>
        <v>0</v>
      </c>
      <c r="P56" s="22">
        <f t="shared" si="12"/>
        <v>0</v>
      </c>
      <c r="Q56" s="22"/>
      <c r="R56" s="22"/>
      <c r="S56" s="22">
        <f t="shared" si="19"/>
        <v>4103.8475016128286</v>
      </c>
      <c r="T56" s="22">
        <f t="shared" si="20"/>
        <v>756.45114401901276</v>
      </c>
    </row>
    <row r="57" spans="1:20" x14ac:dyDescent="0.2">
      <c r="A57" s="5">
        <v>66</v>
      </c>
      <c r="C57" s="5"/>
      <c r="H57" s="21"/>
      <c r="I57" s="5"/>
      <c r="M57" s="5">
        <f>scrimecost*Meta!O54</f>
        <v>680.84500000000003</v>
      </c>
      <c r="N57" s="5">
        <f>L57-Grade16!L57</f>
        <v>0</v>
      </c>
      <c r="O57" s="5">
        <f>Grade16!M57-M57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680.84500000000003</v>
      </c>
      <c r="N58" s="5">
        <f>L58-Grade16!L58</f>
        <v>0</v>
      </c>
      <c r="O58" s="5">
        <f>Grade16!M58-M58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680.84500000000003</v>
      </c>
      <c r="N59" s="5">
        <f>L59-Grade16!L59</f>
        <v>0</v>
      </c>
      <c r="O59" s="5">
        <f>Grade16!M59-M59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680.84500000000003</v>
      </c>
      <c r="N60" s="5">
        <f>L60-Grade16!L60</f>
        <v>0</v>
      </c>
      <c r="O60" s="5">
        <f>Grade16!M60-M60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680.84500000000003</v>
      </c>
      <c r="N61" s="5">
        <f>L61-Grade16!L61</f>
        <v>0</v>
      </c>
      <c r="O61" s="5">
        <f>Grade16!M61-M61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680.84500000000003</v>
      </c>
      <c r="N62" s="5">
        <f>L62-Grade16!L62</f>
        <v>0</v>
      </c>
      <c r="O62" s="5">
        <f>Grade16!M62-M62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680.84500000000003</v>
      </c>
      <c r="N63" s="5">
        <f>L63-Grade16!L63</f>
        <v>0</v>
      </c>
      <c r="O63" s="5">
        <f>Grade16!M63-M63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680.84500000000003</v>
      </c>
      <c r="N64" s="5">
        <f>L64-Grade16!L64</f>
        <v>0</v>
      </c>
      <c r="O64" s="5">
        <f>Grade16!M64-M64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680.84500000000003</v>
      </c>
      <c r="N65" s="5">
        <f>L65-Grade16!L65</f>
        <v>0</v>
      </c>
      <c r="O65" s="5">
        <f>Grade16!M65-M65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680.84500000000003</v>
      </c>
      <c r="N66" s="5">
        <f>L66-Grade16!L66</f>
        <v>0</v>
      </c>
      <c r="O66" s="5">
        <f>Grade16!M66-M66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680.84500000000003</v>
      </c>
      <c r="N67" s="5">
        <f>L67-Grade16!L67</f>
        <v>0</v>
      </c>
      <c r="O67" s="5">
        <f>Grade16!M67-M67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680.84500000000003</v>
      </c>
      <c r="N68" s="5">
        <f>L68-Grade16!L68</f>
        <v>0</v>
      </c>
      <c r="O68" s="5">
        <f>Grade16!M68-M68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680.84500000000003</v>
      </c>
      <c r="N69" s="5">
        <f>L69-Grade16!L69</f>
        <v>0</v>
      </c>
      <c r="O69" s="5">
        <f>Grade16!M69-M69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2.0008883439004421E-10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Meta!A12+6</f>
        <v>24</v>
      </c>
      <c r="C2" s="7">
        <f>Meta!B12</f>
        <v>69182</v>
      </c>
      <c r="D2" s="7">
        <f>Meta!C12</f>
        <v>29467</v>
      </c>
      <c r="E2" s="1">
        <f>Meta!D12</f>
        <v>5.2999999999999999E-2</v>
      </c>
      <c r="F2" s="1">
        <f>Meta!F12</f>
        <v>0.66700000000000004</v>
      </c>
      <c r="G2" s="1">
        <f>Meta!I12</f>
        <v>1.7342811382937739</v>
      </c>
      <c r="H2" s="1">
        <f>Meta!E12</f>
        <v>0.214</v>
      </c>
      <c r="I2" s="13"/>
      <c r="J2" s="1">
        <f>Meta!X11</f>
        <v>0.56799999999999995</v>
      </c>
      <c r="K2" s="1">
        <f>Meta!D11</f>
        <v>5.8999999999999997E-2</v>
      </c>
      <c r="L2" s="28"/>
      <c r="N2" s="22">
        <f>Meta!T12</f>
        <v>93499</v>
      </c>
      <c r="O2" s="22">
        <f>Meta!U12</f>
        <v>40773</v>
      </c>
      <c r="P2" s="1">
        <f>Meta!V12</f>
        <v>8.8999999999999996E-2</v>
      </c>
      <c r="Q2" s="1">
        <f>Meta!X12</f>
        <v>0.56799999999999995</v>
      </c>
      <c r="R2" s="22">
        <f>Meta!W12</f>
        <v>12379</v>
      </c>
      <c r="T2" s="12">
        <f>IRR(S5:S69)+1</f>
        <v>1.0417537824652863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5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5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C13" s="5"/>
      <c r="D13" s="5"/>
      <c r="E13" s="5"/>
      <c r="F13" s="5"/>
      <c r="G13" s="5"/>
      <c r="H13" s="22"/>
      <c r="I13" s="5"/>
      <c r="J13" s="25"/>
      <c r="L13" s="22"/>
      <c r="M13" s="5"/>
      <c r="N13" s="5"/>
      <c r="O13" s="5"/>
      <c r="P13" s="22"/>
      <c r="Q13" s="22"/>
      <c r="R13" s="22"/>
      <c r="S13" s="22"/>
      <c r="T13" s="22"/>
    </row>
    <row r="14" spans="1:20" x14ac:dyDescent="0.2">
      <c r="A14" s="5">
        <v>23</v>
      </c>
      <c r="B14" s="1">
        <v>1</v>
      </c>
      <c r="C14" s="5">
        <f>0.1*Grade17!C14</f>
        <v>3277.9337537347219</v>
      </c>
      <c r="D14" s="5">
        <f t="shared" ref="D14:D36" si="0">IF(A14&lt;startage,1,0)*(C14*(1-initialunempprob))+IF(A14=startage,1,0)*(C14*(1-unempprob))+IF(A14&gt;startage,1,0)*(C14*(1-unempprob)+unempprob*300*52)</f>
        <v>3084.5356622643735</v>
      </c>
      <c r="E14" s="5">
        <f t="shared" ref="E14:E56" si="1">IF(D14-9500&gt;0,1,0)*(D14-9500)</f>
        <v>0</v>
      </c>
      <c r="F14" s="5">
        <f t="shared" ref="F14:F56" si="2">IF(E14&lt;=8500,1,0)*(0.1*E14+0.1*E14+0.0765*D14)+IF(AND(E14&gt;8500,E14&lt;=34500),1,0)*(850+0.15*(E14-8500)+0.1*E14+0.0765*D14)+IF(AND(E14&gt;34500,E14&lt;=83600),1,0)*(4750+0.25*(E14-34500)+0.1*E14+0.0765*D14)+IF(AND(E14&gt;83600,E14&lt;=174400,D14&lt;=106800),1,0)*(17025+0.28*(E14-83600)+0.1*E14+0.0765*D14)+IF(AND(E14&gt;83600,E14&lt;=174400,D14&gt;106800),1,0)*(17025+0.28*(E14-83600)+0.1*E14+8170.2+0.0145*(D14-106800))+IF(AND(E14&gt;174400,E14&lt;=379150),1,0)*(42449+0.33*(E14-174400)+0.1*E14+8170.2+0.0145*(D14-106800))+IF(E14&gt;379150,1,0)*(110016.5+0.35*(E14-379150)+0.1*E14+8170.2+0.0145*(D14-106800))</f>
        <v>235.96697816322458</v>
      </c>
      <c r="G14" s="5">
        <f t="shared" ref="G14:G56" si="3">D14-F14</f>
        <v>2848.5686841011488</v>
      </c>
      <c r="H14" s="22">
        <f>0.1*Grade17!H14</f>
        <v>1432.2951343104264</v>
      </c>
      <c r="I14" s="5">
        <f t="shared" ref="I14:I36" si="4">G14+IF(A14&lt;startage,1,0)*(H14*(1-initialunempprob))+IF(A14&gt;=startage,1,0)*(H14*(1-unempprob))</f>
        <v>4196.3584054872599</v>
      </c>
      <c r="J14" s="25">
        <f t="shared" ref="J14:J56" si="5">(F14-(IF(A14&gt;startage,1,0)*(unempprob*300*52)))/(IF(A14&lt;startage,1,0)*((C14+H14)*(1-initialunempprob))+IF(A14&gt;=startage,1,0)*((C14+H14)*(1-unempprob)))</f>
        <v>5.3237738148384992E-2</v>
      </c>
      <c r="L14" s="22">
        <f>0.1*Grade17!L14</f>
        <v>5338.5041655064715</v>
      </c>
      <c r="M14" s="5">
        <f>scrimecost*Meta!O11</f>
        <v>32482.496000000003</v>
      </c>
      <c r="N14" s="5">
        <f>L14-Grade17!L14</f>
        <v>-48046.537489558243</v>
      </c>
      <c r="O14" s="5"/>
      <c r="P14" s="22"/>
      <c r="Q14" s="22">
        <f>0.05*feel*Grade17!G14</f>
        <v>330.04086759490781</v>
      </c>
      <c r="R14" s="22">
        <f>coltuition</f>
        <v>8279</v>
      </c>
      <c r="S14" s="22">
        <f t="shared" ref="S14:S45" si="6">IF(A14&lt;startage,1,0)*(N14-Q14-R14)+IF(A14&gt;=startage,1,0)*completionprob*(N14*spart+O14+P14)</f>
        <v>-56655.57835715315</v>
      </c>
      <c r="T14" s="22">
        <f t="shared" ref="T14:T45" si="7">S14/sreturn^(A14-startage+1)</f>
        <v>-56655.57835715315</v>
      </c>
    </row>
    <row r="15" spans="1:20" x14ac:dyDescent="0.2">
      <c r="A15" s="5">
        <v>24</v>
      </c>
      <c r="B15" s="1">
        <f t="shared" ref="B15:B36" si="8">(1+experiencepremium)^(A15-startage)</f>
        <v>1</v>
      </c>
      <c r="C15" s="5">
        <f t="shared" ref="C15:C36" si="9">pretaxincome*B15/expnorm</f>
        <v>39890.879553739978</v>
      </c>
      <c r="D15" s="5">
        <f t="shared" si="0"/>
        <v>37776.66293739176</v>
      </c>
      <c r="E15" s="5">
        <f t="shared" si="1"/>
        <v>28276.66293739176</v>
      </c>
      <c r="F15" s="5">
        <f t="shared" si="2"/>
        <v>9534.0804490584087</v>
      </c>
      <c r="G15" s="5">
        <f t="shared" si="3"/>
        <v>28242.582488333352</v>
      </c>
      <c r="H15" s="22">
        <f t="shared" ref="H15:H36" si="10">benefits*B15/expnorm</f>
        <v>16990.901503426554</v>
      </c>
      <c r="I15" s="5">
        <f t="shared" si="4"/>
        <v>44332.966212078296</v>
      </c>
      <c r="J15" s="25">
        <f t="shared" si="5"/>
        <v>0.17699281917263404</v>
      </c>
      <c r="L15" s="22">
        <f t="shared" ref="L15:L36" si="11">(sincome+sbenefits)*(1-sunemp)*B15/expnorm</f>
        <v>70531.697138990407</v>
      </c>
      <c r="M15" s="5">
        <f>scrimecost*Meta!O12</f>
        <v>31034.153000000002</v>
      </c>
      <c r="N15" s="5">
        <f>L15-Grade17!L15</f>
        <v>15812.029442549079</v>
      </c>
      <c r="O15" s="5">
        <f>Grade17!M15-M15</f>
        <v>0</v>
      </c>
      <c r="P15" s="22">
        <f t="shared" ref="P15:P56" si="12">(spart-initialspart)*(L15*J15+nptrans)</f>
        <v>0</v>
      </c>
      <c r="Q15" s="22"/>
      <c r="R15" s="22"/>
      <c r="S15" s="22">
        <f t="shared" si="6"/>
        <v>1921.9838028007257</v>
      </c>
      <c r="T15" s="22">
        <f t="shared" si="7"/>
        <v>1844.9501553547475</v>
      </c>
    </row>
    <row r="16" spans="1:20" x14ac:dyDescent="0.2">
      <c r="A16" s="5">
        <v>25</v>
      </c>
      <c r="B16" s="1">
        <f t="shared" si="8"/>
        <v>1.0249999999999999</v>
      </c>
      <c r="C16" s="5">
        <f t="shared" si="9"/>
        <v>40888.151542583466</v>
      </c>
      <c r="D16" s="5">
        <f t="shared" si="0"/>
        <v>39547.87951082654</v>
      </c>
      <c r="E16" s="5">
        <f t="shared" si="1"/>
        <v>30047.87951082654</v>
      </c>
      <c r="F16" s="5">
        <f t="shared" si="2"/>
        <v>10112.382660284866</v>
      </c>
      <c r="G16" s="5">
        <f t="shared" si="3"/>
        <v>29435.496850541676</v>
      </c>
      <c r="H16" s="22">
        <f t="shared" si="10"/>
        <v>17415.674041012215</v>
      </c>
      <c r="I16" s="5">
        <f t="shared" si="4"/>
        <v>45928.140167380247</v>
      </c>
      <c r="J16" s="25">
        <f t="shared" si="5"/>
        <v>0.16817526847931144</v>
      </c>
      <c r="L16" s="22">
        <f t="shared" si="11"/>
        <v>72294.989567465163</v>
      </c>
      <c r="M16" s="5">
        <f>scrimecost*Meta!O13</f>
        <v>26057.794999999998</v>
      </c>
      <c r="N16" s="5">
        <f>L16-Grade17!L16</f>
        <v>16207.3301786128</v>
      </c>
      <c r="O16" s="5">
        <f>Grade17!M16-M16</f>
        <v>0</v>
      </c>
      <c r="P16" s="22">
        <f t="shared" si="12"/>
        <v>0</v>
      </c>
      <c r="Q16" s="22"/>
      <c r="R16" s="22"/>
      <c r="S16" s="22">
        <f t="shared" si="6"/>
        <v>1970.0333978707429</v>
      </c>
      <c r="T16" s="22">
        <f t="shared" si="7"/>
        <v>1815.2791389568392</v>
      </c>
    </row>
    <row r="17" spans="1:20" x14ac:dyDescent="0.2">
      <c r="A17" s="5">
        <v>26</v>
      </c>
      <c r="B17" s="1">
        <f t="shared" si="8"/>
        <v>1.0506249999999999</v>
      </c>
      <c r="C17" s="5">
        <f t="shared" si="9"/>
        <v>41910.355331148057</v>
      </c>
      <c r="D17" s="5">
        <f t="shared" si="0"/>
        <v>40515.906498597215</v>
      </c>
      <c r="E17" s="5">
        <f t="shared" si="1"/>
        <v>31015.906498597215</v>
      </c>
      <c r="F17" s="5">
        <f t="shared" si="2"/>
        <v>10428.44347179199</v>
      </c>
      <c r="G17" s="5">
        <f t="shared" si="3"/>
        <v>30087.463026805224</v>
      </c>
      <c r="H17" s="22">
        <f t="shared" si="10"/>
        <v>17851.065892037521</v>
      </c>
      <c r="I17" s="5">
        <f t="shared" si="4"/>
        <v>46992.422426564757</v>
      </c>
      <c r="J17" s="25">
        <f t="shared" si="5"/>
        <v>0.16965813145562994</v>
      </c>
      <c r="L17" s="22">
        <f t="shared" si="11"/>
        <v>74102.364306651783</v>
      </c>
      <c r="M17" s="5">
        <f>scrimecost*Meta!O14</f>
        <v>26057.794999999998</v>
      </c>
      <c r="N17" s="5">
        <f>L17-Grade17!L17</f>
        <v>16612.513433078115</v>
      </c>
      <c r="O17" s="5">
        <f>Grade17!M17-M17</f>
        <v>0</v>
      </c>
      <c r="P17" s="22">
        <f t="shared" si="12"/>
        <v>0</v>
      </c>
      <c r="Q17" s="22"/>
      <c r="R17" s="22"/>
      <c r="S17" s="22">
        <f t="shared" si="6"/>
        <v>2019.2842328175109</v>
      </c>
      <c r="T17" s="22">
        <f t="shared" si="7"/>
        <v>1786.0853003360814</v>
      </c>
    </row>
    <row r="18" spans="1:20" x14ac:dyDescent="0.2">
      <c r="A18" s="5">
        <v>27</v>
      </c>
      <c r="B18" s="1">
        <f t="shared" si="8"/>
        <v>1.0768906249999999</v>
      </c>
      <c r="C18" s="5">
        <f t="shared" si="9"/>
        <v>42958.114214426758</v>
      </c>
      <c r="D18" s="5">
        <f t="shared" si="0"/>
        <v>41508.134161062138</v>
      </c>
      <c r="E18" s="5">
        <f t="shared" si="1"/>
        <v>32008.134161062138</v>
      </c>
      <c r="F18" s="5">
        <f t="shared" si="2"/>
        <v>10752.405803586789</v>
      </c>
      <c r="G18" s="5">
        <f t="shared" si="3"/>
        <v>30755.728357475349</v>
      </c>
      <c r="H18" s="22">
        <f t="shared" si="10"/>
        <v>18297.34253933846</v>
      </c>
      <c r="I18" s="5">
        <f t="shared" si="4"/>
        <v>48083.311742228871</v>
      </c>
      <c r="J18" s="25">
        <f t="shared" si="5"/>
        <v>0.17110482704228205</v>
      </c>
      <c r="L18" s="22">
        <f t="shared" si="11"/>
        <v>75954.92341431808</v>
      </c>
      <c r="M18" s="5">
        <f>scrimecost*Meta!O15</f>
        <v>26057.794999999998</v>
      </c>
      <c r="N18" s="5">
        <f>L18-Grade17!L18</f>
        <v>17027.826268905075</v>
      </c>
      <c r="O18" s="5">
        <f>Grade17!M18-M18</f>
        <v>0</v>
      </c>
      <c r="P18" s="22">
        <f t="shared" si="12"/>
        <v>0</v>
      </c>
      <c r="Q18" s="22"/>
      <c r="R18" s="22"/>
      <c r="S18" s="22">
        <f t="shared" si="6"/>
        <v>2069.7663386379495</v>
      </c>
      <c r="T18" s="22">
        <f t="shared" si="7"/>
        <v>1757.3609653829012</v>
      </c>
    </row>
    <row r="19" spans="1:20" x14ac:dyDescent="0.2">
      <c r="A19" s="5">
        <v>28</v>
      </c>
      <c r="B19" s="1">
        <f t="shared" si="8"/>
        <v>1.1038128906249998</v>
      </c>
      <c r="C19" s="5">
        <f t="shared" si="9"/>
        <v>44032.067069787423</v>
      </c>
      <c r="D19" s="5">
        <f t="shared" si="0"/>
        <v>42525.167515088688</v>
      </c>
      <c r="E19" s="5">
        <f t="shared" si="1"/>
        <v>33025.167515088688</v>
      </c>
      <c r="F19" s="5">
        <f t="shared" si="2"/>
        <v>11084.467193676457</v>
      </c>
      <c r="G19" s="5">
        <f t="shared" si="3"/>
        <v>31440.700321412231</v>
      </c>
      <c r="H19" s="22">
        <f t="shared" si="10"/>
        <v>18754.776102821917</v>
      </c>
      <c r="I19" s="5">
        <f t="shared" si="4"/>
        <v>49201.47329078459</v>
      </c>
      <c r="J19" s="25">
        <f t="shared" si="5"/>
        <v>0.17251623737072319</v>
      </c>
      <c r="L19" s="22">
        <f t="shared" si="11"/>
        <v>77853.796499676027</v>
      </c>
      <c r="M19" s="5">
        <f>scrimecost*Meta!O16</f>
        <v>26057.794999999998</v>
      </c>
      <c r="N19" s="5">
        <f>L19-Grade17!L19</f>
        <v>17453.521925627705</v>
      </c>
      <c r="O19" s="5">
        <f>Grade17!M19-M19</f>
        <v>0</v>
      </c>
      <c r="P19" s="22">
        <f t="shared" si="12"/>
        <v>0</v>
      </c>
      <c r="Q19" s="22"/>
      <c r="R19" s="22"/>
      <c r="S19" s="22">
        <f t="shared" si="6"/>
        <v>2121.5104971038986</v>
      </c>
      <c r="T19" s="22">
        <f t="shared" si="7"/>
        <v>1729.0985834049491</v>
      </c>
    </row>
    <row r="20" spans="1:20" x14ac:dyDescent="0.2">
      <c r="A20" s="5">
        <v>29</v>
      </c>
      <c r="B20" s="1">
        <f t="shared" si="8"/>
        <v>1.1314082128906247</v>
      </c>
      <c r="C20" s="5">
        <f t="shared" si="9"/>
        <v>45132.868746532105</v>
      </c>
      <c r="D20" s="5">
        <f t="shared" si="0"/>
        <v>43567.626702965907</v>
      </c>
      <c r="E20" s="5">
        <f t="shared" si="1"/>
        <v>34067.626702965907</v>
      </c>
      <c r="F20" s="5">
        <f t="shared" si="2"/>
        <v>11424.830118518368</v>
      </c>
      <c r="G20" s="5">
        <f t="shared" si="3"/>
        <v>32142.79658444754</v>
      </c>
      <c r="H20" s="22">
        <f t="shared" si="10"/>
        <v>19223.645505392466</v>
      </c>
      <c r="I20" s="5">
        <f t="shared" si="4"/>
        <v>50347.588878054201</v>
      </c>
      <c r="J20" s="25">
        <f t="shared" si="5"/>
        <v>0.17389322305700722</v>
      </c>
      <c r="L20" s="22">
        <f t="shared" si="11"/>
        <v>79800.141412167912</v>
      </c>
      <c r="M20" s="5">
        <f>scrimecost*Meta!O17</f>
        <v>26057.794999999998</v>
      </c>
      <c r="N20" s="5">
        <f>L20-Grade17!L20</f>
        <v>17889.859973768391</v>
      </c>
      <c r="O20" s="5">
        <f>Grade17!M20-M20</f>
        <v>0</v>
      </c>
      <c r="P20" s="22">
        <f t="shared" si="12"/>
        <v>0</v>
      </c>
      <c r="Q20" s="22"/>
      <c r="R20" s="22"/>
      <c r="S20" s="22">
        <f t="shared" si="6"/>
        <v>2174.5482595314952</v>
      </c>
      <c r="T20" s="22">
        <f t="shared" si="7"/>
        <v>1701.2907251422728</v>
      </c>
    </row>
    <row r="21" spans="1:20" x14ac:dyDescent="0.2">
      <c r="A21" s="5">
        <v>30</v>
      </c>
      <c r="B21" s="1">
        <f t="shared" si="8"/>
        <v>1.1596934182128902</v>
      </c>
      <c r="C21" s="5">
        <f t="shared" si="9"/>
        <v>46261.190465195403</v>
      </c>
      <c r="D21" s="5">
        <f t="shared" si="0"/>
        <v>44636.147370540049</v>
      </c>
      <c r="E21" s="5">
        <f t="shared" si="1"/>
        <v>35136.147370540049</v>
      </c>
      <c r="F21" s="5">
        <f t="shared" si="2"/>
        <v>11837.316853535332</v>
      </c>
      <c r="G21" s="5">
        <f t="shared" si="3"/>
        <v>32798.830517004717</v>
      </c>
      <c r="H21" s="22">
        <f t="shared" si="10"/>
        <v>19704.236643027274</v>
      </c>
      <c r="I21" s="5">
        <f t="shared" si="4"/>
        <v>51458.742617951546</v>
      </c>
      <c r="J21" s="25">
        <f t="shared" si="5"/>
        <v>0.17625496038673089</v>
      </c>
      <c r="L21" s="22">
        <f t="shared" si="11"/>
        <v>81795.144947472101</v>
      </c>
      <c r="M21" s="5">
        <f>scrimecost*Meta!O18</f>
        <v>21007.163</v>
      </c>
      <c r="N21" s="5">
        <f>L21-Grade17!L21</f>
        <v>18337.106473112581</v>
      </c>
      <c r="O21" s="5">
        <f>Grade17!M21-M21</f>
        <v>0</v>
      </c>
      <c r="P21" s="22">
        <f t="shared" si="12"/>
        <v>0</v>
      </c>
      <c r="Q21" s="22"/>
      <c r="R21" s="22"/>
      <c r="S21" s="22">
        <f t="shared" si="6"/>
        <v>2228.9119660197803</v>
      </c>
      <c r="T21" s="22">
        <f t="shared" si="7"/>
        <v>1673.9300808144039</v>
      </c>
    </row>
    <row r="22" spans="1:20" x14ac:dyDescent="0.2">
      <c r="A22" s="5">
        <v>31</v>
      </c>
      <c r="B22" s="1">
        <f t="shared" si="8"/>
        <v>1.1886857536682125</v>
      </c>
      <c r="C22" s="5">
        <f t="shared" si="9"/>
        <v>47417.720226825295</v>
      </c>
      <c r="D22" s="5">
        <f t="shared" si="0"/>
        <v>45731.381054803554</v>
      </c>
      <c r="E22" s="5">
        <f t="shared" si="1"/>
        <v>36231.381054803554</v>
      </c>
      <c r="F22" s="5">
        <f t="shared" si="2"/>
        <v>12304.434019873715</v>
      </c>
      <c r="G22" s="5">
        <f t="shared" si="3"/>
        <v>33426.947034929835</v>
      </c>
      <c r="H22" s="22">
        <f t="shared" si="10"/>
        <v>20196.842559102959</v>
      </c>
      <c r="I22" s="5">
        <f t="shared" si="4"/>
        <v>52553.356938400335</v>
      </c>
      <c r="J22" s="25">
        <f t="shared" si="5"/>
        <v>0.17925123206906393</v>
      </c>
      <c r="L22" s="22">
        <f t="shared" si="11"/>
        <v>83840.023571158919</v>
      </c>
      <c r="M22" s="5">
        <f>scrimecost*Meta!O19</f>
        <v>21007.163</v>
      </c>
      <c r="N22" s="5">
        <f>L22-Grade17!L22</f>
        <v>18795.534134940426</v>
      </c>
      <c r="O22" s="5">
        <f>Grade17!M22-M22</f>
        <v>0</v>
      </c>
      <c r="P22" s="22">
        <f t="shared" si="12"/>
        <v>0</v>
      </c>
      <c r="Q22" s="22"/>
      <c r="R22" s="22"/>
      <c r="S22" s="22">
        <f t="shared" si="6"/>
        <v>2284.6347651702786</v>
      </c>
      <c r="T22" s="22">
        <f t="shared" si="7"/>
        <v>1647.0094581988626</v>
      </c>
    </row>
    <row r="23" spans="1:20" x14ac:dyDescent="0.2">
      <c r="A23" s="5">
        <v>32</v>
      </c>
      <c r="B23" s="1">
        <f t="shared" si="8"/>
        <v>1.2184028975099177</v>
      </c>
      <c r="C23" s="5">
        <f t="shared" si="9"/>
        <v>48603.163232495914</v>
      </c>
      <c r="D23" s="5">
        <f t="shared" si="0"/>
        <v>46853.995581173629</v>
      </c>
      <c r="E23" s="5">
        <f t="shared" si="1"/>
        <v>37353.995581173629</v>
      </c>
      <c r="F23" s="5">
        <f t="shared" si="2"/>
        <v>12783.229115370552</v>
      </c>
      <c r="G23" s="5">
        <f t="shared" si="3"/>
        <v>34070.766465803077</v>
      </c>
      <c r="H23" s="22">
        <f t="shared" si="10"/>
        <v>20701.763623080533</v>
      </c>
      <c r="I23" s="5">
        <f t="shared" si="4"/>
        <v>53675.336616860339</v>
      </c>
      <c r="J23" s="25">
        <f t="shared" si="5"/>
        <v>0.18217442395426683</v>
      </c>
      <c r="L23" s="22">
        <f t="shared" si="11"/>
        <v>85936.024160437883</v>
      </c>
      <c r="M23" s="5">
        <f>scrimecost*Meta!O20</f>
        <v>21007.163</v>
      </c>
      <c r="N23" s="5">
        <f>L23-Grade17!L23</f>
        <v>19265.422488313925</v>
      </c>
      <c r="O23" s="5">
        <f>Grade17!M23-M23</f>
        <v>0</v>
      </c>
      <c r="P23" s="22">
        <f t="shared" si="12"/>
        <v>0</v>
      </c>
      <c r="Q23" s="22"/>
      <c r="R23" s="22"/>
      <c r="S23" s="22">
        <f t="shared" si="6"/>
        <v>2341.7506342995339</v>
      </c>
      <c r="T23" s="22">
        <f t="shared" si="7"/>
        <v>1620.5217807405345</v>
      </c>
    </row>
    <row r="24" spans="1:20" x14ac:dyDescent="0.2">
      <c r="A24" s="5">
        <v>33</v>
      </c>
      <c r="B24" s="1">
        <f t="shared" si="8"/>
        <v>1.2488629699476654</v>
      </c>
      <c r="C24" s="5">
        <f t="shared" si="9"/>
        <v>49818.242313308307</v>
      </c>
      <c r="D24" s="5">
        <f t="shared" si="0"/>
        <v>48004.675470702969</v>
      </c>
      <c r="E24" s="5">
        <f t="shared" si="1"/>
        <v>38504.675470702969</v>
      </c>
      <c r="F24" s="5">
        <f t="shared" si="2"/>
        <v>13273.994088254816</v>
      </c>
      <c r="G24" s="5">
        <f t="shared" si="3"/>
        <v>34730.681382448151</v>
      </c>
      <c r="H24" s="22">
        <f t="shared" si="10"/>
        <v>21219.307713657538</v>
      </c>
      <c r="I24" s="5">
        <f t="shared" si="4"/>
        <v>54825.365787281837</v>
      </c>
      <c r="J24" s="25">
        <f t="shared" si="5"/>
        <v>0.18502631847641612</v>
      </c>
      <c r="L24" s="22">
        <f t="shared" si="11"/>
        <v>88084.42476444882</v>
      </c>
      <c r="M24" s="5">
        <f>scrimecost*Meta!O21</f>
        <v>21007.163</v>
      </c>
      <c r="N24" s="5">
        <f>L24-Grade17!L24</f>
        <v>19747.058050521766</v>
      </c>
      <c r="O24" s="5">
        <f>Grade17!M24-M24</f>
        <v>0</v>
      </c>
      <c r="P24" s="22">
        <f t="shared" si="12"/>
        <v>0</v>
      </c>
      <c r="Q24" s="22"/>
      <c r="R24" s="22"/>
      <c r="S24" s="22">
        <f t="shared" si="6"/>
        <v>2400.2944001570213</v>
      </c>
      <c r="T24" s="22">
        <f t="shared" si="7"/>
        <v>1594.4600856915026</v>
      </c>
    </row>
    <row r="25" spans="1:20" x14ac:dyDescent="0.2">
      <c r="A25" s="5">
        <v>34</v>
      </c>
      <c r="B25" s="1">
        <f t="shared" si="8"/>
        <v>1.2800845441963571</v>
      </c>
      <c r="C25" s="5">
        <f t="shared" si="9"/>
        <v>51063.698371141021</v>
      </c>
      <c r="D25" s="5">
        <f t="shared" si="0"/>
        <v>49184.122357470551</v>
      </c>
      <c r="E25" s="5">
        <f t="shared" si="1"/>
        <v>39684.122357470551</v>
      </c>
      <c r="F25" s="5">
        <f t="shared" si="2"/>
        <v>13777.028185461189</v>
      </c>
      <c r="G25" s="5">
        <f t="shared" si="3"/>
        <v>35407.094172009362</v>
      </c>
      <c r="H25" s="22">
        <f t="shared" si="10"/>
        <v>21749.790406498982</v>
      </c>
      <c r="I25" s="5">
        <f t="shared" si="4"/>
        <v>56004.145686963893</v>
      </c>
      <c r="J25" s="25">
        <f t="shared" si="5"/>
        <v>0.18780865459558616</v>
      </c>
      <c r="L25" s="22">
        <f t="shared" si="11"/>
        <v>90286.53538356004</v>
      </c>
      <c r="M25" s="5">
        <f>scrimecost*Meta!O22</f>
        <v>21007.163</v>
      </c>
      <c r="N25" s="5">
        <f>L25-Grade17!L25</f>
        <v>20240.734501784813</v>
      </c>
      <c r="O25" s="5">
        <f>Grade17!M25-M25</f>
        <v>0</v>
      </c>
      <c r="P25" s="22">
        <f t="shared" si="12"/>
        <v>0</v>
      </c>
      <c r="Q25" s="22"/>
      <c r="R25" s="22"/>
      <c r="S25" s="22">
        <f t="shared" si="6"/>
        <v>2460.3017601609472</v>
      </c>
      <c r="T25" s="22">
        <f t="shared" si="7"/>
        <v>1568.8175222807504</v>
      </c>
    </row>
    <row r="26" spans="1:20" x14ac:dyDescent="0.2">
      <c r="A26" s="5">
        <v>35</v>
      </c>
      <c r="B26" s="1">
        <f t="shared" si="8"/>
        <v>1.312086657801266</v>
      </c>
      <c r="C26" s="5">
        <f t="shared" si="9"/>
        <v>52340.290830419537</v>
      </c>
      <c r="D26" s="5">
        <f t="shared" si="0"/>
        <v>50393.055416407304</v>
      </c>
      <c r="E26" s="5">
        <f t="shared" si="1"/>
        <v>40893.055416407304</v>
      </c>
      <c r="F26" s="5">
        <f t="shared" si="2"/>
        <v>14292.638135097717</v>
      </c>
      <c r="G26" s="5">
        <f t="shared" si="3"/>
        <v>36100.417281309587</v>
      </c>
      <c r="H26" s="22">
        <f t="shared" si="10"/>
        <v>22293.535166661455</v>
      </c>
      <c r="I26" s="5">
        <f t="shared" si="4"/>
        <v>57212.395084137985</v>
      </c>
      <c r="J26" s="25">
        <f t="shared" si="5"/>
        <v>0.19052312885819098</v>
      </c>
      <c r="L26" s="22">
        <f t="shared" si="11"/>
        <v>92543.698768149043</v>
      </c>
      <c r="M26" s="5">
        <f>scrimecost*Meta!O23</f>
        <v>16303.143</v>
      </c>
      <c r="N26" s="5">
        <f>L26-Grade17!L26</f>
        <v>20746.75286432945</v>
      </c>
      <c r="O26" s="5">
        <f>Grade17!M26-M26</f>
        <v>0</v>
      </c>
      <c r="P26" s="22">
        <f t="shared" si="12"/>
        <v>0</v>
      </c>
      <c r="Q26" s="22"/>
      <c r="R26" s="22"/>
      <c r="S26" s="22">
        <f t="shared" si="6"/>
        <v>2521.8093041649727</v>
      </c>
      <c r="T26" s="22">
        <f t="shared" si="7"/>
        <v>1543.5873499133218</v>
      </c>
    </row>
    <row r="27" spans="1:20" x14ac:dyDescent="0.2">
      <c r="A27" s="5">
        <v>36</v>
      </c>
      <c r="B27" s="1">
        <f t="shared" si="8"/>
        <v>1.3448888242462975</v>
      </c>
      <c r="C27" s="5">
        <f t="shared" si="9"/>
        <v>53648.798101180022</v>
      </c>
      <c r="D27" s="5">
        <f t="shared" si="0"/>
        <v>51632.211801817481</v>
      </c>
      <c r="E27" s="5">
        <f t="shared" si="1"/>
        <v>42132.211801817481</v>
      </c>
      <c r="F27" s="5">
        <f t="shared" si="2"/>
        <v>14821.138333475155</v>
      </c>
      <c r="G27" s="5">
        <f t="shared" si="3"/>
        <v>36811.073468342322</v>
      </c>
      <c r="H27" s="22">
        <f t="shared" si="10"/>
        <v>22850.873545827984</v>
      </c>
      <c r="I27" s="5">
        <f t="shared" si="4"/>
        <v>58450.850716241417</v>
      </c>
      <c r="J27" s="25">
        <f t="shared" si="5"/>
        <v>0.19317139643146397</v>
      </c>
      <c r="L27" s="22">
        <f t="shared" si="11"/>
        <v>94857.291237352751</v>
      </c>
      <c r="M27" s="5">
        <f>scrimecost*Meta!O24</f>
        <v>16303.143</v>
      </c>
      <c r="N27" s="5">
        <f>L27-Grade17!L27</f>
        <v>21265.421685937661</v>
      </c>
      <c r="O27" s="5">
        <f>Grade17!M27-M27</f>
        <v>0</v>
      </c>
      <c r="P27" s="22">
        <f t="shared" si="12"/>
        <v>0</v>
      </c>
      <c r="Q27" s="22"/>
      <c r="R27" s="22"/>
      <c r="S27" s="22">
        <f t="shared" si="6"/>
        <v>2584.8545367690945</v>
      </c>
      <c r="T27" s="22">
        <f t="shared" si="7"/>
        <v>1518.7629363984338</v>
      </c>
    </row>
    <row r="28" spans="1:20" x14ac:dyDescent="0.2">
      <c r="A28" s="5">
        <v>37</v>
      </c>
      <c r="B28" s="1">
        <f t="shared" si="8"/>
        <v>1.3785110448524549</v>
      </c>
      <c r="C28" s="5">
        <f t="shared" si="9"/>
        <v>54990.018053709522</v>
      </c>
      <c r="D28" s="5">
        <f t="shared" si="0"/>
        <v>52902.347096862919</v>
      </c>
      <c r="E28" s="5">
        <f t="shared" si="1"/>
        <v>43402.347096862919</v>
      </c>
      <c r="F28" s="5">
        <f t="shared" si="2"/>
        <v>15362.851036812035</v>
      </c>
      <c r="G28" s="5">
        <f t="shared" si="3"/>
        <v>37539.496060050886</v>
      </c>
      <c r="H28" s="22">
        <f t="shared" si="10"/>
        <v>23422.14538447369</v>
      </c>
      <c r="I28" s="5">
        <f t="shared" si="4"/>
        <v>59720.267739147472</v>
      </c>
      <c r="J28" s="25">
        <f t="shared" si="5"/>
        <v>0.19575507211270599</v>
      </c>
      <c r="L28" s="22">
        <f t="shared" si="11"/>
        <v>97228.72351828657</v>
      </c>
      <c r="M28" s="5">
        <f>scrimecost*Meta!O25</f>
        <v>16303.143</v>
      </c>
      <c r="N28" s="5">
        <f>L28-Grade17!L28</f>
        <v>21797.057228086109</v>
      </c>
      <c r="O28" s="5">
        <f>Grade17!M28-M28</f>
        <v>0</v>
      </c>
      <c r="P28" s="22">
        <f t="shared" si="12"/>
        <v>0</v>
      </c>
      <c r="Q28" s="22"/>
      <c r="R28" s="22"/>
      <c r="S28" s="22">
        <f t="shared" si="6"/>
        <v>2649.4759001883222</v>
      </c>
      <c r="T28" s="22">
        <f t="shared" si="7"/>
        <v>1494.3377562061014</v>
      </c>
    </row>
    <row r="29" spans="1:20" x14ac:dyDescent="0.2">
      <c r="A29" s="5">
        <v>38</v>
      </c>
      <c r="B29" s="1">
        <f t="shared" si="8"/>
        <v>1.4129738209737661</v>
      </c>
      <c r="C29" s="5">
        <f t="shared" si="9"/>
        <v>56364.768505052256</v>
      </c>
      <c r="D29" s="5">
        <f t="shared" si="0"/>
        <v>54204.235774284483</v>
      </c>
      <c r="E29" s="5">
        <f t="shared" si="1"/>
        <v>44704.235774284483</v>
      </c>
      <c r="F29" s="5">
        <f t="shared" si="2"/>
        <v>15918.106557732332</v>
      </c>
      <c r="G29" s="5">
        <f t="shared" si="3"/>
        <v>38286.129216552152</v>
      </c>
      <c r="H29" s="22">
        <f t="shared" si="10"/>
        <v>24007.699019085525</v>
      </c>
      <c r="I29" s="5">
        <f t="shared" si="4"/>
        <v>61021.420187626143</v>
      </c>
      <c r="J29" s="25">
        <f t="shared" si="5"/>
        <v>0.19827573131391765</v>
      </c>
      <c r="L29" s="22">
        <f t="shared" si="11"/>
        <v>99659.441606243723</v>
      </c>
      <c r="M29" s="5">
        <f>scrimecost*Meta!O26</f>
        <v>16303.143</v>
      </c>
      <c r="N29" s="5">
        <f>L29-Grade17!L29</f>
        <v>22341.983658788246</v>
      </c>
      <c r="O29" s="5">
        <f>Grade17!M29-M29</f>
        <v>0</v>
      </c>
      <c r="P29" s="22">
        <f t="shared" si="12"/>
        <v>0</v>
      </c>
      <c r="Q29" s="22"/>
      <c r="R29" s="22"/>
      <c r="S29" s="22">
        <f t="shared" si="6"/>
        <v>2715.7127976930283</v>
      </c>
      <c r="T29" s="22">
        <f t="shared" si="7"/>
        <v>1470.3053887517731</v>
      </c>
    </row>
    <row r="30" spans="1:20" x14ac:dyDescent="0.2">
      <c r="A30" s="5">
        <v>39</v>
      </c>
      <c r="B30" s="1">
        <f t="shared" si="8"/>
        <v>1.4482981664981105</v>
      </c>
      <c r="C30" s="5">
        <f t="shared" si="9"/>
        <v>57773.887717678568</v>
      </c>
      <c r="D30" s="5">
        <f t="shared" si="0"/>
        <v>55538.671668641604</v>
      </c>
      <c r="E30" s="5">
        <f t="shared" si="1"/>
        <v>46038.671668641604</v>
      </c>
      <c r="F30" s="5">
        <f t="shared" si="2"/>
        <v>16487.243466675645</v>
      </c>
      <c r="G30" s="5">
        <f t="shared" si="3"/>
        <v>39051.428201965959</v>
      </c>
      <c r="H30" s="22">
        <f t="shared" si="10"/>
        <v>24607.891494562668</v>
      </c>
      <c r="I30" s="5">
        <f t="shared" si="4"/>
        <v>62355.101447316803</v>
      </c>
      <c r="J30" s="25">
        <f t="shared" si="5"/>
        <v>0.20073491102241695</v>
      </c>
      <c r="L30" s="22">
        <f t="shared" si="11"/>
        <v>102150.92764639982</v>
      </c>
      <c r="M30" s="5">
        <f>scrimecost*Meta!O27</f>
        <v>16303.143</v>
      </c>
      <c r="N30" s="5">
        <f>L30-Grade17!L30</f>
        <v>22900.533250257969</v>
      </c>
      <c r="O30" s="5">
        <f>Grade17!M30-M30</f>
        <v>0</v>
      </c>
      <c r="P30" s="22">
        <f t="shared" si="12"/>
        <v>0</v>
      </c>
      <c r="Q30" s="22"/>
      <c r="R30" s="22"/>
      <c r="S30" s="22">
        <f t="shared" si="6"/>
        <v>2783.6056176353563</v>
      </c>
      <c r="T30" s="22">
        <f t="shared" si="7"/>
        <v>1446.6595167085823</v>
      </c>
    </row>
    <row r="31" spans="1:20" x14ac:dyDescent="0.2">
      <c r="A31" s="5">
        <v>40</v>
      </c>
      <c r="B31" s="1">
        <f t="shared" si="8"/>
        <v>1.4845056206605631</v>
      </c>
      <c r="C31" s="5">
        <f t="shared" si="9"/>
        <v>59218.234910620537</v>
      </c>
      <c r="D31" s="5">
        <f t="shared" si="0"/>
        <v>56906.468460357646</v>
      </c>
      <c r="E31" s="5">
        <f t="shared" si="1"/>
        <v>47406.468460357646</v>
      </c>
      <c r="F31" s="5">
        <f t="shared" si="2"/>
        <v>17070.608798342535</v>
      </c>
      <c r="G31" s="5">
        <f t="shared" si="3"/>
        <v>39835.859662015107</v>
      </c>
      <c r="H31" s="22">
        <f t="shared" si="10"/>
        <v>25223.08878192673</v>
      </c>
      <c r="I31" s="5">
        <f t="shared" si="4"/>
        <v>63722.124738499719</v>
      </c>
      <c r="J31" s="25">
        <f t="shared" si="5"/>
        <v>0.2031341107380259</v>
      </c>
      <c r="L31" s="22">
        <f t="shared" si="11"/>
        <v>104704.70083755982</v>
      </c>
      <c r="M31" s="5">
        <f>scrimecost*Meta!O28</f>
        <v>14260.607999999998</v>
      </c>
      <c r="N31" s="5">
        <f>L31-Grade17!L31</f>
        <v>23473.046581514427</v>
      </c>
      <c r="O31" s="5">
        <f>Grade17!M31-M31</f>
        <v>0</v>
      </c>
      <c r="P31" s="22">
        <f t="shared" si="12"/>
        <v>0</v>
      </c>
      <c r="Q31" s="22"/>
      <c r="R31" s="22"/>
      <c r="S31" s="22">
        <f t="shared" si="6"/>
        <v>2853.1957580762414</v>
      </c>
      <c r="T31" s="22">
        <f t="shared" si="7"/>
        <v>1423.3939243467144</v>
      </c>
    </row>
    <row r="32" spans="1:20" x14ac:dyDescent="0.2">
      <c r="A32" s="5">
        <v>41</v>
      </c>
      <c r="B32" s="1">
        <f t="shared" si="8"/>
        <v>1.521618261177077</v>
      </c>
      <c r="C32" s="5">
        <f t="shared" si="9"/>
        <v>60698.690783386039</v>
      </c>
      <c r="D32" s="5">
        <f t="shared" si="0"/>
        <v>58308.46017186658</v>
      </c>
      <c r="E32" s="5">
        <f t="shared" si="1"/>
        <v>48808.46017186658</v>
      </c>
      <c r="F32" s="5">
        <f t="shared" si="2"/>
        <v>17668.558263301096</v>
      </c>
      <c r="G32" s="5">
        <f t="shared" si="3"/>
        <v>40639.901908565487</v>
      </c>
      <c r="H32" s="22">
        <f t="shared" si="10"/>
        <v>25853.666001474896</v>
      </c>
      <c r="I32" s="5">
        <f t="shared" si="4"/>
        <v>65123.323611962216</v>
      </c>
      <c r="J32" s="25">
        <f t="shared" si="5"/>
        <v>0.20547479338740054</v>
      </c>
      <c r="L32" s="22">
        <f t="shared" si="11"/>
        <v>107322.3183584988</v>
      </c>
      <c r="M32" s="5">
        <f>scrimecost*Meta!O29</f>
        <v>14260.607999999998</v>
      </c>
      <c r="N32" s="5">
        <f>L32-Grade17!L32</f>
        <v>24059.872746052279</v>
      </c>
      <c r="O32" s="5">
        <f>Grade17!M32-M32</f>
        <v>0</v>
      </c>
      <c r="P32" s="22">
        <f t="shared" si="12"/>
        <v>0</v>
      </c>
      <c r="Q32" s="22"/>
      <c r="R32" s="22"/>
      <c r="S32" s="22">
        <f t="shared" si="6"/>
        <v>2924.5256520281464</v>
      </c>
      <c r="T32" s="22">
        <f t="shared" si="7"/>
        <v>1400.5024958995036</v>
      </c>
    </row>
    <row r="33" spans="1:20" x14ac:dyDescent="0.2">
      <c r="A33" s="5">
        <v>42</v>
      </c>
      <c r="B33" s="1">
        <f t="shared" si="8"/>
        <v>1.559658717706504</v>
      </c>
      <c r="C33" s="5">
        <f t="shared" si="9"/>
        <v>62216.158052970692</v>
      </c>
      <c r="D33" s="5">
        <f t="shared" si="0"/>
        <v>59745.501676163243</v>
      </c>
      <c r="E33" s="5">
        <f t="shared" si="1"/>
        <v>50245.501676163243</v>
      </c>
      <c r="F33" s="5">
        <f t="shared" si="2"/>
        <v>18281.456464883624</v>
      </c>
      <c r="G33" s="5">
        <f t="shared" si="3"/>
        <v>41464.045211279619</v>
      </c>
      <c r="H33" s="22">
        <f t="shared" si="10"/>
        <v>26500.007651511773</v>
      </c>
      <c r="I33" s="5">
        <f t="shared" si="4"/>
        <v>66559.552457261263</v>
      </c>
      <c r="J33" s="25">
        <f t="shared" si="5"/>
        <v>0.20775838621605869</v>
      </c>
      <c r="L33" s="22">
        <f t="shared" si="11"/>
        <v>110005.37631746127</v>
      </c>
      <c r="M33" s="5">
        <f>scrimecost*Meta!O30</f>
        <v>14260.607999999998</v>
      </c>
      <c r="N33" s="5">
        <f>L33-Grade17!L33</f>
        <v>24661.369564703578</v>
      </c>
      <c r="O33" s="5">
        <f>Grade17!M33-M33</f>
        <v>0</v>
      </c>
      <c r="P33" s="22">
        <f t="shared" si="12"/>
        <v>0</v>
      </c>
      <c r="Q33" s="22"/>
      <c r="R33" s="22"/>
      <c r="S33" s="22">
        <f t="shared" si="6"/>
        <v>2997.6387933288488</v>
      </c>
      <c r="T33" s="22">
        <f t="shared" si="7"/>
        <v>1377.9792139557942</v>
      </c>
    </row>
    <row r="34" spans="1:20" x14ac:dyDescent="0.2">
      <c r="A34" s="5">
        <v>43</v>
      </c>
      <c r="B34" s="1">
        <f t="shared" si="8"/>
        <v>1.5986501856491666</v>
      </c>
      <c r="C34" s="5">
        <f t="shared" si="9"/>
        <v>63771.562004294959</v>
      </c>
      <c r="D34" s="5">
        <f t="shared" si="0"/>
        <v>61218.46921806733</v>
      </c>
      <c r="E34" s="5">
        <f t="shared" si="1"/>
        <v>51718.46921806733</v>
      </c>
      <c r="F34" s="5">
        <f t="shared" si="2"/>
        <v>18909.677121505716</v>
      </c>
      <c r="G34" s="5">
        <f t="shared" si="3"/>
        <v>42308.792096561614</v>
      </c>
      <c r="H34" s="22">
        <f t="shared" si="10"/>
        <v>27162.507842799569</v>
      </c>
      <c r="I34" s="5">
        <f t="shared" si="4"/>
        <v>68031.687023692808</v>
      </c>
      <c r="J34" s="25">
        <f t="shared" si="5"/>
        <v>0.20998628165865207</v>
      </c>
      <c r="L34" s="22">
        <f t="shared" si="11"/>
        <v>112755.51072539781</v>
      </c>
      <c r="M34" s="5">
        <f>scrimecost*Meta!O31</f>
        <v>14260.607999999998</v>
      </c>
      <c r="N34" s="5">
        <f>L34-Grade17!L34</f>
        <v>25277.903803821187</v>
      </c>
      <c r="O34" s="5">
        <f>Grade17!M34-M34</f>
        <v>0</v>
      </c>
      <c r="P34" s="22">
        <f t="shared" si="12"/>
        <v>0</v>
      </c>
      <c r="Q34" s="22"/>
      <c r="R34" s="22"/>
      <c r="S34" s="22">
        <f t="shared" si="6"/>
        <v>3072.5797631620726</v>
      </c>
      <c r="T34" s="22">
        <f t="shared" si="7"/>
        <v>1355.8181578781603</v>
      </c>
    </row>
    <row r="35" spans="1:20" x14ac:dyDescent="0.2">
      <c r="A35" s="5">
        <v>44</v>
      </c>
      <c r="B35" s="1">
        <f t="shared" si="8"/>
        <v>1.6386164402903955</v>
      </c>
      <c r="C35" s="5">
        <f t="shared" si="9"/>
        <v>65365.851054402323</v>
      </c>
      <c r="D35" s="5">
        <f t="shared" si="0"/>
        <v>62728.260948518997</v>
      </c>
      <c r="E35" s="5">
        <f t="shared" si="1"/>
        <v>53228.260948518997</v>
      </c>
      <c r="F35" s="5">
        <f t="shared" si="2"/>
        <v>19553.603294543354</v>
      </c>
      <c r="G35" s="5">
        <f t="shared" si="3"/>
        <v>43174.657653975642</v>
      </c>
      <c r="H35" s="22">
        <f t="shared" si="10"/>
        <v>27841.57053886955</v>
      </c>
      <c r="I35" s="5">
        <f t="shared" si="4"/>
        <v>69540.6249542851</v>
      </c>
      <c r="J35" s="25">
        <f t="shared" si="5"/>
        <v>0.21215983818801146</v>
      </c>
      <c r="L35" s="22">
        <f t="shared" si="11"/>
        <v>115574.39849353273</v>
      </c>
      <c r="M35" s="5">
        <f>scrimecost*Meta!O32</f>
        <v>14260.607999999998</v>
      </c>
      <c r="N35" s="5">
        <f>L35-Grade17!L35</f>
        <v>25909.851398916697</v>
      </c>
      <c r="O35" s="5">
        <f>Grade17!M35-M35</f>
        <v>0</v>
      </c>
      <c r="P35" s="22">
        <f t="shared" si="12"/>
        <v>0</v>
      </c>
      <c r="Q35" s="22"/>
      <c r="R35" s="22"/>
      <c r="S35" s="22">
        <f t="shared" si="6"/>
        <v>3149.394257241122</v>
      </c>
      <c r="T35" s="22">
        <f t="shared" si="7"/>
        <v>1334.0135022465558</v>
      </c>
    </row>
    <row r="36" spans="1:20" x14ac:dyDescent="0.2">
      <c r="A36" s="5">
        <v>45</v>
      </c>
      <c r="B36" s="1">
        <f t="shared" si="8"/>
        <v>1.6795818512976552</v>
      </c>
      <c r="C36" s="5">
        <f t="shared" si="9"/>
        <v>66999.997330762373</v>
      </c>
      <c r="D36" s="5">
        <f t="shared" si="0"/>
        <v>64275.79747223197</v>
      </c>
      <c r="E36" s="5">
        <f t="shared" si="1"/>
        <v>54775.79747223197</v>
      </c>
      <c r="F36" s="5">
        <f t="shared" si="2"/>
        <v>20213.627621906933</v>
      </c>
      <c r="G36" s="5">
        <f t="shared" si="3"/>
        <v>44062.169850325037</v>
      </c>
      <c r="H36" s="22">
        <f t="shared" si="10"/>
        <v>28537.609802341289</v>
      </c>
      <c r="I36" s="5">
        <f t="shared" si="4"/>
        <v>71087.286333142241</v>
      </c>
      <c r="J36" s="25">
        <f t="shared" si="5"/>
        <v>0.21428038114348394</v>
      </c>
      <c r="L36" s="22">
        <f t="shared" si="11"/>
        <v>118463.75845587104</v>
      </c>
      <c r="M36" s="5">
        <f>scrimecost*Meta!O33</f>
        <v>11524.849</v>
      </c>
      <c r="N36" s="5">
        <f>L36-Grade17!L36</f>
        <v>26557.597683889602</v>
      </c>
      <c r="O36" s="5">
        <f>Grade17!M36-M36</f>
        <v>0</v>
      </c>
      <c r="P36" s="22">
        <f t="shared" si="12"/>
        <v>0</v>
      </c>
      <c r="Q36" s="22"/>
      <c r="R36" s="22"/>
      <c r="S36" s="22">
        <f t="shared" si="6"/>
        <v>3228.1291136721484</v>
      </c>
      <c r="T36" s="22">
        <f t="shared" si="7"/>
        <v>1312.5595153270137</v>
      </c>
    </row>
    <row r="37" spans="1:20" x14ac:dyDescent="0.2">
      <c r="A37" s="5">
        <v>46</v>
      </c>
      <c r="B37" s="1">
        <f t="shared" ref="B37:B56" si="13">(1+experiencepremium)^(A37-startage)</f>
        <v>1.7215713975800966</v>
      </c>
      <c r="C37" s="5">
        <f t="shared" ref="C37:C56" si="14">pretaxincome*B37/expnorm</f>
        <v>68674.997264031423</v>
      </c>
      <c r="D37" s="5">
        <f t="shared" ref="D37:D56" si="15">IF(A37&lt;startage,1,0)*(C37*(1-initialunempprob))+IF(A37=startage,1,0)*(C37*(1-unempprob))+IF(A37&gt;startage,1,0)*(C37*(1-unempprob)+unempprob*300*52)</f>
        <v>65862.02240903776</v>
      </c>
      <c r="E37" s="5">
        <f t="shared" si="1"/>
        <v>56362.02240903776</v>
      </c>
      <c r="F37" s="5">
        <f t="shared" si="2"/>
        <v>20890.152557454603</v>
      </c>
      <c r="G37" s="5">
        <f t="shared" si="3"/>
        <v>44971.869851583157</v>
      </c>
      <c r="H37" s="22">
        <f t="shared" ref="H37:H56" si="16">benefits*B37/expnorm</f>
        <v>29251.050047399815</v>
      </c>
      <c r="I37" s="5">
        <f t="shared" ref="I37:I56" si="17">G37+IF(A37&lt;startage,1,0)*(H37*(1-initialunempprob))+IF(A37&gt;=startage,1,0)*(H37*(1-unempprob))</f>
        <v>72672.614246470781</v>
      </c>
      <c r="J37" s="25">
        <f t="shared" si="5"/>
        <v>0.21634920353906692</v>
      </c>
      <c r="L37" s="22">
        <f t="shared" ref="L37:L56" si="18">(sincome+sbenefits)*(1-sunemp)*B37/expnorm</f>
        <v>121425.35241726782</v>
      </c>
      <c r="M37" s="5">
        <f>scrimecost*Meta!O34</f>
        <v>11524.849</v>
      </c>
      <c r="N37" s="5">
        <f>L37-Grade17!L37</f>
        <v>27221.53762598685</v>
      </c>
      <c r="O37" s="5">
        <f>Grade17!M37-M37</f>
        <v>0</v>
      </c>
      <c r="P37" s="22">
        <f t="shared" si="12"/>
        <v>0</v>
      </c>
      <c r="Q37" s="22"/>
      <c r="R37" s="22"/>
      <c r="S37" s="22">
        <f t="shared" si="6"/>
        <v>3308.8323415139535</v>
      </c>
      <c r="T37" s="22">
        <f t="shared" si="7"/>
        <v>1291.45055756495</v>
      </c>
    </row>
    <row r="38" spans="1:20" x14ac:dyDescent="0.2">
      <c r="A38" s="5">
        <v>47</v>
      </c>
      <c r="B38" s="1">
        <f t="shared" si="13"/>
        <v>1.7646106825195991</v>
      </c>
      <c r="C38" s="5">
        <f t="shared" si="14"/>
        <v>70391.872195632226</v>
      </c>
      <c r="D38" s="5">
        <f t="shared" si="15"/>
        <v>67487.902969263712</v>
      </c>
      <c r="E38" s="5">
        <f t="shared" si="1"/>
        <v>57987.902969263712</v>
      </c>
      <c r="F38" s="5">
        <f t="shared" si="2"/>
        <v>21583.590616390971</v>
      </c>
      <c r="G38" s="5">
        <f t="shared" si="3"/>
        <v>45904.312352872745</v>
      </c>
      <c r="H38" s="22">
        <f t="shared" si="16"/>
        <v>29982.326298584812</v>
      </c>
      <c r="I38" s="5">
        <f t="shared" si="17"/>
        <v>74297.575357632566</v>
      </c>
      <c r="J38" s="25">
        <f t="shared" si="5"/>
        <v>0.21836756685183079</v>
      </c>
      <c r="L38" s="22">
        <f t="shared" si="18"/>
        <v>124460.98622769951</v>
      </c>
      <c r="M38" s="5">
        <f>scrimecost*Meta!O35</f>
        <v>11524.849</v>
      </c>
      <c r="N38" s="5">
        <f>L38-Grade17!L38</f>
        <v>27902.076066636524</v>
      </c>
      <c r="O38" s="5">
        <f>Grade17!M38-M38</f>
        <v>0</v>
      </c>
      <c r="P38" s="22">
        <f t="shared" si="12"/>
        <v>0</v>
      </c>
      <c r="Q38" s="22"/>
      <c r="R38" s="22"/>
      <c r="S38" s="22">
        <f t="shared" si="6"/>
        <v>3391.5531500518023</v>
      </c>
      <c r="T38" s="22">
        <f t="shared" si="7"/>
        <v>1270.68108010271</v>
      </c>
    </row>
    <row r="39" spans="1:20" x14ac:dyDescent="0.2">
      <c r="A39" s="5">
        <v>48</v>
      </c>
      <c r="B39" s="1">
        <f t="shared" si="13"/>
        <v>1.8087259495825889</v>
      </c>
      <c r="C39" s="5">
        <f t="shared" si="14"/>
        <v>72151.669000523019</v>
      </c>
      <c r="D39" s="5">
        <f t="shared" si="15"/>
        <v>69154.430543495298</v>
      </c>
      <c r="E39" s="5">
        <f t="shared" si="1"/>
        <v>59654.430543495298</v>
      </c>
      <c r="F39" s="5">
        <f t="shared" si="2"/>
        <v>22294.364626800743</v>
      </c>
      <c r="G39" s="5">
        <f t="shared" si="3"/>
        <v>46860.065916694555</v>
      </c>
      <c r="H39" s="22">
        <f t="shared" si="16"/>
        <v>30731.884456049433</v>
      </c>
      <c r="I39" s="5">
        <f t="shared" si="17"/>
        <v>75963.160496573371</v>
      </c>
      <c r="J39" s="25">
        <f t="shared" si="5"/>
        <v>0.22033670179111259</v>
      </c>
      <c r="L39" s="22">
        <f t="shared" si="18"/>
        <v>127572.51088339199</v>
      </c>
      <c r="M39" s="5">
        <f>scrimecost*Meta!O36</f>
        <v>11524.849</v>
      </c>
      <c r="N39" s="5">
        <f>L39-Grade17!L39</f>
        <v>28599.627968302448</v>
      </c>
      <c r="O39" s="5">
        <f>Grade17!M39-M39</f>
        <v>0</v>
      </c>
      <c r="P39" s="22">
        <f t="shared" si="12"/>
        <v>0</v>
      </c>
      <c r="Q39" s="22"/>
      <c r="R39" s="22"/>
      <c r="S39" s="22">
        <f t="shared" si="6"/>
        <v>3476.3419788030988</v>
      </c>
      <c r="T39" s="22">
        <f t="shared" si="7"/>
        <v>1250.2456233209589</v>
      </c>
    </row>
    <row r="40" spans="1:20" x14ac:dyDescent="0.2">
      <c r="A40" s="5">
        <v>49</v>
      </c>
      <c r="B40" s="1">
        <f t="shared" si="13"/>
        <v>1.8539440983221533</v>
      </c>
      <c r="C40" s="5">
        <f t="shared" si="14"/>
        <v>73955.46072553609</v>
      </c>
      <c r="D40" s="5">
        <f t="shared" si="15"/>
        <v>70862.621307082678</v>
      </c>
      <c r="E40" s="5">
        <f t="shared" si="1"/>
        <v>61362.621307082678</v>
      </c>
      <c r="F40" s="5">
        <f t="shared" si="2"/>
        <v>23022.90798747076</v>
      </c>
      <c r="G40" s="5">
        <f t="shared" si="3"/>
        <v>47839.713319611918</v>
      </c>
      <c r="H40" s="22">
        <f t="shared" si="16"/>
        <v>31500.181567450665</v>
      </c>
      <c r="I40" s="5">
        <f t="shared" si="17"/>
        <v>77670.3852639877</v>
      </c>
      <c r="J40" s="25">
        <f t="shared" si="5"/>
        <v>0.22225780904894854</v>
      </c>
      <c r="L40" s="22">
        <f t="shared" si="18"/>
        <v>130761.82365547676</v>
      </c>
      <c r="M40" s="5">
        <f>scrimecost*Meta!O37</f>
        <v>11524.849</v>
      </c>
      <c r="N40" s="5">
        <f>L40-Grade17!L40</f>
        <v>29314.618667509989</v>
      </c>
      <c r="O40" s="5">
        <f>Grade17!M40-M40</f>
        <v>0</v>
      </c>
      <c r="P40" s="22">
        <f t="shared" si="12"/>
        <v>0</v>
      </c>
      <c r="Q40" s="22"/>
      <c r="R40" s="22"/>
      <c r="S40" s="22">
        <f t="shared" si="6"/>
        <v>3563.2505282731736</v>
      </c>
      <c r="T40" s="22">
        <f t="shared" si="7"/>
        <v>1230.1388154035185</v>
      </c>
    </row>
    <row r="41" spans="1:20" x14ac:dyDescent="0.2">
      <c r="A41" s="5">
        <v>50</v>
      </c>
      <c r="B41" s="1">
        <f t="shared" si="13"/>
        <v>1.9002927007802071</v>
      </c>
      <c r="C41" s="5">
        <f t="shared" si="14"/>
        <v>75804.347243674492</v>
      </c>
      <c r="D41" s="5">
        <f t="shared" si="15"/>
        <v>72613.516839759744</v>
      </c>
      <c r="E41" s="5">
        <f t="shared" si="1"/>
        <v>63113.516839759744</v>
      </c>
      <c r="F41" s="5">
        <f t="shared" si="2"/>
        <v>23769.664932157531</v>
      </c>
      <c r="G41" s="5">
        <f t="shared" si="3"/>
        <v>48843.851907602213</v>
      </c>
      <c r="H41" s="22">
        <f t="shared" si="16"/>
        <v>32287.686106636927</v>
      </c>
      <c r="I41" s="5">
        <f t="shared" si="17"/>
        <v>79420.290650587383</v>
      </c>
      <c r="J41" s="25">
        <f t="shared" si="5"/>
        <v>0.22413206003220312</v>
      </c>
      <c r="L41" s="22">
        <f t="shared" si="18"/>
        <v>134030.86924686367</v>
      </c>
      <c r="M41" s="5">
        <f>scrimecost*Meta!O38</f>
        <v>7699.7380000000003</v>
      </c>
      <c r="N41" s="5">
        <f>L41-Grade17!L41</f>
        <v>30047.484134197715</v>
      </c>
      <c r="O41" s="5">
        <f>Grade17!M41-M41</f>
        <v>0</v>
      </c>
      <c r="P41" s="22">
        <f t="shared" si="12"/>
        <v>0</v>
      </c>
      <c r="Q41" s="22"/>
      <c r="R41" s="22"/>
      <c r="S41" s="22">
        <f t="shared" si="6"/>
        <v>3652.3317914800004</v>
      </c>
      <c r="T41" s="22">
        <f t="shared" si="7"/>
        <v>1210.3553709252997</v>
      </c>
    </row>
    <row r="42" spans="1:20" x14ac:dyDescent="0.2">
      <c r="A42" s="5">
        <v>51</v>
      </c>
      <c r="B42" s="1">
        <f t="shared" si="13"/>
        <v>1.9478000182997122</v>
      </c>
      <c r="C42" s="5">
        <f t="shared" si="14"/>
        <v>77699.455924766342</v>
      </c>
      <c r="D42" s="5">
        <f t="shared" si="15"/>
        <v>74408.18476075372</v>
      </c>
      <c r="E42" s="5">
        <f t="shared" si="1"/>
        <v>64908.18476075372</v>
      </c>
      <c r="F42" s="5">
        <f t="shared" si="2"/>
        <v>24535.090800461461</v>
      </c>
      <c r="G42" s="5">
        <f t="shared" si="3"/>
        <v>49873.093960292259</v>
      </c>
      <c r="H42" s="22">
        <f t="shared" si="16"/>
        <v>33094.878259302852</v>
      </c>
      <c r="I42" s="5">
        <f t="shared" si="17"/>
        <v>81213.943671852059</v>
      </c>
      <c r="J42" s="25">
        <f t="shared" si="5"/>
        <v>0.2259605975768417</v>
      </c>
      <c r="L42" s="22">
        <f t="shared" si="18"/>
        <v>137381.64097803528</v>
      </c>
      <c r="M42" s="5">
        <f>scrimecost*Meta!O39</f>
        <v>7699.7380000000003</v>
      </c>
      <c r="N42" s="5">
        <f>L42-Grade17!L42</f>
        <v>30798.671237552699</v>
      </c>
      <c r="O42" s="5">
        <f>Grade17!M42-M42</f>
        <v>0</v>
      </c>
      <c r="P42" s="22">
        <f t="shared" si="12"/>
        <v>0</v>
      </c>
      <c r="Q42" s="22"/>
      <c r="R42" s="22"/>
      <c r="S42" s="22">
        <f t="shared" si="6"/>
        <v>3743.6400862670052</v>
      </c>
      <c r="T42" s="22">
        <f t="shared" si="7"/>
        <v>1190.8900894629332</v>
      </c>
    </row>
    <row r="43" spans="1:20" x14ac:dyDescent="0.2">
      <c r="A43" s="5">
        <v>52</v>
      </c>
      <c r="B43" s="1">
        <f t="shared" si="13"/>
        <v>1.9964950187572048</v>
      </c>
      <c r="C43" s="5">
        <f t="shared" si="14"/>
        <v>79641.942322885487</v>
      </c>
      <c r="D43" s="5">
        <f t="shared" si="15"/>
        <v>76247.719379772549</v>
      </c>
      <c r="E43" s="5">
        <f t="shared" si="1"/>
        <v>66747.719379772549</v>
      </c>
      <c r="F43" s="5">
        <f t="shared" si="2"/>
        <v>25319.652315472991</v>
      </c>
      <c r="G43" s="5">
        <f t="shared" si="3"/>
        <v>50928.067064299554</v>
      </c>
      <c r="H43" s="22">
        <f t="shared" si="16"/>
        <v>33922.250215785418</v>
      </c>
      <c r="I43" s="5">
        <f t="shared" si="17"/>
        <v>83052.438018648347</v>
      </c>
      <c r="J43" s="25">
        <f t="shared" si="5"/>
        <v>0.22774453664478178</v>
      </c>
      <c r="L43" s="22">
        <f t="shared" si="18"/>
        <v>140816.18200248614</v>
      </c>
      <c r="M43" s="5">
        <f>scrimecost*Meta!O40</f>
        <v>7699.7380000000003</v>
      </c>
      <c r="N43" s="5">
        <f>L43-Grade17!L43</f>
        <v>31568.638018491474</v>
      </c>
      <c r="O43" s="5">
        <f>Grade17!M43-M43</f>
        <v>0</v>
      </c>
      <c r="P43" s="22">
        <f t="shared" si="12"/>
        <v>0</v>
      </c>
      <c r="Q43" s="22"/>
      <c r="R43" s="22"/>
      <c r="S43" s="22">
        <f t="shared" si="6"/>
        <v>3837.2310884236758</v>
      </c>
      <c r="T43" s="22">
        <f t="shared" si="7"/>
        <v>1171.7378542277388</v>
      </c>
    </row>
    <row r="44" spans="1:20" x14ac:dyDescent="0.2">
      <c r="A44" s="5">
        <v>53</v>
      </c>
      <c r="B44" s="1">
        <f t="shared" si="13"/>
        <v>2.0464073942261352</v>
      </c>
      <c r="C44" s="5">
        <f t="shared" si="14"/>
        <v>81632.990880957645</v>
      </c>
      <c r="D44" s="5">
        <f t="shared" si="15"/>
        <v>78133.242364266887</v>
      </c>
      <c r="E44" s="5">
        <f t="shared" si="1"/>
        <v>68633.242364266887</v>
      </c>
      <c r="F44" s="5">
        <f t="shared" si="2"/>
        <v>26123.827868359826</v>
      </c>
      <c r="G44" s="5">
        <f t="shared" si="3"/>
        <v>52009.414495907062</v>
      </c>
      <c r="H44" s="22">
        <f t="shared" si="16"/>
        <v>34770.306471180062</v>
      </c>
      <c r="I44" s="5">
        <f t="shared" si="17"/>
        <v>84936.89472411458</v>
      </c>
      <c r="J44" s="25">
        <f t="shared" si="5"/>
        <v>0.22948496500374774</v>
      </c>
      <c r="L44" s="22">
        <f t="shared" si="18"/>
        <v>144336.58655254831</v>
      </c>
      <c r="M44" s="5">
        <f>scrimecost*Meta!O41</f>
        <v>7699.7380000000003</v>
      </c>
      <c r="N44" s="5">
        <f>L44-Grade17!L44</f>
        <v>32357.853968953816</v>
      </c>
      <c r="O44" s="5">
        <f>Grade17!M44-M44</f>
        <v>0</v>
      </c>
      <c r="P44" s="22">
        <f t="shared" si="12"/>
        <v>0</v>
      </c>
      <c r="Q44" s="22"/>
      <c r="R44" s="22"/>
      <c r="S44" s="22">
        <f t="shared" si="6"/>
        <v>3933.1618656342735</v>
      </c>
      <c r="T44" s="22">
        <f t="shared" si="7"/>
        <v>1152.8936307207075</v>
      </c>
    </row>
    <row r="45" spans="1:20" x14ac:dyDescent="0.2">
      <c r="A45" s="5">
        <v>54</v>
      </c>
      <c r="B45" s="1">
        <f t="shared" si="13"/>
        <v>2.097567579081788</v>
      </c>
      <c r="C45" s="5">
        <f t="shared" si="14"/>
        <v>83673.815652981546</v>
      </c>
      <c r="D45" s="5">
        <f t="shared" si="15"/>
        <v>80065.903423373529</v>
      </c>
      <c r="E45" s="5">
        <f t="shared" si="1"/>
        <v>70565.903423373529</v>
      </c>
      <c r="F45" s="5">
        <f t="shared" si="2"/>
        <v>26948.10781006881</v>
      </c>
      <c r="G45" s="5">
        <f t="shared" si="3"/>
        <v>53117.795613304719</v>
      </c>
      <c r="H45" s="22">
        <f t="shared" si="16"/>
        <v>35639.564132959553</v>
      </c>
      <c r="I45" s="5">
        <f t="shared" si="17"/>
        <v>86868.462847217423</v>
      </c>
      <c r="J45" s="25">
        <f t="shared" si="5"/>
        <v>0.23118294389054381</v>
      </c>
      <c r="L45" s="22">
        <f t="shared" si="18"/>
        <v>147945.001216362</v>
      </c>
      <c r="M45" s="5">
        <f>scrimecost*Meta!O42</f>
        <v>7699.7380000000003</v>
      </c>
      <c r="N45" s="5">
        <f>L45-Grade17!L45</f>
        <v>33166.8003181776</v>
      </c>
      <c r="O45" s="5">
        <f>Grade17!M45-M45</f>
        <v>0</v>
      </c>
      <c r="P45" s="22">
        <f t="shared" si="12"/>
        <v>0</v>
      </c>
      <c r="Q45" s="22"/>
      <c r="R45" s="22"/>
      <c r="S45" s="22">
        <f t="shared" si="6"/>
        <v>4031.4909122751233</v>
      </c>
      <c r="T45" s="22">
        <f t="shared" si="7"/>
        <v>1134.3524654090716</v>
      </c>
    </row>
    <row r="46" spans="1:20" x14ac:dyDescent="0.2">
      <c r="A46" s="5">
        <v>55</v>
      </c>
      <c r="B46" s="1">
        <f t="shared" si="13"/>
        <v>2.1500067685588333</v>
      </c>
      <c r="C46" s="5">
        <f t="shared" si="14"/>
        <v>85765.661044306122</v>
      </c>
      <c r="D46" s="5">
        <f t="shared" si="15"/>
        <v>82046.881008957891</v>
      </c>
      <c r="E46" s="5">
        <f t="shared" si="1"/>
        <v>72546.881008957891</v>
      </c>
      <c r="F46" s="5">
        <f t="shared" si="2"/>
        <v>27792.99475032054</v>
      </c>
      <c r="G46" s="5">
        <f t="shared" si="3"/>
        <v>54253.886258637351</v>
      </c>
      <c r="H46" s="22">
        <f t="shared" si="16"/>
        <v>36530.553236283551</v>
      </c>
      <c r="I46" s="5">
        <f t="shared" si="17"/>
        <v>88848.320173397864</v>
      </c>
      <c r="J46" s="25">
        <f t="shared" si="5"/>
        <v>0.2328395086581497</v>
      </c>
      <c r="L46" s="22">
        <f t="shared" si="18"/>
        <v>151643.62624677108</v>
      </c>
      <c r="M46" s="5">
        <f>scrimecost*Meta!O43</f>
        <v>4270.7550000000001</v>
      </c>
      <c r="N46" s="5">
        <f>L46-Grade17!L46</f>
        <v>33995.970326132083</v>
      </c>
      <c r="O46" s="5">
        <f>Grade17!M46-M46</f>
        <v>0</v>
      </c>
      <c r="P46" s="22">
        <f t="shared" si="12"/>
        <v>0</v>
      </c>
      <c r="Q46" s="22"/>
      <c r="R46" s="22"/>
      <c r="S46" s="22">
        <f t="shared" ref="S46:S69" si="19">IF(A46&lt;startage,1,0)*(N46-Q46-R46)+IF(A46&gt;=startage,1,0)*completionprob*(N46*spart+O46+P46)</f>
        <v>4132.2781850820065</v>
      </c>
      <c r="T46" s="22">
        <f t="shared" ref="T46:T69" si="20">S46/sreturn^(A46-startage+1)</f>
        <v>1116.1094844242086</v>
      </c>
    </row>
    <row r="47" spans="1:20" x14ac:dyDescent="0.2">
      <c r="A47" s="5">
        <v>56</v>
      </c>
      <c r="B47" s="1">
        <f t="shared" si="13"/>
        <v>2.2037569377728037</v>
      </c>
      <c r="C47" s="5">
        <f t="shared" si="14"/>
        <v>87909.802570413754</v>
      </c>
      <c r="D47" s="5">
        <f t="shared" si="15"/>
        <v>84077.383034181825</v>
      </c>
      <c r="E47" s="5">
        <f t="shared" si="1"/>
        <v>74577.383034181825</v>
      </c>
      <c r="F47" s="5">
        <f t="shared" si="2"/>
        <v>28659.00386407855</v>
      </c>
      <c r="G47" s="5">
        <f t="shared" si="3"/>
        <v>55418.379170103275</v>
      </c>
      <c r="H47" s="22">
        <f t="shared" si="16"/>
        <v>37443.817067190626</v>
      </c>
      <c r="I47" s="5">
        <f t="shared" si="17"/>
        <v>90877.673932732796</v>
      </c>
      <c r="J47" s="25">
        <f t="shared" si="5"/>
        <v>0.23445566940703352</v>
      </c>
      <c r="L47" s="22">
        <f t="shared" si="18"/>
        <v>155434.7169029403</v>
      </c>
      <c r="M47" s="5">
        <f>scrimecost*Meta!O44</f>
        <v>4270.7550000000001</v>
      </c>
      <c r="N47" s="5">
        <f>L47-Grade17!L47</f>
        <v>34845.869584285349</v>
      </c>
      <c r="O47" s="5">
        <f>Grade17!M47-M47</f>
        <v>0</v>
      </c>
      <c r="P47" s="22">
        <f t="shared" si="12"/>
        <v>0</v>
      </c>
      <c r="Q47" s="22"/>
      <c r="R47" s="22"/>
      <c r="S47" s="22">
        <f t="shared" si="19"/>
        <v>4235.5851397090519</v>
      </c>
      <c r="T47" s="22">
        <f t="shared" si="20"/>
        <v>1098.159892280433</v>
      </c>
    </row>
    <row r="48" spans="1:20" x14ac:dyDescent="0.2">
      <c r="A48" s="5">
        <v>57</v>
      </c>
      <c r="B48" s="1">
        <f t="shared" si="13"/>
        <v>2.2588508612171236</v>
      </c>
      <c r="C48" s="5">
        <f t="shared" si="14"/>
        <v>90107.547634674091</v>
      </c>
      <c r="D48" s="5">
        <f t="shared" si="15"/>
        <v>86158.647610036365</v>
      </c>
      <c r="E48" s="5">
        <f t="shared" si="1"/>
        <v>76658.647610036365</v>
      </c>
      <c r="F48" s="5">
        <f t="shared" si="2"/>
        <v>29546.66320568051</v>
      </c>
      <c r="G48" s="5">
        <f t="shared" si="3"/>
        <v>56611.984404355855</v>
      </c>
      <c r="H48" s="22">
        <f t="shared" si="16"/>
        <v>38379.91249387039</v>
      </c>
      <c r="I48" s="5">
        <f t="shared" si="17"/>
        <v>92957.761536051112</v>
      </c>
      <c r="J48" s="25">
        <f t="shared" si="5"/>
        <v>0.2360324116010665</v>
      </c>
      <c r="L48" s="22">
        <f t="shared" si="18"/>
        <v>159320.58482551383</v>
      </c>
      <c r="M48" s="5">
        <f>scrimecost*Meta!O45</f>
        <v>4270.7550000000001</v>
      </c>
      <c r="N48" s="5">
        <f>L48-Grade17!L48</f>
        <v>35717.016323892502</v>
      </c>
      <c r="O48" s="5">
        <f>Grade17!M48-M48</f>
        <v>0</v>
      </c>
      <c r="P48" s="22">
        <f t="shared" si="12"/>
        <v>0</v>
      </c>
      <c r="Q48" s="22"/>
      <c r="R48" s="22"/>
      <c r="S48" s="22">
        <f t="shared" si="19"/>
        <v>4341.4747682017814</v>
      </c>
      <c r="T48" s="22">
        <f t="shared" si="20"/>
        <v>1080.4989706144436</v>
      </c>
    </row>
    <row r="49" spans="1:20" x14ac:dyDescent="0.2">
      <c r="A49" s="5">
        <v>58</v>
      </c>
      <c r="B49" s="1">
        <f t="shared" si="13"/>
        <v>2.3153221327475517</v>
      </c>
      <c r="C49" s="5">
        <f t="shared" si="14"/>
        <v>92360.236325540944</v>
      </c>
      <c r="D49" s="5">
        <f t="shared" si="15"/>
        <v>88291.943800287278</v>
      </c>
      <c r="E49" s="5">
        <f t="shared" si="1"/>
        <v>78791.943800287278</v>
      </c>
      <c r="F49" s="5">
        <f t="shared" si="2"/>
        <v>30456.514030822527</v>
      </c>
      <c r="G49" s="5">
        <f t="shared" si="3"/>
        <v>57835.429769464754</v>
      </c>
      <c r="H49" s="22">
        <f t="shared" si="16"/>
        <v>39339.410306217149</v>
      </c>
      <c r="I49" s="5">
        <f t="shared" si="17"/>
        <v>95089.851329452387</v>
      </c>
      <c r="J49" s="25">
        <f t="shared" si="5"/>
        <v>0.23757069666841582</v>
      </c>
      <c r="L49" s="22">
        <f t="shared" si="18"/>
        <v>163303.59944615167</v>
      </c>
      <c r="M49" s="5">
        <f>scrimecost*Meta!O46</f>
        <v>4270.7550000000001</v>
      </c>
      <c r="N49" s="5">
        <f>L49-Grade17!L49</f>
        <v>36609.94173198982</v>
      </c>
      <c r="O49" s="5">
        <f>Grade17!M49-M49</f>
        <v>0</v>
      </c>
      <c r="P49" s="22">
        <f t="shared" si="12"/>
        <v>0</v>
      </c>
      <c r="Q49" s="22"/>
      <c r="R49" s="22"/>
      <c r="S49" s="22">
        <f t="shared" si="19"/>
        <v>4450.0116374068257</v>
      </c>
      <c r="T49" s="22">
        <f t="shared" si="20"/>
        <v>1063.1220769449999</v>
      </c>
    </row>
    <row r="50" spans="1:20" x14ac:dyDescent="0.2">
      <c r="A50" s="5">
        <v>59</v>
      </c>
      <c r="B50" s="1">
        <f t="shared" si="13"/>
        <v>2.3732051860662402</v>
      </c>
      <c r="C50" s="5">
        <f t="shared" si="14"/>
        <v>94669.242233679455</v>
      </c>
      <c r="D50" s="5">
        <f t="shared" si="15"/>
        <v>90478.572395294439</v>
      </c>
      <c r="E50" s="5">
        <f t="shared" si="1"/>
        <v>80978.572395294439</v>
      </c>
      <c r="F50" s="5">
        <f t="shared" si="2"/>
        <v>31389.111126593078</v>
      </c>
      <c r="G50" s="5">
        <f t="shared" si="3"/>
        <v>59089.461268701358</v>
      </c>
      <c r="H50" s="22">
        <f t="shared" si="16"/>
        <v>40322.895563872582</v>
      </c>
      <c r="I50" s="5">
        <f t="shared" si="17"/>
        <v>97275.243367688701</v>
      </c>
      <c r="J50" s="25">
        <f t="shared" si="5"/>
        <v>0.23907146258778081</v>
      </c>
      <c r="L50" s="22">
        <f t="shared" si="18"/>
        <v>167386.18943230543</v>
      </c>
      <c r="M50" s="5">
        <f>scrimecost*Meta!O47</f>
        <v>4270.7550000000001</v>
      </c>
      <c r="N50" s="5">
        <f>L50-Grade17!L50</f>
        <v>37525.19027528954</v>
      </c>
      <c r="O50" s="5">
        <f>Grade17!M50-M50</f>
        <v>0</v>
      </c>
      <c r="P50" s="22">
        <f t="shared" si="12"/>
        <v>0</v>
      </c>
      <c r="Q50" s="22"/>
      <c r="R50" s="22"/>
      <c r="S50" s="22">
        <f t="shared" si="19"/>
        <v>4561.2619283419936</v>
      </c>
      <c r="T50" s="22">
        <f t="shared" si="20"/>
        <v>1046.0246434525768</v>
      </c>
    </row>
    <row r="51" spans="1:20" x14ac:dyDescent="0.2">
      <c r="A51" s="5">
        <v>60</v>
      </c>
      <c r="B51" s="1">
        <f t="shared" si="13"/>
        <v>2.4325353157178964</v>
      </c>
      <c r="C51" s="5">
        <f t="shared" si="14"/>
        <v>97035.97328952144</v>
      </c>
      <c r="D51" s="5">
        <f t="shared" si="15"/>
        <v>92719.866705176799</v>
      </c>
      <c r="E51" s="5">
        <f t="shared" si="1"/>
        <v>83219.866705176799</v>
      </c>
      <c r="F51" s="5">
        <f t="shared" si="2"/>
        <v>32345.023149757908</v>
      </c>
      <c r="G51" s="5">
        <f t="shared" si="3"/>
        <v>60374.843555418891</v>
      </c>
      <c r="H51" s="22">
        <f t="shared" si="16"/>
        <v>41330.967952969397</v>
      </c>
      <c r="I51" s="5">
        <f t="shared" si="17"/>
        <v>99515.270206880901</v>
      </c>
      <c r="J51" s="25">
        <f t="shared" si="5"/>
        <v>0.24053562446033219</v>
      </c>
      <c r="L51" s="22">
        <f t="shared" si="18"/>
        <v>171570.84416811308</v>
      </c>
      <c r="M51" s="5">
        <f>scrimecost*Meta!O48</f>
        <v>2252.9780000000001</v>
      </c>
      <c r="N51" s="5">
        <f>L51-Grade17!L51</f>
        <v>38463.320032171789</v>
      </c>
      <c r="O51" s="5">
        <f>Grade17!M51-M51</f>
        <v>0</v>
      </c>
      <c r="P51" s="22">
        <f t="shared" si="12"/>
        <v>0</v>
      </c>
      <c r="Q51" s="22"/>
      <c r="R51" s="22"/>
      <c r="S51" s="22">
        <f t="shared" si="19"/>
        <v>4675.2934765505452</v>
      </c>
      <c r="T51" s="22">
        <f t="shared" si="20"/>
        <v>1029.2021757786313</v>
      </c>
    </row>
    <row r="52" spans="1:20" x14ac:dyDescent="0.2">
      <c r="A52" s="5">
        <v>61</v>
      </c>
      <c r="B52" s="1">
        <f t="shared" si="13"/>
        <v>2.4933486986108435</v>
      </c>
      <c r="C52" s="5">
        <f t="shared" si="14"/>
        <v>99461.872621759481</v>
      </c>
      <c r="D52" s="5">
        <f t="shared" si="15"/>
        <v>95017.193372806229</v>
      </c>
      <c r="E52" s="5">
        <f t="shared" si="1"/>
        <v>85517.193372806229</v>
      </c>
      <c r="F52" s="5">
        <f t="shared" si="2"/>
        <v>33382.348774686041</v>
      </c>
      <c r="G52" s="5">
        <f t="shared" si="3"/>
        <v>61634.844598120188</v>
      </c>
      <c r="H52" s="22">
        <f t="shared" si="16"/>
        <v>42364.242151793624</v>
      </c>
      <c r="I52" s="5">
        <f t="shared" si="17"/>
        <v>101753.78191586875</v>
      </c>
      <c r="J52" s="25">
        <f t="shared" si="5"/>
        <v>0.24239230891331878</v>
      </c>
      <c r="L52" s="22">
        <f t="shared" si="18"/>
        <v>175860.11527231589</v>
      </c>
      <c r="M52" s="5">
        <f>scrimecost*Meta!O49</f>
        <v>2252.9780000000001</v>
      </c>
      <c r="N52" s="5">
        <f>L52-Grade17!L52</f>
        <v>39424.903032976115</v>
      </c>
      <c r="O52" s="5">
        <f>Grade17!M52-M52</f>
        <v>0</v>
      </c>
      <c r="P52" s="22">
        <f t="shared" si="12"/>
        <v>0</v>
      </c>
      <c r="Q52" s="22"/>
      <c r="R52" s="22"/>
      <c r="S52" s="22">
        <f t="shared" si="19"/>
        <v>4792.1758134643123</v>
      </c>
      <c r="T52" s="22">
        <f t="shared" si="20"/>
        <v>1012.6502518441787</v>
      </c>
    </row>
    <row r="53" spans="1:20" x14ac:dyDescent="0.2">
      <c r="A53" s="5">
        <v>62</v>
      </c>
      <c r="B53" s="1">
        <f t="shared" si="13"/>
        <v>2.555682416076114</v>
      </c>
      <c r="C53" s="5">
        <f t="shared" si="14"/>
        <v>101948.41943730344</v>
      </c>
      <c r="D53" s="5">
        <f t="shared" si="15"/>
        <v>97371.953207126353</v>
      </c>
      <c r="E53" s="5">
        <f t="shared" si="1"/>
        <v>87871.953207126353</v>
      </c>
      <c r="F53" s="5">
        <f t="shared" si="2"/>
        <v>34457.29663905318</v>
      </c>
      <c r="G53" s="5">
        <f t="shared" si="3"/>
        <v>62914.656568073173</v>
      </c>
      <c r="H53" s="22">
        <f t="shared" si="16"/>
        <v>43423.348205588452</v>
      </c>
      <c r="I53" s="5">
        <f t="shared" si="17"/>
        <v>104036.56731876543</v>
      </c>
      <c r="J53" s="25">
        <f t="shared" si="5"/>
        <v>0.24428861684271558</v>
      </c>
      <c r="L53" s="22">
        <f t="shared" si="18"/>
        <v>180256.61815412372</v>
      </c>
      <c r="M53" s="5">
        <f>scrimecost*Meta!O50</f>
        <v>2252.9780000000001</v>
      </c>
      <c r="N53" s="5">
        <f>L53-Grade17!L53</f>
        <v>40410.525608800439</v>
      </c>
      <c r="O53" s="5">
        <f>Grade17!M53-M53</f>
        <v>0</v>
      </c>
      <c r="P53" s="22">
        <f t="shared" si="12"/>
        <v>0</v>
      </c>
      <c r="Q53" s="22"/>
      <c r="R53" s="22"/>
      <c r="S53" s="22">
        <f t="shared" si="19"/>
        <v>4911.980208800911</v>
      </c>
      <c r="T53" s="22">
        <f t="shared" si="20"/>
        <v>996.3645206873714</v>
      </c>
    </row>
    <row r="54" spans="1:20" x14ac:dyDescent="0.2">
      <c r="A54" s="5">
        <v>63</v>
      </c>
      <c r="B54" s="1">
        <f t="shared" si="13"/>
        <v>2.6195744764780171</v>
      </c>
      <c r="C54" s="5">
        <f t="shared" si="14"/>
        <v>104497.12992323605</v>
      </c>
      <c r="D54" s="5">
        <f t="shared" si="15"/>
        <v>99785.582037304528</v>
      </c>
      <c r="E54" s="5">
        <f t="shared" si="1"/>
        <v>90285.582037304528</v>
      </c>
      <c r="F54" s="5">
        <f t="shared" si="2"/>
        <v>35559.118200029523</v>
      </c>
      <c r="G54" s="5">
        <f t="shared" si="3"/>
        <v>64226.463837275005</v>
      </c>
      <c r="H54" s="22">
        <f t="shared" si="16"/>
        <v>44508.93191072817</v>
      </c>
      <c r="I54" s="5">
        <f t="shared" si="17"/>
        <v>106376.42235673458</v>
      </c>
      <c r="J54" s="25">
        <f t="shared" si="5"/>
        <v>0.24613867335920039</v>
      </c>
      <c r="L54" s="22">
        <f t="shared" si="18"/>
        <v>184763.03360797686</v>
      </c>
      <c r="M54" s="5">
        <f>scrimecost*Meta!O51</f>
        <v>2252.9780000000001</v>
      </c>
      <c r="N54" s="5">
        <f>L54-Grade17!L54</f>
        <v>41420.788749020518</v>
      </c>
      <c r="O54" s="5">
        <f>Grade17!M54-M54</f>
        <v>0</v>
      </c>
      <c r="P54" s="22">
        <f t="shared" si="12"/>
        <v>0</v>
      </c>
      <c r="Q54" s="22"/>
      <c r="R54" s="22"/>
      <c r="S54" s="22">
        <f t="shared" si="19"/>
        <v>5034.7797140209414</v>
      </c>
      <c r="T54" s="22">
        <f t="shared" si="20"/>
        <v>980.34070131978478</v>
      </c>
    </row>
    <row r="55" spans="1:20" x14ac:dyDescent="0.2">
      <c r="A55" s="5">
        <v>64</v>
      </c>
      <c r="B55" s="1">
        <f t="shared" si="13"/>
        <v>2.6850638383899672</v>
      </c>
      <c r="C55" s="5">
        <f t="shared" si="14"/>
        <v>107109.55817131692</v>
      </c>
      <c r="D55" s="5">
        <f t="shared" si="15"/>
        <v>102259.55158823713</v>
      </c>
      <c r="E55" s="5">
        <f t="shared" si="1"/>
        <v>92759.551588237126</v>
      </c>
      <c r="F55" s="5">
        <f t="shared" si="2"/>
        <v>36688.485300030246</v>
      </c>
      <c r="G55" s="5">
        <f t="shared" si="3"/>
        <v>65571.066288206872</v>
      </c>
      <c r="H55" s="22">
        <f t="shared" si="16"/>
        <v>45621.65520849637</v>
      </c>
      <c r="I55" s="5">
        <f t="shared" si="17"/>
        <v>108774.77377065293</v>
      </c>
      <c r="J55" s="25">
        <f t="shared" si="5"/>
        <v>0.24794360654601477</v>
      </c>
      <c r="L55" s="22">
        <f t="shared" si="18"/>
        <v>189382.10944817623</v>
      </c>
      <c r="M55" s="5">
        <f>scrimecost*Meta!O52</f>
        <v>2252.9780000000001</v>
      </c>
      <c r="N55" s="5">
        <f>L55-Grade17!L55</f>
        <v>42456.308467745956</v>
      </c>
      <c r="O55" s="5">
        <f>Grade17!M55-M55</f>
        <v>0</v>
      </c>
      <c r="P55" s="22">
        <f t="shared" si="12"/>
        <v>0</v>
      </c>
      <c r="Q55" s="22"/>
      <c r="R55" s="22"/>
      <c r="S55" s="22">
        <f t="shared" si="19"/>
        <v>5160.649206871456</v>
      </c>
      <c r="T55" s="22">
        <f t="shared" si="20"/>
        <v>964.5745816010625</v>
      </c>
    </row>
    <row r="56" spans="1:20" x14ac:dyDescent="0.2">
      <c r="A56" s="5">
        <v>65</v>
      </c>
      <c r="B56" s="1">
        <f t="shared" si="13"/>
        <v>2.7521904343497163</v>
      </c>
      <c r="C56" s="5">
        <f t="shared" si="14"/>
        <v>109787.29712559984</v>
      </c>
      <c r="D56" s="5">
        <f t="shared" si="15"/>
        <v>104795.37037794305</v>
      </c>
      <c r="E56" s="5">
        <f t="shared" si="1"/>
        <v>95295.370377943051</v>
      </c>
      <c r="F56" s="5">
        <f t="shared" si="2"/>
        <v>37846.086577531001</v>
      </c>
      <c r="G56" s="5">
        <f t="shared" si="3"/>
        <v>66949.283800412057</v>
      </c>
      <c r="H56" s="22">
        <f t="shared" si="16"/>
        <v>46762.196588708772</v>
      </c>
      <c r="I56" s="5">
        <f t="shared" si="17"/>
        <v>111233.08396991926</v>
      </c>
      <c r="J56" s="25">
        <f t="shared" si="5"/>
        <v>0.24970451697217522</v>
      </c>
      <c r="L56" s="22">
        <f t="shared" si="18"/>
        <v>194116.66218438064</v>
      </c>
      <c r="M56" s="5">
        <f>scrimecost*Meta!O53</f>
        <v>680.84500000000003</v>
      </c>
      <c r="N56" s="5">
        <f>L56-Grade17!L56</f>
        <v>43517.716179439652</v>
      </c>
      <c r="O56" s="5">
        <f>Grade17!M56-M56</f>
        <v>0</v>
      </c>
      <c r="P56" s="22">
        <f t="shared" si="12"/>
        <v>0</v>
      </c>
      <c r="Q56" s="22"/>
      <c r="R56" s="22"/>
      <c r="S56" s="22">
        <f t="shared" si="19"/>
        <v>5289.6654370432479</v>
      </c>
      <c r="T56" s="22">
        <f t="shared" si="20"/>
        <v>949.06201713170708</v>
      </c>
    </row>
    <row r="57" spans="1:20" x14ac:dyDescent="0.2">
      <c r="A57" s="5">
        <v>66</v>
      </c>
      <c r="C57" s="5"/>
      <c r="H57" s="21"/>
      <c r="I57" s="5"/>
      <c r="M57" s="5">
        <f>scrimecost*Meta!O54</f>
        <v>680.84500000000003</v>
      </c>
      <c r="N57" s="5">
        <f>L57-Grade17!L57</f>
        <v>0</v>
      </c>
      <c r="O57" s="5">
        <f>Grade17!M57-M57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680.84500000000003</v>
      </c>
      <c r="N58" s="5">
        <f>L58-Grade17!L58</f>
        <v>0</v>
      </c>
      <c r="O58" s="5">
        <f>Grade17!M58-M58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680.84500000000003</v>
      </c>
      <c r="N59" s="5">
        <f>L59-Grade17!L59</f>
        <v>0</v>
      </c>
      <c r="O59" s="5">
        <f>Grade17!M59-M59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680.84500000000003</v>
      </c>
      <c r="N60" s="5">
        <f>L60-Grade17!L60</f>
        <v>0</v>
      </c>
      <c r="O60" s="5">
        <f>Grade17!M60-M60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680.84500000000003</v>
      </c>
      <c r="N61" s="5">
        <f>L61-Grade17!L61</f>
        <v>0</v>
      </c>
      <c r="O61" s="5">
        <f>Grade17!M61-M61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680.84500000000003</v>
      </c>
      <c r="N62" s="5">
        <f>L62-Grade17!L62</f>
        <v>0</v>
      </c>
      <c r="O62" s="5">
        <f>Grade17!M62-M62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680.84500000000003</v>
      </c>
      <c r="N63" s="5">
        <f>L63-Grade17!L63</f>
        <v>0</v>
      </c>
      <c r="O63" s="5">
        <f>Grade17!M63-M63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680.84500000000003</v>
      </c>
      <c r="N64" s="5">
        <f>L64-Grade17!L64</f>
        <v>0</v>
      </c>
      <c r="O64" s="5">
        <f>Grade17!M64-M64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680.84500000000003</v>
      </c>
      <c r="N65" s="5">
        <f>L65-Grade17!L65</f>
        <v>0</v>
      </c>
      <c r="O65" s="5">
        <f>Grade17!M65-M65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680.84500000000003</v>
      </c>
      <c r="N66" s="5">
        <f>L66-Grade17!L66</f>
        <v>0</v>
      </c>
      <c r="O66" s="5">
        <f>Grade17!M66-M66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680.84500000000003</v>
      </c>
      <c r="N67" s="5">
        <f>L67-Grade17!L67</f>
        <v>0</v>
      </c>
      <c r="O67" s="5">
        <f>Grade17!M67-M67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680.84500000000003</v>
      </c>
      <c r="N68" s="5">
        <f>L68-Grade17!L68</f>
        <v>0</v>
      </c>
      <c r="O68" s="5">
        <f>Grade17!M68-M68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680.84500000000003</v>
      </c>
      <c r="N69" s="5">
        <f>L69-Grade17!L69</f>
        <v>0</v>
      </c>
      <c r="O69" s="5">
        <f>Grade17!M69-M69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-7.1281647251453251E-11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workbookViewId="0">
      <selection activeCell="G7" sqref="G7"/>
    </sheetView>
  </sheetViews>
  <sheetFormatPr defaultRowHeight="12.75" x14ac:dyDescent="0.2"/>
  <cols>
    <col min="1" max="16384" width="9.140625" style="8"/>
  </cols>
  <sheetData>
    <row r="1" spans="1:22" x14ac:dyDescent="0.2">
      <c r="A1" s="18" t="s">
        <v>5</v>
      </c>
      <c r="B1" s="8" t="s">
        <v>8</v>
      </c>
      <c r="D1" s="8" t="s">
        <v>13</v>
      </c>
      <c r="F1" s="8" t="s">
        <v>21</v>
      </c>
      <c r="G1" s="8" t="s">
        <v>34</v>
      </c>
      <c r="K1" s="8" t="s">
        <v>22</v>
      </c>
      <c r="L1" s="8" t="s">
        <v>26</v>
      </c>
      <c r="M1" s="8" t="s">
        <v>30</v>
      </c>
      <c r="N1" s="8" t="s">
        <v>23</v>
      </c>
      <c r="O1" s="8" t="s">
        <v>27</v>
      </c>
      <c r="P1" s="8" t="s">
        <v>31</v>
      </c>
      <c r="Q1" s="8" t="s">
        <v>24</v>
      </c>
      <c r="R1" s="8" t="s">
        <v>28</v>
      </c>
      <c r="S1" s="8" t="s">
        <v>32</v>
      </c>
      <c r="T1" s="8" t="s">
        <v>25</v>
      </c>
      <c r="U1" s="8" t="s">
        <v>29</v>
      </c>
      <c r="V1" s="8" t="s">
        <v>33</v>
      </c>
    </row>
    <row r="2" spans="1:22" x14ac:dyDescent="0.2">
      <c r="A2" s="18">
        <v>8</v>
      </c>
      <c r="B2" s="11">
        <f>Meta!E2</f>
        <v>1</v>
      </c>
    </row>
    <row r="3" spans="1:22" x14ac:dyDescent="0.2">
      <c r="A3" s="18">
        <v>9</v>
      </c>
      <c r="B3" s="11">
        <f>Meta!E3</f>
        <v>0.878</v>
      </c>
      <c r="D3" s="8">
        <f>Grade9!T2</f>
        <v>1.0401150016544811</v>
      </c>
      <c r="F3" s="15">
        <f t="shared" ref="F3:F12" si="0">(D3-1)*100</f>
        <v>4.0115001654481119</v>
      </c>
      <c r="G3" s="15">
        <f>K3*M3+K4*M4+K5*M5+K6*M6</f>
        <v>3.9600089045895359</v>
      </c>
      <c r="H3" s="15"/>
      <c r="I3" s="15"/>
      <c r="K3" s="8">
        <f>1-B3</f>
        <v>0.122</v>
      </c>
      <c r="L3" s="8">
        <f>D3</f>
        <v>1.0401150016544811</v>
      </c>
      <c r="M3" s="8">
        <f t="shared" ref="M3:M12" si="1">(L3-1)*100</f>
        <v>4.0115001654481119</v>
      </c>
    </row>
    <row r="4" spans="1:22" x14ac:dyDescent="0.2">
      <c r="A4" s="18">
        <v>10</v>
      </c>
      <c r="B4" s="11">
        <f>Meta!E4</f>
        <v>0.878</v>
      </c>
      <c r="D4" s="8">
        <f>Grade10!T2</f>
        <v>1.0401191375359189</v>
      </c>
      <c r="F4" s="15">
        <f t="shared" si="0"/>
        <v>4.0119137535918892</v>
      </c>
      <c r="G4" s="15">
        <f>N4*P4+N5*P5+N6*P6</f>
        <v>3.9326854206745501</v>
      </c>
      <c r="H4" s="15"/>
      <c r="I4" s="15"/>
      <c r="K4" s="8">
        <f>B3*(1-B4)</f>
        <v>0.107116</v>
      </c>
      <c r="L4" s="8">
        <f>(D3*D4)^0.5</f>
        <v>1.0401170695931443</v>
      </c>
      <c r="M4" s="8">
        <f t="shared" si="1"/>
        <v>4.0117069593144317</v>
      </c>
      <c r="N4" s="8">
        <f>1-B4</f>
        <v>0.122</v>
      </c>
      <c r="O4" s="8">
        <f>D4</f>
        <v>1.0401191375359189</v>
      </c>
      <c r="P4" s="8">
        <f>(O4-1)*100</f>
        <v>4.0119137535918892</v>
      </c>
    </row>
    <row r="5" spans="1:22" x14ac:dyDescent="0.2">
      <c r="A5" s="18">
        <v>11</v>
      </c>
      <c r="B5" s="11">
        <f>Meta!E5</f>
        <v>0.878</v>
      </c>
      <c r="D5" s="8">
        <f>Grade11!T2</f>
        <v>1.0390263415293439</v>
      </c>
      <c r="F5" s="15">
        <f t="shared" si="0"/>
        <v>3.9026341529343922</v>
      </c>
      <c r="G5" s="15">
        <f>Q5*S5+Q6*S6</f>
        <v>3.8732561140682797</v>
      </c>
      <c r="H5" s="15"/>
      <c r="I5" s="15"/>
      <c r="K5" s="8">
        <f>B3*B4*(1-B5)</f>
        <v>9.4047848000000003E-2</v>
      </c>
      <c r="L5" s="8">
        <f>(D3*D4*D5)^(1/3)</f>
        <v>1.0397533664087033</v>
      </c>
      <c r="M5" s="8">
        <f t="shared" si="1"/>
        <v>3.9753366408703306</v>
      </c>
      <c r="N5" s="8">
        <f>B4*(1-B5)</f>
        <v>0.107116</v>
      </c>
      <c r="O5" s="8">
        <f>(D4*D5)^0.5</f>
        <v>1.0395725959396016</v>
      </c>
      <c r="P5" s="8">
        <f>(O5-1)*100</f>
        <v>3.9572595939601607</v>
      </c>
      <c r="Q5" s="8">
        <f>1-B5</f>
        <v>0.122</v>
      </c>
      <c r="R5" s="8">
        <f>D5</f>
        <v>1.0390263415293439</v>
      </c>
      <c r="S5" s="8">
        <f>(R5-1)*100</f>
        <v>3.9026341529343922</v>
      </c>
    </row>
    <row r="6" spans="1:22" x14ac:dyDescent="0.2">
      <c r="A6" s="18">
        <v>12</v>
      </c>
      <c r="B6" s="11">
        <f>Meta!E6</f>
        <v>0.878</v>
      </c>
      <c r="D6" s="8">
        <f>Grade12!T2</f>
        <v>1.0383572456636854</v>
      </c>
      <c r="F6" s="15">
        <f t="shared" si="0"/>
        <v>3.8357245663685369</v>
      </c>
      <c r="G6" s="15">
        <f>T6*V6</f>
        <v>3.8357245663685369</v>
      </c>
      <c r="H6" s="15"/>
      <c r="I6" s="15"/>
      <c r="K6" s="8">
        <f>B3*B4*B5</f>
        <v>0.67683615200000002</v>
      </c>
      <c r="L6" s="8">
        <f>(D3*D4*D5*D6)^0.25</f>
        <v>1.0394041603380775</v>
      </c>
      <c r="M6" s="8">
        <f t="shared" si="1"/>
        <v>3.9404160338077476</v>
      </c>
      <c r="N6" s="8">
        <f>B4*B5</f>
        <v>0.77088400000000001</v>
      </c>
      <c r="O6" s="8">
        <f>(D4*D5*D6)^(1/3)</f>
        <v>1.0391673212061698</v>
      </c>
      <c r="P6" s="8">
        <f>(O6-1)*100</f>
        <v>3.9167321206169836</v>
      </c>
      <c r="Q6" s="8">
        <f>B5</f>
        <v>0.878</v>
      </c>
      <c r="R6" s="8">
        <f>(D5*D6)^0.5</f>
        <v>1.0386917397199349</v>
      </c>
      <c r="S6" s="8">
        <f>(R6-1)*100</f>
        <v>3.8691739719934892</v>
      </c>
      <c r="T6" s="8">
        <v>1</v>
      </c>
      <c r="U6" s="8">
        <f>D6</f>
        <v>1.0383572456636854</v>
      </c>
      <c r="V6" s="8">
        <f>(U6-1)*100</f>
        <v>3.8357245663685369</v>
      </c>
    </row>
    <row r="7" spans="1:22" x14ac:dyDescent="0.2">
      <c r="A7" s="18">
        <v>13</v>
      </c>
      <c r="B7" s="11">
        <f>Meta!E7</f>
        <v>0.497</v>
      </c>
      <c r="D7" s="8">
        <f>Grade13!T2</f>
        <v>1.0396674877424739</v>
      </c>
      <c r="F7" s="15">
        <f t="shared" si="0"/>
        <v>3.9667487742473861</v>
      </c>
      <c r="G7" s="15">
        <f>K7*M7+K8*M8+K9*M9+K10*M10</f>
        <v>4.0096505766145372</v>
      </c>
      <c r="H7" s="15"/>
      <c r="I7" s="15"/>
      <c r="K7" s="8">
        <f>1-B7</f>
        <v>0.503</v>
      </c>
      <c r="L7" s="8">
        <f>D7</f>
        <v>1.0396674877424739</v>
      </c>
      <c r="M7" s="8">
        <f t="shared" si="1"/>
        <v>3.9667487742473861</v>
      </c>
    </row>
    <row r="8" spans="1:22" x14ac:dyDescent="0.2">
      <c r="A8" s="18">
        <v>14</v>
      </c>
      <c r="B8" s="11">
        <f>Meta!E8</f>
        <v>0.497</v>
      </c>
      <c r="D8" s="8">
        <f>Grade14!T2</f>
        <v>1.0409972203784716</v>
      </c>
      <c r="F8" s="15">
        <f t="shared" si="0"/>
        <v>4.0997220378471644</v>
      </c>
      <c r="G8" s="15">
        <f>N8*P8+N9*P9+N10*P10</f>
        <v>4.107877748650405</v>
      </c>
      <c r="H8" s="15"/>
      <c r="I8" s="15"/>
      <c r="K8" s="8">
        <f>B7*(1-B8)</f>
        <v>0.24999099999999999</v>
      </c>
      <c r="L8" s="8">
        <f>(D7*D8)^0.5</f>
        <v>1.0403321416056432</v>
      </c>
      <c r="M8" s="8">
        <f t="shared" si="1"/>
        <v>4.0332141605643246</v>
      </c>
      <c r="N8" s="8">
        <f>1-B8</f>
        <v>0.503</v>
      </c>
      <c r="O8" s="8">
        <f>D8</f>
        <v>1.0409972203784716</v>
      </c>
      <c r="P8" s="8">
        <f>(O8-1)*100</f>
        <v>4.0997220378471644</v>
      </c>
    </row>
    <row r="9" spans="1:22" x14ac:dyDescent="0.2">
      <c r="A9" s="18">
        <v>15</v>
      </c>
      <c r="B9" s="11">
        <f>Meta!E9</f>
        <v>0.497</v>
      </c>
      <c r="D9" s="8">
        <f>Grade15!T2</f>
        <v>1.0410088306512055</v>
      </c>
      <c r="F9" s="15">
        <f t="shared" si="0"/>
        <v>4.100883065120553</v>
      </c>
      <c r="G9" s="15">
        <f>Q9*S9+Q10*S10</f>
        <v>4.1244847424490327</v>
      </c>
      <c r="H9" s="15"/>
      <c r="I9" s="15"/>
      <c r="K9" s="8">
        <f>B7*B8*(1-B9)</f>
        <v>0.12424552700000001</v>
      </c>
      <c r="L9" s="8">
        <f>(D7*D8*D9)^(1/3)</f>
        <v>1.0405576557323133</v>
      </c>
      <c r="M9" s="8">
        <f t="shared" si="1"/>
        <v>4.0557655732313291</v>
      </c>
      <c r="N9" s="8">
        <f>B8*(1-B9)</f>
        <v>0.24999099999999999</v>
      </c>
      <c r="O9" s="8">
        <f>(D8*D9)^0.5</f>
        <v>1.0410030254986524</v>
      </c>
      <c r="P9" s="8">
        <f>(O9-1)*100</f>
        <v>4.1003025498652423</v>
      </c>
      <c r="Q9" s="8">
        <f>1-B9</f>
        <v>0.503</v>
      </c>
      <c r="R9" s="8">
        <f>D9</f>
        <v>1.0410088306512055</v>
      </c>
      <c r="S9" s="8">
        <f>(R9-1)*100</f>
        <v>4.100883065120553</v>
      </c>
    </row>
    <row r="10" spans="1:22" x14ac:dyDescent="0.2">
      <c r="A10" s="18">
        <v>16</v>
      </c>
      <c r="B10" s="11">
        <f>Meta!E10</f>
        <v>0.497</v>
      </c>
      <c r="D10" s="8">
        <f>Grade16!T2</f>
        <v>1.0419588129684416</v>
      </c>
      <c r="F10" s="15">
        <f t="shared" si="0"/>
        <v>4.1958812968441617</v>
      </c>
      <c r="G10" s="15">
        <f>T10*V10</f>
        <v>4.1958812968441617</v>
      </c>
      <c r="H10" s="15"/>
      <c r="I10" s="15"/>
      <c r="K10" s="8">
        <f>B7*B8*B9</f>
        <v>0.122763473</v>
      </c>
      <c r="L10" s="8">
        <f>(D7*D8*D9*D10)^0.25</f>
        <v>1.0409077683000938</v>
      </c>
      <c r="M10" s="8">
        <f t="shared" si="1"/>
        <v>4.0907768300093794</v>
      </c>
      <c r="N10" s="8">
        <f>B8*B9</f>
        <v>0.24700900000000001</v>
      </c>
      <c r="O10" s="8">
        <f>(D8*D9*D10)^(1/3)</f>
        <v>1.0413215238663336</v>
      </c>
      <c r="P10" s="8">
        <f>(O10-1)*100</f>
        <v>4.1321523866333587</v>
      </c>
      <c r="Q10" s="8">
        <f>B9</f>
        <v>0.497</v>
      </c>
      <c r="R10" s="8">
        <f>(D9*D10)^0.5</f>
        <v>1.0414837134948369</v>
      </c>
      <c r="S10" s="8">
        <f>(R10-1)*100</f>
        <v>4.1483713494836927</v>
      </c>
      <c r="T10" s="8">
        <v>1</v>
      </c>
      <c r="U10" s="8">
        <f>D10</f>
        <v>1.0419588129684416</v>
      </c>
      <c r="V10" s="8">
        <f>(U10-1)*100</f>
        <v>4.1958812968441617</v>
      </c>
    </row>
    <row r="11" spans="1:22" x14ac:dyDescent="0.2">
      <c r="A11" s="18">
        <v>17</v>
      </c>
      <c r="B11" s="11">
        <f>Meta!E11</f>
        <v>0.214</v>
      </c>
      <c r="D11" s="8">
        <f>Grade17!T2</f>
        <v>1.0401100913394121</v>
      </c>
      <c r="F11" s="15">
        <f t="shared" si="0"/>
        <v>4.0110091339412124</v>
      </c>
      <c r="G11" s="15">
        <f>K11*M11+K12*M12</f>
        <v>4.0285896860715749</v>
      </c>
      <c r="H11" s="15"/>
      <c r="I11" s="15"/>
      <c r="K11" s="8">
        <f>1-B11</f>
        <v>0.78600000000000003</v>
      </c>
      <c r="L11" s="8">
        <f>D11</f>
        <v>1.0401100913394121</v>
      </c>
      <c r="M11" s="8">
        <f t="shared" si="1"/>
        <v>4.0110091339412124</v>
      </c>
    </row>
    <row r="12" spans="1:22" x14ac:dyDescent="0.2">
      <c r="A12" s="18">
        <v>18</v>
      </c>
      <c r="B12" s="11">
        <f>Meta!E12</f>
        <v>0.214</v>
      </c>
      <c r="D12" s="8">
        <f>Grade18!T2</f>
        <v>1.0417537824652863</v>
      </c>
      <c r="F12" s="15">
        <f t="shared" si="0"/>
        <v>4.1753782465286271</v>
      </c>
      <c r="G12" s="15">
        <f>N12*P12</f>
        <v>4.1753782465286271</v>
      </c>
      <c r="H12" s="15"/>
      <c r="I12" s="15"/>
      <c r="K12" s="8">
        <f>B11</f>
        <v>0.214</v>
      </c>
      <c r="L12" s="8">
        <f>(D11*D12)^0.5</f>
        <v>1.0409316124669992</v>
      </c>
      <c r="M12" s="8">
        <f t="shared" si="1"/>
        <v>4.0931612466999168</v>
      </c>
      <c r="N12" s="8">
        <v>1</v>
      </c>
      <c r="O12" s="8">
        <f>D12</f>
        <v>1.0417537824652863</v>
      </c>
      <c r="P12" s="8">
        <f>(O12-1)*100</f>
        <v>4.1753782465286271</v>
      </c>
    </row>
    <row r="14" spans="1:22" x14ac:dyDescent="0.2">
      <c r="B14" s="16"/>
    </row>
    <row r="15" spans="1:22" x14ac:dyDescent="0.2">
      <c r="B15" s="16"/>
    </row>
    <row r="16" spans="1:22" x14ac:dyDescent="0.2">
      <c r="B16" s="16"/>
    </row>
    <row r="17" spans="2:4" x14ac:dyDescent="0.2">
      <c r="B17" s="16"/>
    </row>
    <row r="18" spans="2:4" x14ac:dyDescent="0.2">
      <c r="B18" s="16"/>
    </row>
    <row r="19" spans="2:4" x14ac:dyDescent="0.2">
      <c r="B19" s="16"/>
      <c r="D19" s="29"/>
    </row>
    <row r="20" spans="2:4" x14ac:dyDescent="0.2">
      <c r="B20" s="16"/>
    </row>
    <row r="21" spans="2:4" x14ac:dyDescent="0.2">
      <c r="B21" s="16"/>
    </row>
    <row r="22" spans="2:4" x14ac:dyDescent="0.2">
      <c r="B22" s="16"/>
    </row>
    <row r="23" spans="2:4" x14ac:dyDescent="0.2">
      <c r="B23" s="16"/>
    </row>
    <row r="24" spans="2:4" x14ac:dyDescent="0.2">
      <c r="B24" s="16"/>
    </row>
    <row r="25" spans="2:4" x14ac:dyDescent="0.2">
      <c r="B25" s="16"/>
    </row>
    <row r="26" spans="2:4" x14ac:dyDescent="0.2">
      <c r="B26" s="16"/>
    </row>
    <row r="27" spans="2:4" x14ac:dyDescent="0.2">
      <c r="B27" s="2"/>
    </row>
    <row r="28" spans="2:4" x14ac:dyDescent="0.2">
      <c r="B28" s="2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workbookViewId="0">
      <selection activeCell="R2" sqref="R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8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</row>
    <row r="2" spans="1:18" x14ac:dyDescent="0.2">
      <c r="B2" s="5">
        <f>Meta!A2+6</f>
        <v>14</v>
      </c>
      <c r="C2" s="7">
        <f>Meta!B2</f>
        <v>26017</v>
      </c>
      <c r="D2" s="7">
        <f>Meta!C2</f>
        <v>11968</v>
      </c>
      <c r="E2" s="1">
        <f>Meta!D2</f>
        <v>0.111</v>
      </c>
      <c r="F2" s="1">
        <f>Meta!F2</f>
        <v>0.51700000000000002</v>
      </c>
      <c r="G2" s="1">
        <f>Meta!I2</f>
        <v>2.0085479604911836</v>
      </c>
      <c r="H2" s="1">
        <f>Meta!E2</f>
        <v>1</v>
      </c>
      <c r="I2" s="13"/>
      <c r="K2" s="1">
        <f>Meta!D2</f>
        <v>0.111</v>
      </c>
      <c r="L2" s="13"/>
      <c r="N2" s="22">
        <f>Meta!T2</f>
        <v>25751</v>
      </c>
      <c r="O2" s="22">
        <f>Meta!U2</f>
        <v>11846</v>
      </c>
      <c r="P2" s="1">
        <f>Meta!V2</f>
        <v>0.104</v>
      </c>
      <c r="Q2" s="1">
        <f>Meta!X2</f>
        <v>0.53200000000000003</v>
      </c>
      <c r="R2" s="22">
        <f>Meta!W2</f>
        <v>13867</v>
      </c>
    </row>
    <row r="3" spans="1:18" ht="14.25" x14ac:dyDescent="0.2">
      <c r="C3" s="3"/>
      <c r="G3" s="4"/>
      <c r="L3" s="1" t="s">
        <v>10</v>
      </c>
    </row>
    <row r="4" spans="1:18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</row>
    <row r="5" spans="1:18" x14ac:dyDescent="0.2">
      <c r="A5" s="5">
        <v>14</v>
      </c>
      <c r="B5" s="1">
        <f t="shared" ref="B5:B36" si="0">(1+experiencepremium)^(A5-startage)</f>
        <v>1</v>
      </c>
      <c r="C5" s="5">
        <f>pretaxincome*B5/expnorm</f>
        <v>12953.13854175413</v>
      </c>
      <c r="D5" s="5">
        <f>IF(A5&lt;startage,1,0)*(C5*(1-initialunempprob))+IF(A5=startage,1,0)*(C5*(1-unempprob))+IF(A5&gt;startage,1,0)*(C5*(1-unempprob)+unempprob*300*52)</f>
        <v>11515.340163619421</v>
      </c>
      <c r="E5" s="5">
        <f>IF(D5-9500&gt;0,1,0)*(D5-9500)</f>
        <v>2015.3401636194212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1283.9915552407699</v>
      </c>
      <c r="G5" s="5">
        <f>D5-F5</f>
        <v>10231.348608378652</v>
      </c>
      <c r="H5" s="22">
        <f t="shared" ref="H5:H36" si="1">benefits*B5/expnorm</f>
        <v>5958.5333461857026</v>
      </c>
      <c r="I5" s="5">
        <f>G5+IF(A5&lt;startage,1,0)*(H5*(1-initialunempprob))+IF(A5&gt;=startage,1,0)*(H5*(1-unempprob))</f>
        <v>15528.484753137742</v>
      </c>
      <c r="J5" s="25">
        <f t="shared" ref="J5:J36" si="2">(F5-(IF(A5&gt;startage,1,0)*(unempprob*300*52)))/(IF(A5&lt;startage,1,0)*((C5+H5)*(1-initialunempprob))+IF(A5&gt;=startage,1,0)*((C5+H5)*(1-unempprob)))</f>
        <v>7.6371352541379736E-2</v>
      </c>
      <c r="L5" s="22">
        <f t="shared" ref="L5:L36" si="3">(sincome+sbenefits)*(1-sunemp)*B5/expnorm</f>
        <v>16771.773770222535</v>
      </c>
      <c r="M5" s="5">
        <f>scrimecost*Meta!O2</f>
        <v>15170.498000000001</v>
      </c>
      <c r="N5" s="22"/>
    </row>
    <row r="6" spans="1:18" x14ac:dyDescent="0.2">
      <c r="A6" s="5">
        <v>15</v>
      </c>
      <c r="B6" s="1">
        <f t="shared" si="0"/>
        <v>1.0249999999999999</v>
      </c>
      <c r="C6" s="5">
        <f t="shared" ref="C6:C36" si="4">pretaxincome*B6/expnorm</f>
        <v>13276.967005297982</v>
      </c>
      <c r="D6" s="5">
        <f t="shared" ref="D6:D36" si="5">IF(A6&lt;startage,1,0)*(C6*(1-initialunempprob))+IF(A6=startage,1,0)*(C6*(1-unempprob))+IF(A6&gt;startage,1,0)*(C6*(1-unempprob)+unempprob*300*52)</f>
        <v>13534.823667709907</v>
      </c>
      <c r="E6" s="5">
        <f t="shared" ref="E6:E56" si="6">IF(D6-9500&gt;0,1,0)*(D6-9500)</f>
        <v>4034.8236677099067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1842.3787441217892</v>
      </c>
      <c r="G6" s="5">
        <f t="shared" ref="G6:G56" si="8">D6-F6</f>
        <v>11692.444923588118</v>
      </c>
      <c r="H6" s="22">
        <f t="shared" si="1"/>
        <v>6107.4966798403448</v>
      </c>
      <c r="I6" s="5">
        <f t="shared" ref="I6:I36" si="9">G6+IF(A6&lt;startage,1,0)*(H6*(1-initialunempprob))+IF(A6&gt;=startage,1,0)*(H6*(1-unempprob))</f>
        <v>17122.009471966187</v>
      </c>
      <c r="J6" s="25">
        <f t="shared" si="2"/>
        <v>6.428370309708201E-3</v>
      </c>
      <c r="L6" s="22">
        <f t="shared" si="3"/>
        <v>17191.068114478101</v>
      </c>
      <c r="M6" s="5">
        <f>scrimecost*Meta!O3</f>
        <v>25737.152000000002</v>
      </c>
      <c r="N6" s="22"/>
    </row>
    <row r="7" spans="1:18" x14ac:dyDescent="0.2">
      <c r="A7" s="5">
        <v>16</v>
      </c>
      <c r="B7" s="1">
        <f t="shared" si="0"/>
        <v>1.0506249999999999</v>
      </c>
      <c r="C7" s="5">
        <f t="shared" si="4"/>
        <v>13608.891180430432</v>
      </c>
      <c r="D7" s="5">
        <f t="shared" si="5"/>
        <v>13829.904259402654</v>
      </c>
      <c r="E7" s="5">
        <f t="shared" si="6"/>
        <v>4329.9042594026541</v>
      </c>
      <c r="F7" s="5">
        <f t="shared" si="7"/>
        <v>1923.9685277248341</v>
      </c>
      <c r="G7" s="5">
        <f t="shared" si="8"/>
        <v>11905.935731677821</v>
      </c>
      <c r="H7" s="22">
        <f t="shared" si="1"/>
        <v>6260.1840968363531</v>
      </c>
      <c r="I7" s="5">
        <f t="shared" si="9"/>
        <v>17471.23939376534</v>
      </c>
      <c r="J7" s="25">
        <f t="shared" si="2"/>
        <v>1.0890670160924022E-2</v>
      </c>
      <c r="L7" s="22">
        <f t="shared" si="3"/>
        <v>17620.84481734005</v>
      </c>
      <c r="M7" s="5">
        <f>scrimecost*Meta!O4</f>
        <v>32559.715999999997</v>
      </c>
      <c r="N7" s="22"/>
    </row>
    <row r="8" spans="1:18" x14ac:dyDescent="0.2">
      <c r="A8" s="5">
        <v>17</v>
      </c>
      <c r="B8" s="1">
        <f t="shared" si="0"/>
        <v>1.0768906249999999</v>
      </c>
      <c r="C8" s="5">
        <f t="shared" si="4"/>
        <v>13949.113459941193</v>
      </c>
      <c r="D8" s="5">
        <f t="shared" si="5"/>
        <v>14132.36186588772</v>
      </c>
      <c r="E8" s="5">
        <f t="shared" si="6"/>
        <v>4632.3618658877203</v>
      </c>
      <c r="F8" s="5">
        <f t="shared" si="7"/>
        <v>2007.5980559179548</v>
      </c>
      <c r="G8" s="5">
        <f t="shared" si="8"/>
        <v>12124.763809969765</v>
      </c>
      <c r="H8" s="22">
        <f t="shared" si="1"/>
        <v>6416.6886992572618</v>
      </c>
      <c r="I8" s="5">
        <f t="shared" si="9"/>
        <v>17829.200063609471</v>
      </c>
      <c r="J8" s="25">
        <f t="shared" si="2"/>
        <v>1.5244133430402849E-2</v>
      </c>
      <c r="L8" s="22">
        <f t="shared" si="3"/>
        <v>18061.365937773553</v>
      </c>
      <c r="M8" s="5">
        <f>scrimecost*Meta!O5</f>
        <v>37607.304000000004</v>
      </c>
      <c r="N8" s="22"/>
    </row>
    <row r="9" spans="1:18" x14ac:dyDescent="0.2">
      <c r="A9" s="5">
        <v>18</v>
      </c>
      <c r="B9" s="1">
        <f t="shared" si="0"/>
        <v>1.1038128906249998</v>
      </c>
      <c r="C9" s="5">
        <f t="shared" si="4"/>
        <v>14297.841296439719</v>
      </c>
      <c r="D9" s="5">
        <f t="shared" si="5"/>
        <v>14442.380912534911</v>
      </c>
      <c r="E9" s="5">
        <f t="shared" si="6"/>
        <v>4942.3809125349107</v>
      </c>
      <c r="F9" s="5">
        <f t="shared" si="7"/>
        <v>2093.3183223159031</v>
      </c>
      <c r="G9" s="5">
        <f t="shared" si="8"/>
        <v>12349.062590219008</v>
      </c>
      <c r="H9" s="22">
        <f t="shared" si="1"/>
        <v>6577.105916738692</v>
      </c>
      <c r="I9" s="5">
        <f t="shared" si="9"/>
        <v>18196.109750199706</v>
      </c>
      <c r="J9" s="25">
        <f t="shared" si="2"/>
        <v>1.9491414668918759E-2</v>
      </c>
      <c r="L9" s="22">
        <f t="shared" si="3"/>
        <v>18512.900086217891</v>
      </c>
      <c r="M9" s="5">
        <f>scrimecost*Meta!O6</f>
        <v>45705.631999999998</v>
      </c>
      <c r="N9" s="22"/>
    </row>
    <row r="10" spans="1:18" x14ac:dyDescent="0.2">
      <c r="A10" s="5">
        <v>19</v>
      </c>
      <c r="B10" s="1">
        <f t="shared" si="0"/>
        <v>1.1314082128906247</v>
      </c>
      <c r="C10" s="5">
        <f t="shared" si="4"/>
        <v>14655.287328850713</v>
      </c>
      <c r="D10" s="5">
        <f t="shared" si="5"/>
        <v>14760.150435348283</v>
      </c>
      <c r="E10" s="5">
        <f t="shared" si="6"/>
        <v>5260.1504353482833</v>
      </c>
      <c r="F10" s="5">
        <f t="shared" si="7"/>
        <v>2181.1815953738005</v>
      </c>
      <c r="G10" s="5">
        <f t="shared" si="8"/>
        <v>12578.968839974483</v>
      </c>
      <c r="H10" s="22">
        <f t="shared" si="1"/>
        <v>6741.5335646571593</v>
      </c>
      <c r="I10" s="5">
        <f t="shared" si="9"/>
        <v>18572.192178954698</v>
      </c>
      <c r="J10" s="25">
        <f t="shared" si="2"/>
        <v>2.363510368210504E-2</v>
      </c>
      <c r="L10" s="22">
        <f t="shared" si="3"/>
        <v>18975.722588373334</v>
      </c>
      <c r="M10" s="5">
        <f>scrimecost*Meta!O7</f>
        <v>48853.440999999999</v>
      </c>
      <c r="N10" s="22"/>
    </row>
    <row r="11" spans="1:18" x14ac:dyDescent="0.2">
      <c r="A11" s="5">
        <v>20</v>
      </c>
      <c r="B11" s="1">
        <f t="shared" si="0"/>
        <v>1.1596934182128902</v>
      </c>
      <c r="C11" s="5">
        <f t="shared" si="4"/>
        <v>15021.669512071978</v>
      </c>
      <c r="D11" s="5">
        <f t="shared" si="5"/>
        <v>15085.864196231989</v>
      </c>
      <c r="E11" s="5">
        <f t="shared" si="6"/>
        <v>5585.8641962319889</v>
      </c>
      <c r="F11" s="5">
        <f t="shared" si="7"/>
        <v>2271.2414502581451</v>
      </c>
      <c r="G11" s="5">
        <f t="shared" si="8"/>
        <v>12814.622745973844</v>
      </c>
      <c r="H11" s="22">
        <f t="shared" si="1"/>
        <v>6910.071903773588</v>
      </c>
      <c r="I11" s="5">
        <f t="shared" si="9"/>
        <v>18957.676668428565</v>
      </c>
      <c r="J11" s="25">
        <f t="shared" si="2"/>
        <v>2.7677727109603836E-2</v>
      </c>
      <c r="L11" s="22">
        <f t="shared" si="3"/>
        <v>19450.115653082667</v>
      </c>
      <c r="M11" s="5">
        <f>scrimecost*Meta!O8</f>
        <v>46787.258000000002</v>
      </c>
      <c r="N11" s="22"/>
    </row>
    <row r="12" spans="1:18" x14ac:dyDescent="0.2">
      <c r="A12" s="5">
        <v>21</v>
      </c>
      <c r="B12" s="1">
        <f t="shared" si="0"/>
        <v>1.1886857536682125</v>
      </c>
      <c r="C12" s="5">
        <f t="shared" si="4"/>
        <v>15397.211249873779</v>
      </c>
      <c r="D12" s="5">
        <f t="shared" si="5"/>
        <v>15419.72080113779</v>
      </c>
      <c r="E12" s="5">
        <f t="shared" si="6"/>
        <v>5919.7208011377897</v>
      </c>
      <c r="F12" s="5">
        <f t="shared" si="7"/>
        <v>2363.5528015145992</v>
      </c>
      <c r="G12" s="5">
        <f t="shared" si="8"/>
        <v>13056.167999623191</v>
      </c>
      <c r="H12" s="22">
        <f t="shared" si="1"/>
        <v>7082.8237013679282</v>
      </c>
      <c r="I12" s="5">
        <f t="shared" si="9"/>
        <v>19352.798270139279</v>
      </c>
      <c r="J12" s="25">
        <f t="shared" si="2"/>
        <v>3.162174996570026E-2</v>
      </c>
      <c r="L12" s="22">
        <f t="shared" si="3"/>
        <v>19936.368544409732</v>
      </c>
      <c r="M12" s="5">
        <f>scrimecost*Meta!O9</f>
        <v>42488.487999999998</v>
      </c>
      <c r="N12" s="22"/>
    </row>
    <row r="13" spans="1:18" x14ac:dyDescent="0.2">
      <c r="A13" s="5">
        <v>22</v>
      </c>
      <c r="B13" s="1">
        <f t="shared" si="0"/>
        <v>1.2184028975099177</v>
      </c>
      <c r="C13" s="5">
        <f t="shared" si="4"/>
        <v>15782.141531120622</v>
      </c>
      <c r="D13" s="5">
        <f t="shared" si="5"/>
        <v>15761.923821166234</v>
      </c>
      <c r="E13" s="5">
        <f t="shared" si="6"/>
        <v>6261.9238211662341</v>
      </c>
      <c r="F13" s="5">
        <f t="shared" si="7"/>
        <v>2458.1719365524636</v>
      </c>
      <c r="G13" s="5">
        <f t="shared" si="8"/>
        <v>13303.75188461377</v>
      </c>
      <c r="H13" s="22">
        <f t="shared" si="1"/>
        <v>7259.8942939021254</v>
      </c>
      <c r="I13" s="5">
        <f t="shared" si="9"/>
        <v>19757.797911892761</v>
      </c>
      <c r="J13" s="25">
        <f t="shared" si="2"/>
        <v>3.5469577142379659E-2</v>
      </c>
      <c r="L13" s="22">
        <f t="shared" si="3"/>
        <v>20434.777758019976</v>
      </c>
      <c r="M13" s="5">
        <f>scrimecost*Meta!O10</f>
        <v>38938.536</v>
      </c>
      <c r="N13" s="22"/>
    </row>
    <row r="14" spans="1:18" x14ac:dyDescent="0.2">
      <c r="A14" s="5">
        <v>23</v>
      </c>
      <c r="B14" s="1">
        <f t="shared" si="0"/>
        <v>1.2488629699476654</v>
      </c>
      <c r="C14" s="5">
        <f t="shared" si="4"/>
        <v>16176.695069398633</v>
      </c>
      <c r="D14" s="5">
        <f t="shared" si="5"/>
        <v>16112.681916695385</v>
      </c>
      <c r="E14" s="5">
        <f t="shared" si="6"/>
        <v>6612.6819166953846</v>
      </c>
      <c r="F14" s="5">
        <f t="shared" si="7"/>
        <v>2555.1565499662738</v>
      </c>
      <c r="G14" s="5">
        <f t="shared" si="8"/>
        <v>13557.525366729111</v>
      </c>
      <c r="H14" s="22">
        <f t="shared" si="1"/>
        <v>7441.3916512496771</v>
      </c>
      <c r="I14" s="5">
        <f t="shared" si="9"/>
        <v>20172.922544690075</v>
      </c>
      <c r="J14" s="25">
        <f t="shared" si="2"/>
        <v>3.9223554875725375E-2</v>
      </c>
      <c r="L14" s="22">
        <f t="shared" si="3"/>
        <v>20945.647201970471</v>
      </c>
      <c r="M14" s="5">
        <f>scrimecost*Meta!O11</f>
        <v>36387.008000000002</v>
      </c>
      <c r="N14" s="22"/>
    </row>
    <row r="15" spans="1:18" x14ac:dyDescent="0.2">
      <c r="A15" s="5">
        <v>24</v>
      </c>
      <c r="B15" s="1">
        <f t="shared" si="0"/>
        <v>1.2800845441963571</v>
      </c>
      <c r="C15" s="5">
        <f t="shared" si="4"/>
        <v>16581.1124461336</v>
      </c>
      <c r="D15" s="5">
        <f t="shared" si="5"/>
        <v>16472.208964612772</v>
      </c>
      <c r="E15" s="5">
        <f t="shared" si="6"/>
        <v>6972.2089646127715</v>
      </c>
      <c r="F15" s="5">
        <f t="shared" si="7"/>
        <v>2654.5657787154314</v>
      </c>
      <c r="G15" s="5">
        <f t="shared" si="8"/>
        <v>13817.643185897341</v>
      </c>
      <c r="H15" s="22">
        <f t="shared" si="1"/>
        <v>7627.4264425309193</v>
      </c>
      <c r="I15" s="5">
        <f t="shared" si="9"/>
        <v>20598.425293307329</v>
      </c>
      <c r="J15" s="25">
        <f t="shared" si="2"/>
        <v>4.2885972176550553E-2</v>
      </c>
      <c r="L15" s="22">
        <f t="shared" si="3"/>
        <v>21469.288382019731</v>
      </c>
      <c r="M15" s="5">
        <f>scrimecost*Meta!O12</f>
        <v>34764.569000000003</v>
      </c>
      <c r="N15" s="22"/>
    </row>
    <row r="16" spans="1:18" x14ac:dyDescent="0.2">
      <c r="A16" s="5">
        <v>25</v>
      </c>
      <c r="B16" s="1">
        <f t="shared" si="0"/>
        <v>1.312086657801266</v>
      </c>
      <c r="C16" s="5">
        <f t="shared" si="4"/>
        <v>16995.640257286941</v>
      </c>
      <c r="D16" s="5">
        <f t="shared" si="5"/>
        <v>16840.724188728091</v>
      </c>
      <c r="E16" s="5">
        <f t="shared" si="6"/>
        <v>7340.7241887280907</v>
      </c>
      <c r="F16" s="5">
        <f t="shared" si="7"/>
        <v>2756.460238183317</v>
      </c>
      <c r="G16" s="5">
        <f t="shared" si="8"/>
        <v>14084.263950544773</v>
      </c>
      <c r="H16" s="22">
        <f t="shared" si="1"/>
        <v>7818.1121035941924</v>
      </c>
      <c r="I16" s="5">
        <f t="shared" si="9"/>
        <v>21034.565610640009</v>
      </c>
      <c r="J16" s="25">
        <f t="shared" si="2"/>
        <v>4.645906222613605E-2</v>
      </c>
      <c r="L16" s="22">
        <f t="shared" si="3"/>
        <v>22006.020591570228</v>
      </c>
      <c r="M16" s="5">
        <f>scrimecost*Meta!O13</f>
        <v>29190.035</v>
      </c>
      <c r="N16" s="22"/>
    </row>
    <row r="17" spans="1:14" x14ac:dyDescent="0.2">
      <c r="A17" s="5">
        <v>26</v>
      </c>
      <c r="B17" s="1">
        <f t="shared" si="0"/>
        <v>1.3448888242462975</v>
      </c>
      <c r="C17" s="5">
        <f t="shared" si="4"/>
        <v>17420.531263719113</v>
      </c>
      <c r="D17" s="5">
        <f t="shared" si="5"/>
        <v>17218.452293446291</v>
      </c>
      <c r="E17" s="5">
        <f t="shared" si="6"/>
        <v>7718.4522934462912</v>
      </c>
      <c r="F17" s="5">
        <f t="shared" si="7"/>
        <v>2860.9020591378994</v>
      </c>
      <c r="G17" s="5">
        <f t="shared" si="8"/>
        <v>14357.550234308392</v>
      </c>
      <c r="H17" s="22">
        <f t="shared" si="1"/>
        <v>8013.5649061840459</v>
      </c>
      <c r="I17" s="5">
        <f t="shared" si="9"/>
        <v>21481.609435906008</v>
      </c>
      <c r="J17" s="25">
        <f t="shared" si="2"/>
        <v>4.9945003737926777E-2</v>
      </c>
      <c r="L17" s="22">
        <f t="shared" si="3"/>
        <v>22556.171106359478</v>
      </c>
      <c r="M17" s="5">
        <f>scrimecost*Meta!O14</f>
        <v>29190.035</v>
      </c>
      <c r="N17" s="22"/>
    </row>
    <row r="18" spans="1:14" x14ac:dyDescent="0.2">
      <c r="A18" s="5">
        <v>27</v>
      </c>
      <c r="B18" s="1">
        <f t="shared" si="0"/>
        <v>1.3785110448524549</v>
      </c>
      <c r="C18" s="5">
        <f t="shared" si="4"/>
        <v>17856.044545312088</v>
      </c>
      <c r="D18" s="5">
        <f t="shared" si="5"/>
        <v>17605.623600782445</v>
      </c>
      <c r="E18" s="5">
        <f t="shared" si="6"/>
        <v>8105.6236007824446</v>
      </c>
      <c r="F18" s="5">
        <f t="shared" si="7"/>
        <v>2967.9549256163459</v>
      </c>
      <c r="G18" s="5">
        <f t="shared" si="8"/>
        <v>14637.668675166098</v>
      </c>
      <c r="H18" s="22">
        <f t="shared" si="1"/>
        <v>8213.9040288386459</v>
      </c>
      <c r="I18" s="5">
        <f t="shared" si="9"/>
        <v>21939.829356803653</v>
      </c>
      <c r="J18" s="25">
        <f t="shared" si="2"/>
        <v>5.3345922286015271E-2</v>
      </c>
      <c r="L18" s="22">
        <f t="shared" si="3"/>
        <v>23120.075384018466</v>
      </c>
      <c r="M18" s="5">
        <f>scrimecost*Meta!O15</f>
        <v>29190.035</v>
      </c>
      <c r="N18" s="22"/>
    </row>
    <row r="19" spans="1:14" x14ac:dyDescent="0.2">
      <c r="A19" s="5">
        <v>28</v>
      </c>
      <c r="B19" s="1">
        <f t="shared" si="0"/>
        <v>1.4129738209737661</v>
      </c>
      <c r="C19" s="5">
        <f t="shared" si="4"/>
        <v>18302.445658944889</v>
      </c>
      <c r="D19" s="5">
        <f t="shared" si="5"/>
        <v>18002.474190802008</v>
      </c>
      <c r="E19" s="5">
        <f t="shared" si="6"/>
        <v>8502.4741908020078</v>
      </c>
      <c r="F19" s="5">
        <f t="shared" si="7"/>
        <v>3077.8078232968555</v>
      </c>
      <c r="G19" s="5">
        <f t="shared" si="8"/>
        <v>14924.666367505153</v>
      </c>
      <c r="H19" s="22">
        <f t="shared" si="1"/>
        <v>8419.2516295596124</v>
      </c>
      <c r="I19" s="5">
        <f t="shared" si="9"/>
        <v>22409.381066183647</v>
      </c>
      <c r="J19" s="25">
        <f t="shared" si="2"/>
        <v>5.6669099198504234E-2</v>
      </c>
      <c r="L19" s="22">
        <f t="shared" si="3"/>
        <v>23698.077268618923</v>
      </c>
      <c r="M19" s="5">
        <f>scrimecost*Meta!O16</f>
        <v>29190.035</v>
      </c>
      <c r="N19" s="22"/>
    </row>
    <row r="20" spans="1:14" x14ac:dyDescent="0.2">
      <c r="A20" s="5">
        <v>29</v>
      </c>
      <c r="B20" s="1">
        <f t="shared" si="0"/>
        <v>1.4482981664981105</v>
      </c>
      <c r="C20" s="5">
        <f t="shared" si="4"/>
        <v>18760.006800418512</v>
      </c>
      <c r="D20" s="5">
        <f t="shared" si="5"/>
        <v>18409.246045572057</v>
      </c>
      <c r="E20" s="5">
        <f t="shared" si="6"/>
        <v>8909.2460455720575</v>
      </c>
      <c r="F20" s="5">
        <f t="shared" si="7"/>
        <v>3210.6188338792767</v>
      </c>
      <c r="G20" s="5">
        <f t="shared" si="8"/>
        <v>15198.627211692781</v>
      </c>
      <c r="H20" s="22">
        <f t="shared" si="1"/>
        <v>8629.7329202986039</v>
      </c>
      <c r="I20" s="5">
        <f t="shared" si="9"/>
        <v>22870.459777838241</v>
      </c>
      <c r="J20" s="25">
        <f t="shared" si="2"/>
        <v>6.0741293785549051E-2</v>
      </c>
      <c r="L20" s="22">
        <f t="shared" si="3"/>
        <v>24290.5292003344</v>
      </c>
      <c r="M20" s="5">
        <f>scrimecost*Meta!O17</f>
        <v>29190.035</v>
      </c>
      <c r="N20" s="22"/>
    </row>
    <row r="21" spans="1:14" x14ac:dyDescent="0.2">
      <c r="A21" s="5">
        <v>30</v>
      </c>
      <c r="B21" s="1">
        <f t="shared" si="0"/>
        <v>1.4845056206605631</v>
      </c>
      <c r="C21" s="5">
        <f t="shared" si="4"/>
        <v>19229.006970428974</v>
      </c>
      <c r="D21" s="5">
        <f t="shared" si="5"/>
        <v>18826.187196711358</v>
      </c>
      <c r="E21" s="5">
        <f t="shared" si="6"/>
        <v>9326.1871967113584</v>
      </c>
      <c r="F21" s="5">
        <f t="shared" si="7"/>
        <v>3346.7501197262582</v>
      </c>
      <c r="G21" s="5">
        <f t="shared" si="8"/>
        <v>15479.437076985101</v>
      </c>
      <c r="H21" s="22">
        <f t="shared" si="1"/>
        <v>8845.4762433060678</v>
      </c>
      <c r="I21" s="5">
        <f t="shared" si="9"/>
        <v>23343.065457284196</v>
      </c>
      <c r="J21" s="25">
        <f t="shared" si="2"/>
        <v>6.4714166553397651E-2</v>
      </c>
      <c r="L21" s="22">
        <f t="shared" si="3"/>
        <v>24897.792430342761</v>
      </c>
      <c r="M21" s="5">
        <f>scrimecost*Meta!O18</f>
        <v>23532.298999999999</v>
      </c>
      <c r="N21" s="22"/>
    </row>
    <row r="22" spans="1:14" x14ac:dyDescent="0.2">
      <c r="A22" s="5">
        <v>31</v>
      </c>
      <c r="B22" s="1">
        <f t="shared" si="0"/>
        <v>1.521618261177077</v>
      </c>
      <c r="C22" s="5">
        <f t="shared" si="4"/>
        <v>19709.732144689697</v>
      </c>
      <c r="D22" s="5">
        <f t="shared" si="5"/>
        <v>19253.551876629139</v>
      </c>
      <c r="E22" s="5">
        <f t="shared" si="6"/>
        <v>9753.5518766291389</v>
      </c>
      <c r="F22" s="5">
        <f t="shared" si="7"/>
        <v>3486.2846877194138</v>
      </c>
      <c r="G22" s="5">
        <f t="shared" si="8"/>
        <v>15767.267188909726</v>
      </c>
      <c r="H22" s="22">
        <f t="shared" si="1"/>
        <v>9066.6131493887187</v>
      </c>
      <c r="I22" s="5">
        <f t="shared" si="9"/>
        <v>23827.486278716297</v>
      </c>
      <c r="J22" s="25">
        <f t="shared" si="2"/>
        <v>6.8590139985445067E-2</v>
      </c>
      <c r="L22" s="22">
        <f t="shared" si="3"/>
        <v>25520.237241101324</v>
      </c>
      <c r="M22" s="5">
        <f>scrimecost*Meta!O19</f>
        <v>23532.298999999999</v>
      </c>
      <c r="N22" s="22"/>
    </row>
    <row r="23" spans="1:14" x14ac:dyDescent="0.2">
      <c r="A23" s="5">
        <v>32</v>
      </c>
      <c r="B23" s="1">
        <f t="shared" si="0"/>
        <v>1.559658717706504</v>
      </c>
      <c r="C23" s="5">
        <f t="shared" si="4"/>
        <v>20202.475448306941</v>
      </c>
      <c r="D23" s="5">
        <f t="shared" si="5"/>
        <v>19691.600673544868</v>
      </c>
      <c r="E23" s="5">
        <f t="shared" si="6"/>
        <v>10191.600673544868</v>
      </c>
      <c r="F23" s="5">
        <f t="shared" si="7"/>
        <v>3629.3076199123993</v>
      </c>
      <c r="G23" s="5">
        <f t="shared" si="8"/>
        <v>16062.293053632469</v>
      </c>
      <c r="H23" s="22">
        <f t="shared" si="1"/>
        <v>9293.2784781234368</v>
      </c>
      <c r="I23" s="5">
        <f t="shared" si="9"/>
        <v>24324.017620684204</v>
      </c>
      <c r="J23" s="25">
        <f t="shared" si="2"/>
        <v>7.2371577480125487E-2</v>
      </c>
      <c r="L23" s="22">
        <f t="shared" si="3"/>
        <v>26158.243172128859</v>
      </c>
      <c r="M23" s="5">
        <f>scrimecost*Meta!O20</f>
        <v>23532.298999999999</v>
      </c>
      <c r="N23" s="22"/>
    </row>
    <row r="24" spans="1:14" x14ac:dyDescent="0.2">
      <c r="A24" s="5">
        <v>33</v>
      </c>
      <c r="B24" s="1">
        <f t="shared" si="0"/>
        <v>1.5986501856491666</v>
      </c>
      <c r="C24" s="5">
        <f t="shared" si="4"/>
        <v>20707.537334514614</v>
      </c>
      <c r="D24" s="5">
        <f t="shared" si="5"/>
        <v>20140.60069038349</v>
      </c>
      <c r="E24" s="5">
        <f t="shared" si="6"/>
        <v>10640.60069038349</v>
      </c>
      <c r="F24" s="5">
        <f t="shared" si="7"/>
        <v>3775.9061254102094</v>
      </c>
      <c r="G24" s="5">
        <f t="shared" si="8"/>
        <v>16364.694564973281</v>
      </c>
      <c r="H24" s="22">
        <f t="shared" si="1"/>
        <v>9525.6104400765234</v>
      </c>
      <c r="I24" s="5">
        <f t="shared" si="9"/>
        <v>24832.96224620131</v>
      </c>
      <c r="J24" s="25">
        <f t="shared" si="2"/>
        <v>7.6060784792008812E-2</v>
      </c>
      <c r="L24" s="22">
        <f t="shared" si="3"/>
        <v>26812.199251432081</v>
      </c>
      <c r="M24" s="5">
        <f>scrimecost*Meta!O21</f>
        <v>23532.298999999999</v>
      </c>
      <c r="N24" s="22"/>
    </row>
    <row r="25" spans="1:14" x14ac:dyDescent="0.2">
      <c r="A25" s="5">
        <v>34</v>
      </c>
      <c r="B25" s="1">
        <f t="shared" si="0"/>
        <v>1.6386164402903955</v>
      </c>
      <c r="C25" s="5">
        <f t="shared" si="4"/>
        <v>21225.225767877477</v>
      </c>
      <c r="D25" s="5">
        <f t="shared" si="5"/>
        <v>20600.825707643075</v>
      </c>
      <c r="E25" s="5">
        <f t="shared" si="6"/>
        <v>11100.825707643075</v>
      </c>
      <c r="F25" s="5">
        <f t="shared" si="7"/>
        <v>3926.1695935454636</v>
      </c>
      <c r="G25" s="5">
        <f t="shared" si="8"/>
        <v>16674.656114097612</v>
      </c>
      <c r="H25" s="22">
        <f t="shared" si="1"/>
        <v>9763.7507010784357</v>
      </c>
      <c r="I25" s="5">
        <f t="shared" si="9"/>
        <v>25354.630487356342</v>
      </c>
      <c r="J25" s="25">
        <f t="shared" si="2"/>
        <v>7.9660011437748646E-2</v>
      </c>
      <c r="L25" s="22">
        <f t="shared" si="3"/>
        <v>27482.504232717878</v>
      </c>
      <c r="M25" s="5">
        <f>scrimecost*Meta!O22</f>
        <v>23532.298999999999</v>
      </c>
      <c r="N25" s="22"/>
    </row>
    <row r="26" spans="1:14" x14ac:dyDescent="0.2">
      <c r="A26" s="5">
        <v>35</v>
      </c>
      <c r="B26" s="1">
        <f t="shared" si="0"/>
        <v>1.6795818512976552</v>
      </c>
      <c r="C26" s="5">
        <f t="shared" si="4"/>
        <v>21755.856412074412</v>
      </c>
      <c r="D26" s="5">
        <f t="shared" si="5"/>
        <v>21072.556350334151</v>
      </c>
      <c r="E26" s="5">
        <f t="shared" si="6"/>
        <v>11572.556350334151</v>
      </c>
      <c r="F26" s="5">
        <f t="shared" si="7"/>
        <v>4080.1896483841001</v>
      </c>
      <c r="G26" s="5">
        <f t="shared" si="8"/>
        <v>16992.36670195005</v>
      </c>
      <c r="H26" s="22">
        <f t="shared" si="1"/>
        <v>10007.844468605395</v>
      </c>
      <c r="I26" s="5">
        <f t="shared" si="9"/>
        <v>25889.340434540245</v>
      </c>
      <c r="J26" s="25">
        <f t="shared" si="2"/>
        <v>8.3171452067738724E-2</v>
      </c>
      <c r="L26" s="22">
        <f t="shared" si="3"/>
        <v>28169.566838535826</v>
      </c>
      <c r="M26" s="5">
        <f>scrimecost*Meta!O23</f>
        <v>18262.839</v>
      </c>
      <c r="N26" s="22"/>
    </row>
    <row r="27" spans="1:14" x14ac:dyDescent="0.2">
      <c r="A27" s="5">
        <v>36</v>
      </c>
      <c r="B27" s="1">
        <f t="shared" si="0"/>
        <v>1.7215713975800966</v>
      </c>
      <c r="C27" s="5">
        <f t="shared" si="4"/>
        <v>22299.752822376271</v>
      </c>
      <c r="D27" s="5">
        <f t="shared" si="5"/>
        <v>21556.080259092505</v>
      </c>
      <c r="E27" s="5">
        <f t="shared" si="6"/>
        <v>12056.080259092505</v>
      </c>
      <c r="F27" s="5">
        <f t="shared" si="7"/>
        <v>4238.060204593703</v>
      </c>
      <c r="G27" s="5">
        <f t="shared" si="8"/>
        <v>17318.020054498804</v>
      </c>
      <c r="H27" s="22">
        <f t="shared" si="1"/>
        <v>10258.04058032053</v>
      </c>
      <c r="I27" s="5">
        <f t="shared" si="9"/>
        <v>26437.418130403756</v>
      </c>
      <c r="J27" s="25">
        <f t="shared" si="2"/>
        <v>8.6597247804314451E-2</v>
      </c>
      <c r="L27" s="22">
        <f t="shared" si="3"/>
        <v>28873.806009499218</v>
      </c>
      <c r="M27" s="5">
        <f>scrimecost*Meta!O24</f>
        <v>18262.839</v>
      </c>
      <c r="N27" s="22"/>
    </row>
    <row r="28" spans="1:14" x14ac:dyDescent="0.2">
      <c r="A28" s="5">
        <v>37</v>
      </c>
      <c r="B28" s="1">
        <f t="shared" si="0"/>
        <v>1.7646106825195991</v>
      </c>
      <c r="C28" s="5">
        <f t="shared" si="4"/>
        <v>22857.246642935679</v>
      </c>
      <c r="D28" s="5">
        <f t="shared" si="5"/>
        <v>22051.692265569818</v>
      </c>
      <c r="E28" s="5">
        <f t="shared" si="6"/>
        <v>12551.692265569818</v>
      </c>
      <c r="F28" s="5">
        <f t="shared" si="7"/>
        <v>4399.877524708545</v>
      </c>
      <c r="G28" s="5">
        <f t="shared" si="8"/>
        <v>17651.814740861271</v>
      </c>
      <c r="H28" s="22">
        <f t="shared" si="1"/>
        <v>10514.491594828543</v>
      </c>
      <c r="I28" s="5">
        <f t="shared" si="9"/>
        <v>26999.197768663846</v>
      </c>
      <c r="J28" s="25">
        <f t="shared" si="2"/>
        <v>8.9939487547315108E-2</v>
      </c>
      <c r="L28" s="22">
        <f t="shared" si="3"/>
        <v>29595.651159736703</v>
      </c>
      <c r="M28" s="5">
        <f>scrimecost*Meta!O25</f>
        <v>18262.839</v>
      </c>
      <c r="N28" s="22"/>
    </row>
    <row r="29" spans="1:14" x14ac:dyDescent="0.2">
      <c r="A29" s="5">
        <v>38</v>
      </c>
      <c r="B29" s="1">
        <f t="shared" si="0"/>
        <v>1.8087259495825889</v>
      </c>
      <c r="C29" s="5">
        <f t="shared" si="4"/>
        <v>23428.67780900907</v>
      </c>
      <c r="D29" s="5">
        <f t="shared" si="5"/>
        <v>22559.69457220906</v>
      </c>
      <c r="E29" s="5">
        <f t="shared" si="6"/>
        <v>13059.69457220906</v>
      </c>
      <c r="F29" s="5">
        <f t="shared" si="7"/>
        <v>4565.7402778262585</v>
      </c>
      <c r="G29" s="5">
        <f t="shared" si="8"/>
        <v>17993.954294382802</v>
      </c>
      <c r="H29" s="22">
        <f t="shared" si="1"/>
        <v>10777.353884699256</v>
      </c>
      <c r="I29" s="5">
        <f t="shared" si="9"/>
        <v>27575.021897880441</v>
      </c>
      <c r="J29" s="25">
        <f t="shared" si="2"/>
        <v>9.3200209247803575E-2</v>
      </c>
      <c r="L29" s="22">
        <f t="shared" si="3"/>
        <v>30335.542438730114</v>
      </c>
      <c r="M29" s="5">
        <f>scrimecost*Meta!O26</f>
        <v>18262.839</v>
      </c>
      <c r="N29" s="22"/>
    </row>
    <row r="30" spans="1:14" x14ac:dyDescent="0.2">
      <c r="A30" s="5">
        <v>39</v>
      </c>
      <c r="B30" s="1">
        <f t="shared" si="0"/>
        <v>1.8539440983221533</v>
      </c>
      <c r="C30" s="5">
        <f t="shared" si="4"/>
        <v>24014.39475423429</v>
      </c>
      <c r="D30" s="5">
        <f t="shared" si="5"/>
        <v>23080.396936514284</v>
      </c>
      <c r="E30" s="5">
        <f t="shared" si="6"/>
        <v>13580.396936514284</v>
      </c>
      <c r="F30" s="5">
        <f t="shared" si="7"/>
        <v>4735.7495997719134</v>
      </c>
      <c r="G30" s="5">
        <f t="shared" si="8"/>
        <v>18344.647336742371</v>
      </c>
      <c r="H30" s="22">
        <f t="shared" si="1"/>
        <v>11046.787731816736</v>
      </c>
      <c r="I30" s="5">
        <f t="shared" si="9"/>
        <v>28165.241630327451</v>
      </c>
      <c r="J30" s="25">
        <f t="shared" si="2"/>
        <v>9.6381401150719137E-2</v>
      </c>
      <c r="L30" s="22">
        <f t="shared" si="3"/>
        <v>31093.930999698365</v>
      </c>
      <c r="M30" s="5">
        <f>scrimecost*Meta!O27</f>
        <v>18262.839</v>
      </c>
      <c r="N30" s="22"/>
    </row>
    <row r="31" spans="1:14" x14ac:dyDescent="0.2">
      <c r="A31" s="5">
        <v>40</v>
      </c>
      <c r="B31" s="1">
        <f t="shared" si="0"/>
        <v>1.9002927007802071</v>
      </c>
      <c r="C31" s="5">
        <f t="shared" si="4"/>
        <v>24614.75462309015</v>
      </c>
      <c r="D31" s="5">
        <f t="shared" si="5"/>
        <v>23614.11685992714</v>
      </c>
      <c r="E31" s="5">
        <f t="shared" si="6"/>
        <v>14114.11685992714</v>
      </c>
      <c r="F31" s="5">
        <f t="shared" si="7"/>
        <v>4910.0091547662114</v>
      </c>
      <c r="G31" s="5">
        <f t="shared" si="8"/>
        <v>18704.107705160928</v>
      </c>
      <c r="H31" s="22">
        <f t="shared" si="1"/>
        <v>11322.957425112154</v>
      </c>
      <c r="I31" s="5">
        <f t="shared" si="9"/>
        <v>28770.216856085633</v>
      </c>
      <c r="J31" s="25">
        <f t="shared" si="2"/>
        <v>9.9485003007222142E-2</v>
      </c>
      <c r="L31" s="22">
        <f t="shared" si="3"/>
        <v>31871.27927469082</v>
      </c>
      <c r="M31" s="5">
        <f>scrimecost*Meta!O28</f>
        <v>15974.784</v>
      </c>
      <c r="N31" s="22"/>
    </row>
    <row r="32" spans="1:14" x14ac:dyDescent="0.2">
      <c r="A32" s="5">
        <v>41</v>
      </c>
      <c r="B32" s="1">
        <f t="shared" si="0"/>
        <v>1.9478000182997122</v>
      </c>
      <c r="C32" s="5">
        <f t="shared" si="4"/>
        <v>25230.123488667403</v>
      </c>
      <c r="D32" s="5">
        <f t="shared" si="5"/>
        <v>24161.179781425319</v>
      </c>
      <c r="E32" s="5">
        <f t="shared" si="6"/>
        <v>14661.179781425319</v>
      </c>
      <c r="F32" s="5">
        <f t="shared" si="7"/>
        <v>5088.6251986353664</v>
      </c>
      <c r="G32" s="5">
        <f t="shared" si="8"/>
        <v>19072.554582789951</v>
      </c>
      <c r="H32" s="22">
        <f t="shared" si="1"/>
        <v>11606.031360739957</v>
      </c>
      <c r="I32" s="5">
        <f t="shared" si="9"/>
        <v>29390.316462487775</v>
      </c>
      <c r="J32" s="25">
        <f t="shared" si="2"/>
        <v>0.10251290725746898</v>
      </c>
      <c r="L32" s="22">
        <f t="shared" si="3"/>
        <v>32668.061256558085</v>
      </c>
      <c r="M32" s="5">
        <f>scrimecost*Meta!O29</f>
        <v>15974.784</v>
      </c>
      <c r="N32" s="22"/>
    </row>
    <row r="33" spans="1:14" x14ac:dyDescent="0.2">
      <c r="A33" s="5">
        <v>42</v>
      </c>
      <c r="B33" s="1">
        <f t="shared" si="0"/>
        <v>1.9964950187572048</v>
      </c>
      <c r="C33" s="5">
        <f t="shared" si="4"/>
        <v>25860.876575884082</v>
      </c>
      <c r="D33" s="5">
        <f t="shared" si="5"/>
        <v>24721.919275960947</v>
      </c>
      <c r="E33" s="5">
        <f t="shared" si="6"/>
        <v>15221.919275960947</v>
      </c>
      <c r="F33" s="5">
        <f t="shared" si="7"/>
        <v>5271.7066436012492</v>
      </c>
      <c r="G33" s="5">
        <f t="shared" si="8"/>
        <v>19450.212632359697</v>
      </c>
      <c r="H33" s="22">
        <f t="shared" si="1"/>
        <v>11896.182144758453</v>
      </c>
      <c r="I33" s="5">
        <f t="shared" si="9"/>
        <v>30025.918559049962</v>
      </c>
      <c r="J33" s="25">
        <f t="shared" si="2"/>
        <v>0.10546696018453905</v>
      </c>
      <c r="L33" s="22">
        <f t="shared" si="3"/>
        <v>33484.762787972038</v>
      </c>
      <c r="M33" s="5">
        <f>scrimecost*Meta!O30</f>
        <v>15974.784</v>
      </c>
      <c r="N33" s="22"/>
    </row>
    <row r="34" spans="1:14" x14ac:dyDescent="0.2">
      <c r="A34" s="5">
        <v>43</v>
      </c>
      <c r="B34" s="1">
        <f t="shared" si="0"/>
        <v>2.0464073942261352</v>
      </c>
      <c r="C34" s="5">
        <f t="shared" si="4"/>
        <v>26507.39849028119</v>
      </c>
      <c r="D34" s="5">
        <f t="shared" si="5"/>
        <v>25296.677257859978</v>
      </c>
      <c r="E34" s="5">
        <f t="shared" si="6"/>
        <v>15796.677257859978</v>
      </c>
      <c r="F34" s="5">
        <f t="shared" si="7"/>
        <v>5459.3651246912832</v>
      </c>
      <c r="G34" s="5">
        <f t="shared" si="8"/>
        <v>19837.312133168693</v>
      </c>
      <c r="H34" s="22">
        <f t="shared" si="1"/>
        <v>12193.586698377418</v>
      </c>
      <c r="I34" s="5">
        <f t="shared" si="9"/>
        <v>30677.410708026218</v>
      </c>
      <c r="J34" s="25">
        <f t="shared" si="2"/>
        <v>0.10834896304021721</v>
      </c>
      <c r="L34" s="22">
        <f t="shared" si="3"/>
        <v>34321.881857671346</v>
      </c>
      <c r="M34" s="5">
        <f>scrimecost*Meta!O31</f>
        <v>15974.784</v>
      </c>
      <c r="N34" s="22"/>
    </row>
    <row r="35" spans="1:14" x14ac:dyDescent="0.2">
      <c r="A35" s="5">
        <v>44</v>
      </c>
      <c r="B35" s="1">
        <f t="shared" si="0"/>
        <v>2.097567579081788</v>
      </c>
      <c r="C35" s="5">
        <f t="shared" si="4"/>
        <v>27170.083452538212</v>
      </c>
      <c r="D35" s="5">
        <f t="shared" si="5"/>
        <v>25885.804189306469</v>
      </c>
      <c r="E35" s="5">
        <f t="shared" si="6"/>
        <v>16385.804189306469</v>
      </c>
      <c r="F35" s="5">
        <f t="shared" si="7"/>
        <v>5651.7150678085618</v>
      </c>
      <c r="G35" s="5">
        <f t="shared" si="8"/>
        <v>20234.089121497906</v>
      </c>
      <c r="H35" s="22">
        <f t="shared" si="1"/>
        <v>12498.426365836849</v>
      </c>
      <c r="I35" s="5">
        <f t="shared" si="9"/>
        <v>31345.190160726866</v>
      </c>
      <c r="J35" s="25">
        <f t="shared" si="2"/>
        <v>0.11116067314331778</v>
      </c>
      <c r="L35" s="22">
        <f t="shared" si="3"/>
        <v>35179.92890411312</v>
      </c>
      <c r="M35" s="5">
        <f>scrimecost*Meta!O32</f>
        <v>15974.784</v>
      </c>
      <c r="N35" s="22"/>
    </row>
    <row r="36" spans="1:14" x14ac:dyDescent="0.2">
      <c r="A36" s="5">
        <v>45</v>
      </c>
      <c r="B36" s="1">
        <f t="shared" si="0"/>
        <v>2.1500067685588333</v>
      </c>
      <c r="C36" s="5">
        <f t="shared" si="4"/>
        <v>27849.335538851672</v>
      </c>
      <c r="D36" s="5">
        <f t="shared" si="5"/>
        <v>26489.659294039135</v>
      </c>
      <c r="E36" s="5">
        <f t="shared" si="6"/>
        <v>16989.659294039135</v>
      </c>
      <c r="F36" s="5">
        <f t="shared" si="7"/>
        <v>5848.8737595037774</v>
      </c>
      <c r="G36" s="5">
        <f t="shared" si="8"/>
        <v>20640.785534535356</v>
      </c>
      <c r="H36" s="22">
        <f t="shared" si="1"/>
        <v>12810.887024982774</v>
      </c>
      <c r="I36" s="5">
        <f t="shared" si="9"/>
        <v>32029.664099745045</v>
      </c>
      <c r="J36" s="25">
        <f t="shared" si="2"/>
        <v>0.11390380495122084</v>
      </c>
      <c r="L36" s="22">
        <f t="shared" si="3"/>
        <v>36059.427126715957</v>
      </c>
      <c r="M36" s="5">
        <f>scrimecost*Meta!O33</f>
        <v>12910.177000000001</v>
      </c>
      <c r="N36" s="22"/>
    </row>
    <row r="37" spans="1:14" x14ac:dyDescent="0.2">
      <c r="A37" s="5">
        <v>46</v>
      </c>
      <c r="B37" s="1">
        <f t="shared" ref="B37:B56" si="10">(1+experiencepremium)^(A37-startage)</f>
        <v>2.2037569377728037</v>
      </c>
      <c r="C37" s="5">
        <f t="shared" ref="C37:C56" si="11">pretaxincome*B37/expnorm</f>
        <v>28545.568927322958</v>
      </c>
      <c r="D37" s="5">
        <f t="shared" ref="D37:D56" si="12">IF(A37&lt;startage,1,0)*(C37*(1-initialunempprob))+IF(A37=startage,1,0)*(C37*(1-unempprob))+IF(A37&gt;startage,1,0)*(C37*(1-unempprob)+unempprob*300*52)</f>
        <v>27108.610776390109</v>
      </c>
      <c r="E37" s="5">
        <f t="shared" si="6"/>
        <v>17608.610776390109</v>
      </c>
      <c r="F37" s="5">
        <f t="shared" si="7"/>
        <v>6050.9614184913708</v>
      </c>
      <c r="G37" s="5">
        <f t="shared" si="8"/>
        <v>21057.649357898739</v>
      </c>
      <c r="H37" s="22">
        <f t="shared" ref="H37:H56" si="13">benefits*B37/expnorm</f>
        <v>13131.159200607341</v>
      </c>
      <c r="I37" s="5">
        <f t="shared" ref="I37:I56" si="14">G37+IF(A37&lt;startage,1,0)*(H37*(1-initialunempprob))+IF(A37&gt;=startage,1,0)*(H37*(1-unempprob))</f>
        <v>32731.249887238664</v>
      </c>
      <c r="J37" s="25">
        <f t="shared" ref="J37:J56" si="15">(F37-(IF(A37&gt;startage,1,0)*(unempprob*300*52)))/(IF(A37&lt;startage,1,0)*((C37+H37)*(1-initialunempprob))+IF(A37&gt;=startage,1,0)*((C37+H37)*(1-unempprob)))</f>
        <v>0.11658003110527257</v>
      </c>
      <c r="L37" s="22">
        <f t="shared" ref="L37:L56" si="16">(sincome+sbenefits)*(1-sunemp)*B37/expnorm</f>
        <v>36960.912804883847</v>
      </c>
      <c r="M37" s="5">
        <f>scrimecost*Meta!O34</f>
        <v>12910.177000000001</v>
      </c>
      <c r="N37" s="22"/>
    </row>
    <row r="38" spans="1:14" x14ac:dyDescent="0.2">
      <c r="A38" s="5">
        <v>47</v>
      </c>
      <c r="B38" s="1">
        <f t="shared" si="10"/>
        <v>2.2588508612171236</v>
      </c>
      <c r="C38" s="5">
        <f t="shared" si="11"/>
        <v>29259.208150506031</v>
      </c>
      <c r="D38" s="5">
        <f t="shared" si="12"/>
        <v>27743.036045799861</v>
      </c>
      <c r="E38" s="5">
        <f t="shared" si="6"/>
        <v>18243.036045799861</v>
      </c>
      <c r="F38" s="5">
        <f t="shared" si="7"/>
        <v>6258.1012689536547</v>
      </c>
      <c r="G38" s="5">
        <f t="shared" si="8"/>
        <v>21484.934776846207</v>
      </c>
      <c r="H38" s="22">
        <f t="shared" si="13"/>
        <v>13459.438180622525</v>
      </c>
      <c r="I38" s="5">
        <f t="shared" si="14"/>
        <v>33450.375319419632</v>
      </c>
      <c r="J38" s="25">
        <f t="shared" si="15"/>
        <v>0.11919098345068889</v>
      </c>
      <c r="L38" s="22">
        <f t="shared" si="16"/>
        <v>37884.935625005943</v>
      </c>
      <c r="M38" s="5">
        <f>scrimecost*Meta!O35</f>
        <v>12910.177000000001</v>
      </c>
      <c r="N38" s="22"/>
    </row>
    <row r="39" spans="1:14" x14ac:dyDescent="0.2">
      <c r="A39" s="5">
        <v>48</v>
      </c>
      <c r="B39" s="1">
        <f t="shared" si="10"/>
        <v>2.3153221327475517</v>
      </c>
      <c r="C39" s="5">
        <f t="shared" si="11"/>
        <v>29990.688354268681</v>
      </c>
      <c r="D39" s="5">
        <f t="shared" si="12"/>
        <v>28393.321946944856</v>
      </c>
      <c r="E39" s="5">
        <f t="shared" si="6"/>
        <v>18893.321946944856</v>
      </c>
      <c r="F39" s="5">
        <f t="shared" si="7"/>
        <v>6470.419615677496</v>
      </c>
      <c r="G39" s="5">
        <f t="shared" si="8"/>
        <v>21922.90233126736</v>
      </c>
      <c r="H39" s="22">
        <f t="shared" si="13"/>
        <v>13795.924135138086</v>
      </c>
      <c r="I39" s="5">
        <f t="shared" si="14"/>
        <v>34187.478887405116</v>
      </c>
      <c r="J39" s="25">
        <f t="shared" si="15"/>
        <v>0.12173825403158287</v>
      </c>
      <c r="L39" s="22">
        <f t="shared" si="16"/>
        <v>38832.059015631086</v>
      </c>
      <c r="M39" s="5">
        <f>scrimecost*Meta!O36</f>
        <v>12910.177000000001</v>
      </c>
      <c r="N39" s="22"/>
    </row>
    <row r="40" spans="1:14" x14ac:dyDescent="0.2">
      <c r="A40" s="5">
        <v>49</v>
      </c>
      <c r="B40" s="1">
        <f t="shared" si="10"/>
        <v>2.3732051860662402</v>
      </c>
      <c r="C40" s="5">
        <f t="shared" si="11"/>
        <v>30740.455563125397</v>
      </c>
      <c r="D40" s="5">
        <f t="shared" si="12"/>
        <v>29059.864995618478</v>
      </c>
      <c r="E40" s="5">
        <f t="shared" si="6"/>
        <v>19559.864995618478</v>
      </c>
      <c r="F40" s="5">
        <f t="shared" si="7"/>
        <v>6688.0459210694335</v>
      </c>
      <c r="G40" s="5">
        <f t="shared" si="8"/>
        <v>22371.819074549043</v>
      </c>
      <c r="H40" s="22">
        <f t="shared" si="13"/>
        <v>14140.822238516537</v>
      </c>
      <c r="I40" s="5">
        <f t="shared" si="14"/>
        <v>34943.010044590243</v>
      </c>
      <c r="J40" s="25">
        <f t="shared" si="15"/>
        <v>0.12422339606172336</v>
      </c>
      <c r="L40" s="22">
        <f t="shared" si="16"/>
        <v>39802.860491021856</v>
      </c>
      <c r="M40" s="5">
        <f>scrimecost*Meta!O37</f>
        <v>12910.177000000001</v>
      </c>
      <c r="N40" s="22"/>
    </row>
    <row r="41" spans="1:14" x14ac:dyDescent="0.2">
      <c r="A41" s="5">
        <v>50</v>
      </c>
      <c r="B41" s="1">
        <f t="shared" si="10"/>
        <v>2.4325353157178964</v>
      </c>
      <c r="C41" s="5">
        <f t="shared" si="11"/>
        <v>31508.966952203533</v>
      </c>
      <c r="D41" s="5">
        <f t="shared" si="12"/>
        <v>29743.071620508941</v>
      </c>
      <c r="E41" s="5">
        <f t="shared" si="6"/>
        <v>20243.071620508941</v>
      </c>
      <c r="F41" s="5">
        <f t="shared" si="7"/>
        <v>6911.1128840961692</v>
      </c>
      <c r="G41" s="5">
        <f t="shared" si="8"/>
        <v>22831.958736412773</v>
      </c>
      <c r="H41" s="22">
        <f t="shared" si="13"/>
        <v>14494.342794479451</v>
      </c>
      <c r="I41" s="5">
        <f t="shared" si="14"/>
        <v>35717.429480705003</v>
      </c>
      <c r="J41" s="25">
        <f t="shared" si="15"/>
        <v>0.12664792487161652</v>
      </c>
      <c r="L41" s="22">
        <f t="shared" si="16"/>
        <v>40797.932003297414</v>
      </c>
      <c r="M41" s="5">
        <f>scrimecost*Meta!O38</f>
        <v>8625.2739999999994</v>
      </c>
      <c r="N41" s="22"/>
    </row>
    <row r="42" spans="1:14" x14ac:dyDescent="0.2">
      <c r="A42" s="5">
        <v>51</v>
      </c>
      <c r="B42" s="1">
        <f t="shared" si="10"/>
        <v>2.4933486986108435</v>
      </c>
      <c r="C42" s="5">
        <f t="shared" si="11"/>
        <v>32296.69112600862</v>
      </c>
      <c r="D42" s="5">
        <f t="shared" si="12"/>
        <v>30443.358411021662</v>
      </c>
      <c r="E42" s="5">
        <f t="shared" si="6"/>
        <v>20943.358411021662</v>
      </c>
      <c r="F42" s="5">
        <f t="shared" si="7"/>
        <v>7139.756521198573</v>
      </c>
      <c r="G42" s="5">
        <f t="shared" si="8"/>
        <v>23303.60188982309</v>
      </c>
      <c r="H42" s="22">
        <f t="shared" si="13"/>
        <v>14856.701364341436</v>
      </c>
      <c r="I42" s="5">
        <f t="shared" si="14"/>
        <v>36511.209402722627</v>
      </c>
      <c r="J42" s="25">
        <f t="shared" si="15"/>
        <v>0.12901331883248784</v>
      </c>
      <c r="L42" s="22">
        <f t="shared" si="16"/>
        <v>41817.880303379839</v>
      </c>
      <c r="M42" s="5">
        <f>scrimecost*Meta!O39</f>
        <v>8625.2739999999994</v>
      </c>
      <c r="N42" s="22"/>
    </row>
    <row r="43" spans="1:14" x14ac:dyDescent="0.2">
      <c r="A43" s="5">
        <v>52</v>
      </c>
      <c r="B43" s="1">
        <f t="shared" si="10"/>
        <v>2.555682416076114</v>
      </c>
      <c r="C43" s="5">
        <f t="shared" si="11"/>
        <v>33104.108404158826</v>
      </c>
      <c r="D43" s="5">
        <f t="shared" si="12"/>
        <v>31161.152371297194</v>
      </c>
      <c r="E43" s="5">
        <f t="shared" si="6"/>
        <v>21661.152371297194</v>
      </c>
      <c r="F43" s="5">
        <f t="shared" si="7"/>
        <v>7374.1162492285339</v>
      </c>
      <c r="G43" s="5">
        <f t="shared" si="8"/>
        <v>23787.036122068661</v>
      </c>
      <c r="H43" s="22">
        <f t="shared" si="13"/>
        <v>15228.118898449968</v>
      </c>
      <c r="I43" s="5">
        <f t="shared" si="14"/>
        <v>37324.833822790679</v>
      </c>
      <c r="J43" s="25">
        <f t="shared" si="15"/>
        <v>0.13132102025772818</v>
      </c>
      <c r="L43" s="22">
        <f t="shared" si="16"/>
        <v>42863.327310964327</v>
      </c>
      <c r="M43" s="5">
        <f>scrimecost*Meta!O40</f>
        <v>8625.2739999999994</v>
      </c>
      <c r="N43" s="22"/>
    </row>
    <row r="44" spans="1:14" x14ac:dyDescent="0.2">
      <c r="A44" s="5">
        <v>53</v>
      </c>
      <c r="B44" s="1">
        <f t="shared" si="10"/>
        <v>2.6195744764780171</v>
      </c>
      <c r="C44" s="5">
        <f t="shared" si="11"/>
        <v>33931.711114262798</v>
      </c>
      <c r="D44" s="5">
        <f t="shared" si="12"/>
        <v>31896.891180579627</v>
      </c>
      <c r="E44" s="5">
        <f t="shared" si="6"/>
        <v>22396.891180579627</v>
      </c>
      <c r="F44" s="5">
        <f t="shared" si="7"/>
        <v>7614.3349704592483</v>
      </c>
      <c r="G44" s="5">
        <f t="shared" si="8"/>
        <v>24282.55621012038</v>
      </c>
      <c r="H44" s="22">
        <f t="shared" si="13"/>
        <v>15608.821870911219</v>
      </c>
      <c r="I44" s="5">
        <f t="shared" si="14"/>
        <v>38158.798853360451</v>
      </c>
      <c r="J44" s="25">
        <f t="shared" si="15"/>
        <v>0.13357243628235294</v>
      </c>
      <c r="L44" s="22">
        <f t="shared" si="16"/>
        <v>43934.91049373844</v>
      </c>
      <c r="M44" s="5">
        <f>scrimecost*Meta!O41</f>
        <v>8625.2739999999994</v>
      </c>
      <c r="N44" s="22"/>
    </row>
    <row r="45" spans="1:14" x14ac:dyDescent="0.2">
      <c r="A45" s="5">
        <v>54</v>
      </c>
      <c r="B45" s="1">
        <f t="shared" si="10"/>
        <v>2.6850638383899672</v>
      </c>
      <c r="C45" s="5">
        <f t="shared" si="11"/>
        <v>34780.003892119363</v>
      </c>
      <c r="D45" s="5">
        <f t="shared" si="12"/>
        <v>32651.023460094111</v>
      </c>
      <c r="E45" s="5">
        <f t="shared" si="6"/>
        <v>23151.023460094111</v>
      </c>
      <c r="F45" s="5">
        <f t="shared" si="7"/>
        <v>7860.5591597207276</v>
      </c>
      <c r="G45" s="5">
        <f t="shared" si="8"/>
        <v>24790.464300373384</v>
      </c>
      <c r="H45" s="22">
        <f t="shared" si="13"/>
        <v>15999.042417683997</v>
      </c>
      <c r="I45" s="5">
        <f t="shared" si="14"/>
        <v>39013.613009694454</v>
      </c>
      <c r="J45" s="25">
        <f t="shared" si="15"/>
        <v>0.13576893972101117</v>
      </c>
      <c r="L45" s="22">
        <f t="shared" si="16"/>
        <v>45033.283256081893</v>
      </c>
      <c r="M45" s="5">
        <f>scrimecost*Meta!O42</f>
        <v>8625.2739999999994</v>
      </c>
      <c r="N45" s="22"/>
    </row>
    <row r="46" spans="1:14" x14ac:dyDescent="0.2">
      <c r="A46" s="5">
        <v>55</v>
      </c>
      <c r="B46" s="1">
        <f t="shared" si="10"/>
        <v>2.7521904343497163</v>
      </c>
      <c r="C46" s="5">
        <f t="shared" si="11"/>
        <v>35649.503989422345</v>
      </c>
      <c r="D46" s="5">
        <f t="shared" si="12"/>
        <v>33424.009046596468</v>
      </c>
      <c r="E46" s="5">
        <f t="shared" si="6"/>
        <v>23924.009046596468</v>
      </c>
      <c r="F46" s="5">
        <f t="shared" si="7"/>
        <v>8112.9389537137467</v>
      </c>
      <c r="G46" s="5">
        <f t="shared" si="8"/>
        <v>25311.070092882721</v>
      </c>
      <c r="H46" s="22">
        <f t="shared" si="13"/>
        <v>16399.018478126098</v>
      </c>
      <c r="I46" s="5">
        <f t="shared" si="14"/>
        <v>39889.797519936823</v>
      </c>
      <c r="J46" s="25">
        <f t="shared" si="15"/>
        <v>0.13791186990506807</v>
      </c>
      <c r="L46" s="22">
        <f t="shared" si="16"/>
        <v>46159.115337483941</v>
      </c>
      <c r="M46" s="5">
        <f>scrimecost*Meta!O43</f>
        <v>4784.1149999999998</v>
      </c>
      <c r="N46" s="22"/>
    </row>
    <row r="47" spans="1:14" x14ac:dyDescent="0.2">
      <c r="A47" s="5">
        <v>56</v>
      </c>
      <c r="B47" s="1">
        <f t="shared" si="10"/>
        <v>2.8209951952084591</v>
      </c>
      <c r="C47" s="5">
        <f t="shared" si="11"/>
        <v>36540.741589157908</v>
      </c>
      <c r="D47" s="5">
        <f t="shared" si="12"/>
        <v>34216.319272761379</v>
      </c>
      <c r="E47" s="5">
        <f t="shared" si="6"/>
        <v>24716.319272761379</v>
      </c>
      <c r="F47" s="5">
        <f t="shared" si="7"/>
        <v>8371.6282425565896</v>
      </c>
      <c r="G47" s="5">
        <f t="shared" si="8"/>
        <v>25844.691030204791</v>
      </c>
      <c r="H47" s="22">
        <f t="shared" si="13"/>
        <v>16808.99394007925</v>
      </c>
      <c r="I47" s="5">
        <f t="shared" si="14"/>
        <v>40787.886642935242</v>
      </c>
      <c r="J47" s="25">
        <f t="shared" si="15"/>
        <v>0.14000253349926986</v>
      </c>
      <c r="L47" s="22">
        <f t="shared" si="16"/>
        <v>47313.093220921037</v>
      </c>
      <c r="M47" s="5">
        <f>scrimecost*Meta!O44</f>
        <v>4784.1149999999998</v>
      </c>
      <c r="N47" s="22"/>
    </row>
    <row r="48" spans="1:14" x14ac:dyDescent="0.2">
      <c r="A48" s="5">
        <v>57</v>
      </c>
      <c r="B48" s="1">
        <f t="shared" si="10"/>
        <v>2.8915200750886707</v>
      </c>
      <c r="C48" s="5">
        <f t="shared" si="11"/>
        <v>37454.260128886854</v>
      </c>
      <c r="D48" s="5">
        <f t="shared" si="12"/>
        <v>35028.437254580414</v>
      </c>
      <c r="E48" s="5">
        <f t="shared" si="6"/>
        <v>25528.437254580414</v>
      </c>
      <c r="F48" s="5">
        <f t="shared" si="7"/>
        <v>8636.7847636205042</v>
      </c>
      <c r="G48" s="5">
        <f t="shared" si="8"/>
        <v>26391.65249095991</v>
      </c>
      <c r="H48" s="22">
        <f t="shared" si="13"/>
        <v>17229.218788581231</v>
      </c>
      <c r="I48" s="5">
        <f t="shared" si="14"/>
        <v>41708.427994008627</v>
      </c>
      <c r="J48" s="25">
        <f t="shared" si="15"/>
        <v>0.14204220529849113</v>
      </c>
      <c r="L48" s="22">
        <f t="shared" si="16"/>
        <v>48495.920551444062</v>
      </c>
      <c r="M48" s="5">
        <f>scrimecost*Meta!O45</f>
        <v>4784.1149999999998</v>
      </c>
      <c r="N48" s="22"/>
    </row>
    <row r="49" spans="1:14" x14ac:dyDescent="0.2">
      <c r="A49" s="5">
        <v>58</v>
      </c>
      <c r="B49" s="1">
        <f t="shared" si="10"/>
        <v>2.9638080769658868</v>
      </c>
      <c r="C49" s="5">
        <f t="shared" si="11"/>
        <v>38390.616632109013</v>
      </c>
      <c r="D49" s="5">
        <f t="shared" si="12"/>
        <v>35860.858185944911</v>
      </c>
      <c r="E49" s="5">
        <f t="shared" si="6"/>
        <v>26360.858185944911</v>
      </c>
      <c r="F49" s="5">
        <f t="shared" si="7"/>
        <v>8908.570197711013</v>
      </c>
      <c r="G49" s="5">
        <f t="shared" si="8"/>
        <v>26952.287988233897</v>
      </c>
      <c r="H49" s="22">
        <f t="shared" si="13"/>
        <v>17659.949258295757</v>
      </c>
      <c r="I49" s="5">
        <f t="shared" si="14"/>
        <v>42651.982878858827</v>
      </c>
      <c r="J49" s="25">
        <f t="shared" si="15"/>
        <v>0.14403212900504844</v>
      </c>
      <c r="L49" s="22">
        <f t="shared" si="16"/>
        <v>49708.318565230162</v>
      </c>
      <c r="M49" s="5">
        <f>scrimecost*Meta!O46</f>
        <v>4784.1149999999998</v>
      </c>
      <c r="N49" s="22"/>
    </row>
    <row r="50" spans="1:14" x14ac:dyDescent="0.2">
      <c r="A50" s="5">
        <v>59</v>
      </c>
      <c r="B50" s="1">
        <f t="shared" si="10"/>
        <v>3.0379032788900342</v>
      </c>
      <c r="C50" s="5">
        <f t="shared" si="11"/>
        <v>39350.382047911749</v>
      </c>
      <c r="D50" s="5">
        <f t="shared" si="12"/>
        <v>36714.089640593542</v>
      </c>
      <c r="E50" s="5">
        <f t="shared" si="6"/>
        <v>27214.089640593542</v>
      </c>
      <c r="F50" s="5">
        <f t="shared" si="7"/>
        <v>9187.1502676537912</v>
      </c>
      <c r="G50" s="5">
        <f t="shared" si="8"/>
        <v>27526.939372939749</v>
      </c>
      <c r="H50" s="22">
        <f t="shared" si="13"/>
        <v>18101.447989753153</v>
      </c>
      <c r="I50" s="5">
        <f t="shared" si="14"/>
        <v>43619.126635830304</v>
      </c>
      <c r="J50" s="25">
        <f t="shared" si="15"/>
        <v>0.14597351798705563</v>
      </c>
      <c r="L50" s="22">
        <f t="shared" si="16"/>
        <v>50951.026529360912</v>
      </c>
      <c r="M50" s="5">
        <f>scrimecost*Meta!O47</f>
        <v>4784.1149999999998</v>
      </c>
      <c r="N50" s="22"/>
    </row>
    <row r="51" spans="1:14" x14ac:dyDescent="0.2">
      <c r="A51" s="5">
        <v>60</v>
      </c>
      <c r="B51" s="1">
        <f t="shared" si="10"/>
        <v>3.1138508608622844</v>
      </c>
      <c r="C51" s="5">
        <f t="shared" si="11"/>
        <v>40334.141599109527</v>
      </c>
      <c r="D51" s="5">
        <f t="shared" si="12"/>
        <v>37588.65188160837</v>
      </c>
      <c r="E51" s="5">
        <f t="shared" si="6"/>
        <v>28088.65188160837</v>
      </c>
      <c r="F51" s="5">
        <f t="shared" si="7"/>
        <v>9472.694839345133</v>
      </c>
      <c r="G51" s="5">
        <f t="shared" si="8"/>
        <v>28115.957042263239</v>
      </c>
      <c r="H51" s="22">
        <f t="shared" si="13"/>
        <v>18553.984189496976</v>
      </c>
      <c r="I51" s="5">
        <f t="shared" si="14"/>
        <v>44610.448986726049</v>
      </c>
      <c r="J51" s="25">
        <f t="shared" si="15"/>
        <v>0.14786755601828214</v>
      </c>
      <c r="L51" s="22">
        <f t="shared" si="16"/>
        <v>52224.802192594922</v>
      </c>
      <c r="M51" s="5">
        <f>scrimecost*Meta!O48</f>
        <v>2523.7939999999999</v>
      </c>
      <c r="N51" s="22"/>
    </row>
    <row r="52" spans="1:14" x14ac:dyDescent="0.2">
      <c r="A52" s="5">
        <v>61</v>
      </c>
      <c r="B52" s="1">
        <f t="shared" si="10"/>
        <v>3.1916971323838421</v>
      </c>
      <c r="C52" s="5">
        <f t="shared" si="11"/>
        <v>41342.495139087281</v>
      </c>
      <c r="D52" s="5">
        <f t="shared" si="12"/>
        <v>38485.07817864859</v>
      </c>
      <c r="E52" s="5">
        <f t="shared" si="6"/>
        <v>28985.07817864859</v>
      </c>
      <c r="F52" s="5">
        <f t="shared" si="7"/>
        <v>9765.3780253287641</v>
      </c>
      <c r="G52" s="5">
        <f t="shared" si="8"/>
        <v>28719.700153319827</v>
      </c>
      <c r="H52" s="22">
        <f t="shared" si="13"/>
        <v>19017.833794234404</v>
      </c>
      <c r="I52" s="5">
        <f t="shared" si="14"/>
        <v>45626.554396394218</v>
      </c>
      <c r="J52" s="25">
        <f t="shared" si="15"/>
        <v>0.14971539799996655</v>
      </c>
      <c r="L52" s="22">
        <f t="shared" si="16"/>
        <v>53530.422247409813</v>
      </c>
      <c r="M52" s="5">
        <f>scrimecost*Meta!O49</f>
        <v>2523.7939999999999</v>
      </c>
      <c r="N52" s="22"/>
    </row>
    <row r="53" spans="1:14" x14ac:dyDescent="0.2">
      <c r="A53" s="5">
        <v>62</v>
      </c>
      <c r="B53" s="1">
        <f t="shared" si="10"/>
        <v>3.2714895606934378</v>
      </c>
      <c r="C53" s="5">
        <f t="shared" si="11"/>
        <v>42376.057517564455</v>
      </c>
      <c r="D53" s="5">
        <f t="shared" si="12"/>
        <v>39403.915133114802</v>
      </c>
      <c r="E53" s="5">
        <f t="shared" si="6"/>
        <v>29903.915133114802</v>
      </c>
      <c r="F53" s="5">
        <f t="shared" si="7"/>
        <v>10065.378290961984</v>
      </c>
      <c r="G53" s="5">
        <f t="shared" si="8"/>
        <v>29338.536842152818</v>
      </c>
      <c r="H53" s="22">
        <f t="shared" si="13"/>
        <v>19493.279639090262</v>
      </c>
      <c r="I53" s="5">
        <f t="shared" si="14"/>
        <v>46668.062441304064</v>
      </c>
      <c r="J53" s="25">
        <f t="shared" si="15"/>
        <v>0.15151817066502452</v>
      </c>
      <c r="L53" s="22">
        <f t="shared" si="16"/>
        <v>54868.682803595046</v>
      </c>
      <c r="M53" s="5">
        <f>scrimecost*Meta!O50</f>
        <v>2523.7939999999999</v>
      </c>
      <c r="N53" s="22"/>
    </row>
    <row r="54" spans="1:14" x14ac:dyDescent="0.2">
      <c r="A54" s="5">
        <v>63</v>
      </c>
      <c r="B54" s="1">
        <f t="shared" si="10"/>
        <v>3.3532767997107733</v>
      </c>
      <c r="C54" s="5">
        <f t="shared" si="11"/>
        <v>43435.458955503556</v>
      </c>
      <c r="D54" s="5">
        <f t="shared" si="12"/>
        <v>40345.723011442664</v>
      </c>
      <c r="E54" s="5">
        <f t="shared" si="6"/>
        <v>30845.723011442664</v>
      </c>
      <c r="F54" s="5">
        <f t="shared" si="7"/>
        <v>10372.87856323603</v>
      </c>
      <c r="G54" s="5">
        <f t="shared" si="8"/>
        <v>29972.844448206633</v>
      </c>
      <c r="H54" s="22">
        <f t="shared" si="13"/>
        <v>19980.611630067517</v>
      </c>
      <c r="I54" s="5">
        <f t="shared" si="14"/>
        <v>47735.608187336657</v>
      </c>
      <c r="J54" s="25">
        <f t="shared" si="15"/>
        <v>0.15327697326508102</v>
      </c>
      <c r="L54" s="22">
        <f t="shared" si="16"/>
        <v>56240.399873684917</v>
      </c>
      <c r="M54" s="5">
        <f>scrimecost*Meta!O51</f>
        <v>2523.7939999999999</v>
      </c>
      <c r="N54" s="22"/>
    </row>
    <row r="55" spans="1:14" x14ac:dyDescent="0.2">
      <c r="A55" s="5">
        <v>64</v>
      </c>
      <c r="B55" s="1">
        <f t="shared" si="10"/>
        <v>3.4371087197035428</v>
      </c>
      <c r="C55" s="5">
        <f t="shared" si="11"/>
        <v>44521.345429391149</v>
      </c>
      <c r="D55" s="5">
        <f t="shared" si="12"/>
        <v>41311.076086728732</v>
      </c>
      <c r="E55" s="5">
        <f t="shared" si="6"/>
        <v>31811.076086728732</v>
      </c>
      <c r="F55" s="5">
        <f t="shared" si="7"/>
        <v>10688.066342316932</v>
      </c>
      <c r="G55" s="5">
        <f t="shared" si="8"/>
        <v>30623.0097444118</v>
      </c>
      <c r="H55" s="22">
        <f t="shared" si="13"/>
        <v>20480.126920819206</v>
      </c>
      <c r="I55" s="5">
        <f t="shared" si="14"/>
        <v>48829.84257702007</v>
      </c>
      <c r="J55" s="25">
        <f t="shared" si="15"/>
        <v>0.15499287824074592</v>
      </c>
      <c r="L55" s="22">
        <f t="shared" si="16"/>
        <v>57646.409870527044</v>
      </c>
      <c r="M55" s="5">
        <f>scrimecost*Meta!O52</f>
        <v>2523.7939999999999</v>
      </c>
      <c r="N55" s="22"/>
    </row>
    <row r="56" spans="1:14" x14ac:dyDescent="0.2">
      <c r="A56" s="5">
        <v>65</v>
      </c>
      <c r="B56" s="1">
        <f t="shared" si="10"/>
        <v>3.5230364376961316</v>
      </c>
      <c r="C56" s="5">
        <f t="shared" si="11"/>
        <v>45634.379065125933</v>
      </c>
      <c r="D56" s="5">
        <f t="shared" si="12"/>
        <v>42300.562988896956</v>
      </c>
      <c r="E56" s="5">
        <f t="shared" si="6"/>
        <v>32800.562988896956</v>
      </c>
      <c r="F56" s="5">
        <f t="shared" si="7"/>
        <v>11011.133815874857</v>
      </c>
      <c r="G56" s="5">
        <f t="shared" si="8"/>
        <v>31289.429173022101</v>
      </c>
      <c r="H56" s="22">
        <f t="shared" si="13"/>
        <v>20992.130093839685</v>
      </c>
      <c r="I56" s="5">
        <f t="shared" si="14"/>
        <v>49951.432826445583</v>
      </c>
      <c r="J56" s="25">
        <f t="shared" si="15"/>
        <v>0.15666693187554098</v>
      </c>
      <c r="L56" s="22">
        <f t="shared" si="16"/>
        <v>59087.570117290219</v>
      </c>
      <c r="M56" s="5">
        <f>scrimecost*Meta!O53</f>
        <v>762.68500000000006</v>
      </c>
      <c r="N56" s="22"/>
    </row>
    <row r="57" spans="1:14" x14ac:dyDescent="0.2">
      <c r="A57" s="5">
        <v>66</v>
      </c>
      <c r="C57" s="5"/>
      <c r="H57" s="21"/>
      <c r="I57" s="5"/>
      <c r="M57" s="5">
        <f>scrimecost*Meta!O54</f>
        <v>762.68500000000006</v>
      </c>
      <c r="N57" s="5"/>
    </row>
    <row r="58" spans="1:14" x14ac:dyDescent="0.2">
      <c r="A58" s="5">
        <v>67</v>
      </c>
      <c r="C58" s="5"/>
      <c r="H58" s="21"/>
      <c r="I58" s="5"/>
      <c r="M58" s="5">
        <f>scrimecost*Meta!O55</f>
        <v>762.68500000000006</v>
      </c>
      <c r="N58" s="5"/>
    </row>
    <row r="59" spans="1:14" x14ac:dyDescent="0.2">
      <c r="A59" s="5">
        <v>68</v>
      </c>
      <c r="H59" s="21"/>
      <c r="I59" s="5"/>
      <c r="M59" s="5">
        <f>scrimecost*Meta!O56</f>
        <v>762.68500000000006</v>
      </c>
      <c r="N59" s="5"/>
    </row>
    <row r="60" spans="1:14" x14ac:dyDescent="0.2">
      <c r="A60" s="5">
        <v>69</v>
      </c>
      <c r="H60" s="21"/>
      <c r="I60" s="5"/>
      <c r="M60" s="5">
        <f>scrimecost*Meta!O57</f>
        <v>762.68500000000006</v>
      </c>
      <c r="N60" s="5"/>
    </row>
    <row r="61" spans="1:14" x14ac:dyDescent="0.2">
      <c r="A61" s="5">
        <v>70</v>
      </c>
      <c r="H61" s="21"/>
      <c r="I61" s="5"/>
      <c r="M61" s="5">
        <f>scrimecost*Meta!O58</f>
        <v>762.68500000000006</v>
      </c>
      <c r="N61" s="5"/>
    </row>
    <row r="62" spans="1:14" x14ac:dyDescent="0.2">
      <c r="A62" s="5">
        <v>71</v>
      </c>
      <c r="H62" s="21"/>
      <c r="I62" s="5"/>
      <c r="M62" s="5">
        <f>scrimecost*Meta!O59</f>
        <v>762.68500000000006</v>
      </c>
      <c r="N62" s="5"/>
    </row>
    <row r="63" spans="1:14" x14ac:dyDescent="0.2">
      <c r="A63" s="5">
        <v>72</v>
      </c>
      <c r="H63" s="21"/>
      <c r="M63" s="5">
        <f>scrimecost*Meta!O60</f>
        <v>762.68500000000006</v>
      </c>
      <c r="N63" s="5"/>
    </row>
    <row r="64" spans="1:14" x14ac:dyDescent="0.2">
      <c r="A64" s="5">
        <v>73</v>
      </c>
      <c r="H64" s="21"/>
      <c r="M64" s="5">
        <f>scrimecost*Meta!O61</f>
        <v>762.68500000000006</v>
      </c>
      <c r="N64" s="5"/>
    </row>
    <row r="65" spans="1:14" x14ac:dyDescent="0.2">
      <c r="A65" s="5">
        <v>74</v>
      </c>
      <c r="H65" s="21"/>
      <c r="M65" s="5">
        <f>scrimecost*Meta!O62</f>
        <v>762.68500000000006</v>
      </c>
      <c r="N65" s="5"/>
    </row>
    <row r="66" spans="1:14" x14ac:dyDescent="0.2">
      <c r="A66" s="5">
        <v>75</v>
      </c>
      <c r="H66" s="21"/>
      <c r="M66" s="5">
        <f>scrimecost*Meta!O63</f>
        <v>762.68500000000006</v>
      </c>
      <c r="N66" s="5"/>
    </row>
    <row r="67" spans="1:14" x14ac:dyDescent="0.2">
      <c r="A67" s="5">
        <v>76</v>
      </c>
      <c r="H67" s="21"/>
      <c r="M67" s="5">
        <f>scrimecost*Meta!O64</f>
        <v>762.68500000000006</v>
      </c>
      <c r="N67" s="5"/>
    </row>
    <row r="68" spans="1:14" x14ac:dyDescent="0.2">
      <c r="A68" s="5">
        <v>77</v>
      </c>
      <c r="H68" s="21"/>
      <c r="M68" s="5">
        <f>scrimecost*Meta!O65</f>
        <v>762.68500000000006</v>
      </c>
      <c r="N68" s="5"/>
    </row>
    <row r="69" spans="1:14" x14ac:dyDescent="0.2">
      <c r="A69" s="5">
        <v>78</v>
      </c>
      <c r="H69" s="21"/>
      <c r="M69" s="5">
        <f>scrimecost*Meta!O66</f>
        <v>762.68500000000006</v>
      </c>
      <c r="N69" s="5"/>
    </row>
    <row r="70" spans="1:14" x14ac:dyDescent="0.2">
      <c r="A70" s="5">
        <v>79</v>
      </c>
      <c r="H70" s="21"/>
      <c r="M70" s="5"/>
    </row>
    <row r="71" spans="1:14" x14ac:dyDescent="0.2">
      <c r="A71" s="5">
        <v>80</v>
      </c>
      <c r="H71" s="21"/>
      <c r="M71" s="5"/>
    </row>
    <row r="72" spans="1:14" x14ac:dyDescent="0.2">
      <c r="A72" s="5">
        <v>81</v>
      </c>
      <c r="H72" s="21"/>
      <c r="M72" s="5"/>
    </row>
    <row r="73" spans="1:14" x14ac:dyDescent="0.2">
      <c r="A73" s="5">
        <v>82</v>
      </c>
      <c r="H73" s="21"/>
      <c r="M73" s="5"/>
    </row>
    <row r="74" spans="1:14" x14ac:dyDescent="0.2">
      <c r="A74" s="5">
        <v>83</v>
      </c>
      <c r="H74" s="21"/>
      <c r="M74" s="5"/>
    </row>
    <row r="75" spans="1:14" x14ac:dyDescent="0.2">
      <c r="A75" s="5">
        <v>84</v>
      </c>
      <c r="H75" s="21"/>
      <c r="M75" s="5"/>
    </row>
    <row r="76" spans="1:14" x14ac:dyDescent="0.2">
      <c r="A76" s="5">
        <v>85</v>
      </c>
      <c r="H76" s="21"/>
    </row>
    <row r="77" spans="1:14" x14ac:dyDescent="0.2">
      <c r="A77" s="5">
        <v>86</v>
      </c>
      <c r="H77" s="21"/>
    </row>
    <row r="78" spans="1:14" x14ac:dyDescent="0.2">
      <c r="A78" s="5">
        <v>87</v>
      </c>
      <c r="H78" s="21"/>
    </row>
    <row r="79" spans="1:14" x14ac:dyDescent="0.2">
      <c r="A79" s="5">
        <v>88</v>
      </c>
      <c r="H79" s="21"/>
    </row>
    <row r="80" spans="1:14" x14ac:dyDescent="0.2">
      <c r="A80" s="5">
        <v>89</v>
      </c>
      <c r="H80" s="21"/>
    </row>
    <row r="81" spans="1:8" x14ac:dyDescent="0.2">
      <c r="A81" s="5">
        <v>90</v>
      </c>
      <c r="H81" s="21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A5" sqref="A5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Meta!A3+6</f>
        <v>15</v>
      </c>
      <c r="C2" s="7">
        <f>Meta!B3</f>
        <v>27512</v>
      </c>
      <c r="D2" s="7">
        <f>Meta!C3</f>
        <v>12655</v>
      </c>
      <c r="E2" s="1">
        <f>Meta!D3</f>
        <v>0.105</v>
      </c>
      <c r="F2" s="1">
        <f>Meta!F3</f>
        <v>0.53100000000000003</v>
      </c>
      <c r="G2" s="1">
        <f>Meta!I3</f>
        <v>1.978852107996969</v>
      </c>
      <c r="H2" s="1">
        <f>Meta!E3</f>
        <v>0.878</v>
      </c>
      <c r="I2" s="13"/>
      <c r="J2" s="1">
        <f>Meta!X2</f>
        <v>0.53200000000000003</v>
      </c>
      <c r="K2" s="1">
        <f>Meta!D2</f>
        <v>0.111</v>
      </c>
      <c r="L2" s="28"/>
      <c r="N2" s="22">
        <f>Meta!T3</f>
        <v>27371</v>
      </c>
      <c r="O2" s="22">
        <f>Meta!U3</f>
        <v>12591</v>
      </c>
      <c r="P2" s="1">
        <f>Meta!V3</f>
        <v>0.10199999999999999</v>
      </c>
      <c r="Q2" s="1">
        <f>Meta!X3</f>
        <v>0.53800000000000003</v>
      </c>
      <c r="R2" s="22">
        <f>Meta!W3</f>
        <v>13585</v>
      </c>
      <c r="T2" s="12">
        <f>IRR(S5:S69)+1</f>
        <v>1.0401150016544811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B5" s="1">
        <v>1</v>
      </c>
      <c r="C5" s="5">
        <f>0.1*Grade8!C5</f>
        <v>1295.3138541754131</v>
      </c>
      <c r="D5" s="5">
        <f>IF(A5&lt;startage,1,0)*(C5*(1-initialunempprob))+IF(A5=startage,1,0)*(C5*(1-unempprob))+IF(A5&gt;startage,1,0)*(C5*(1-unempprob)+unempprob*300*52)</f>
        <v>1151.5340163619423</v>
      </c>
      <c r="E5" s="5">
        <f>IF(D5-9500&gt;0,1,0)*(D5-9500)</f>
        <v>0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88.092352251688581</v>
      </c>
      <c r="G5" s="5">
        <f>D5-F5</f>
        <v>1063.4416641102537</v>
      </c>
      <c r="H5" s="22">
        <f>0.1*Grade8!H5</f>
        <v>595.85333461857033</v>
      </c>
      <c r="I5" s="5">
        <f>G5+IF(A5&lt;startage,1,0)*(H5*(1-initialunempprob))+IF(A5&gt;=startage,1,0)*(H5*(1-unempprob))</f>
        <v>1593.1552785861627</v>
      </c>
      <c r="J5" s="25">
        <f t="shared" ref="J5:J36" si="0">(F5-(IF(A5&gt;startage,1,0)*(unempprob*300*52)))/(IF(A5&lt;startage,1,0)*((C5+H5)*(1-initialunempprob))+IF(A5&gt;=startage,1,0)*((C5+H5)*(1-unempprob)))</f>
        <v>5.2397011978412532E-2</v>
      </c>
      <c r="L5" s="22">
        <f>0.1*Grade8!L5</f>
        <v>1677.1773770222535</v>
      </c>
      <c r="M5" s="5"/>
      <c r="N5" s="5">
        <f>L5-Grade8!L5</f>
        <v>-15094.596393200281</v>
      </c>
      <c r="O5" s="5"/>
      <c r="P5" s="22"/>
      <c r="Q5" s="22">
        <f>0.05*feel*Grade8!G5</f>
        <v>143.23888051730114</v>
      </c>
      <c r="R5" s="22">
        <f>hstuition</f>
        <v>11298</v>
      </c>
      <c r="S5" s="22">
        <f t="shared" ref="S5:S36" si="1">IF(A5&lt;startage,1,0)*(N5-Q5-R5)+IF(A5&gt;=startage,1,0)*completionprob*(N5*spart+O5+P5)</f>
        <v>-26535.835273717581</v>
      </c>
      <c r="T5" s="22">
        <f t="shared" ref="T5:T36" si="2">S5/sreturn^(A5-startage+1)</f>
        <v>-26535.835273717581</v>
      </c>
    </row>
    <row r="6" spans="1:20" x14ac:dyDescent="0.2">
      <c r="A6" s="5">
        <v>15</v>
      </c>
      <c r="B6" s="1">
        <f t="shared" ref="B6:B36" si="3">(1+experiencepremium)^(A6-startage)</f>
        <v>1</v>
      </c>
      <c r="C6" s="5">
        <f t="shared" ref="C6:C36" si="4">pretaxincome*B6/expnorm</f>
        <v>13903.00967354663</v>
      </c>
      <c r="D6" s="5">
        <f t="shared" ref="D6:D36" si="5">IF(A6&lt;startage,1,0)*(C6*(1-initialunempprob))+IF(A6=startage,1,0)*(C6*(1-unempprob))+IF(A6&gt;startage,1,0)*(C6*(1-unempprob)+unempprob*300*52)</f>
        <v>12443.193657824235</v>
      </c>
      <c r="E6" s="5">
        <f t="shared" ref="E6:E56" si="6">IF(D6-9500&gt;0,1,0)*(D6-9500)</f>
        <v>2943.1936578242348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1540.5430463884009</v>
      </c>
      <c r="G6" s="5">
        <f t="shared" ref="G6:G56" si="8">D6-F6</f>
        <v>10902.650611435834</v>
      </c>
      <c r="H6" s="22">
        <f t="shared" ref="H6:H36" si="9">benefits*B6/expnorm</f>
        <v>6395.1216712246514</v>
      </c>
      <c r="I6" s="5">
        <f t="shared" ref="I6:I36" si="10">G6+IF(A6&lt;startage,1,0)*(H6*(1-initialunempprob))+IF(A6&gt;=startage,1,0)*(H6*(1-unempprob))</f>
        <v>16626.284507181896</v>
      </c>
      <c r="J6" s="25">
        <f t="shared" si="0"/>
        <v>8.4799783663143793E-2</v>
      </c>
      <c r="L6" s="22">
        <f t="shared" ref="L6:L36" si="11">(sincome+sbenefits)*(1-sunemp)*B6/expnorm</f>
        <v>18134.693267363145</v>
      </c>
      <c r="M6" s="5">
        <f>scrimecost*Meta!O3</f>
        <v>25213.760000000002</v>
      </c>
      <c r="N6" s="5">
        <f>L6-Grade8!L6</f>
        <v>943.62515288504437</v>
      </c>
      <c r="O6" s="5">
        <f>Grade8!M6-M6</f>
        <v>523.39199999999983</v>
      </c>
      <c r="P6" s="22">
        <f t="shared" ref="P6:P37" si="12">(spart-initialspart)*(L6*J6+nptrans)</f>
        <v>48.550908395219231</v>
      </c>
      <c r="S6" s="22">
        <f t="shared" si="1"/>
        <v>947.90042528839354</v>
      </c>
      <c r="T6" s="22">
        <f t="shared" si="2"/>
        <v>911.34194178585585</v>
      </c>
    </row>
    <row r="7" spans="1:20" x14ac:dyDescent="0.2">
      <c r="A7" s="5">
        <v>16</v>
      </c>
      <c r="B7" s="1">
        <f t="shared" si="3"/>
        <v>1.0249999999999999</v>
      </c>
      <c r="C7" s="5">
        <f t="shared" si="4"/>
        <v>14250.584915385296</v>
      </c>
      <c r="D7" s="5">
        <f t="shared" si="5"/>
        <v>14392.273499269841</v>
      </c>
      <c r="E7" s="5">
        <f t="shared" si="6"/>
        <v>4892.2734992698406</v>
      </c>
      <c r="F7" s="5">
        <f t="shared" si="7"/>
        <v>2079.4636225481108</v>
      </c>
      <c r="G7" s="5">
        <f t="shared" si="8"/>
        <v>12312.809876721731</v>
      </c>
      <c r="H7" s="22">
        <f t="shared" si="9"/>
        <v>6554.9997130052661</v>
      </c>
      <c r="I7" s="5">
        <f t="shared" si="10"/>
        <v>18179.534619861442</v>
      </c>
      <c r="J7" s="25">
        <f t="shared" si="0"/>
        <v>2.3707838688404575E-2</v>
      </c>
      <c r="L7" s="22">
        <f t="shared" si="11"/>
        <v>18588.060599047225</v>
      </c>
      <c r="M7" s="5">
        <f>scrimecost*Meta!O4</f>
        <v>31897.579999999998</v>
      </c>
      <c r="N7" s="5">
        <f>L7-Grade8!L7</f>
        <v>967.21578170717476</v>
      </c>
      <c r="O7" s="5">
        <f>Grade8!M7-M7</f>
        <v>662.1359999999986</v>
      </c>
      <c r="P7" s="22">
        <f t="shared" si="12"/>
        <v>41.968096453275038</v>
      </c>
      <c r="S7" s="22">
        <f t="shared" si="1"/>
        <v>1075.0813121963022</v>
      </c>
      <c r="T7" s="22">
        <f t="shared" si="2"/>
        <v>993.75331900869605</v>
      </c>
    </row>
    <row r="8" spans="1:20" x14ac:dyDescent="0.2">
      <c r="A8" s="5">
        <v>17</v>
      </c>
      <c r="B8" s="1">
        <f t="shared" si="3"/>
        <v>1.0506249999999999</v>
      </c>
      <c r="C8" s="5">
        <f t="shared" si="4"/>
        <v>14606.849538269928</v>
      </c>
      <c r="D8" s="5">
        <f t="shared" si="5"/>
        <v>14711.130336751585</v>
      </c>
      <c r="E8" s="5">
        <f t="shared" si="6"/>
        <v>5211.1303367515848</v>
      </c>
      <c r="F8" s="5">
        <f t="shared" si="7"/>
        <v>2167.627538111813</v>
      </c>
      <c r="G8" s="5">
        <f t="shared" si="8"/>
        <v>12543.502798639773</v>
      </c>
      <c r="H8" s="22">
        <f t="shared" si="9"/>
        <v>6718.8747058303989</v>
      </c>
      <c r="I8" s="5">
        <f t="shared" si="10"/>
        <v>18556.895660357979</v>
      </c>
      <c r="J8" s="25">
        <f t="shared" si="0"/>
        <v>2.7748769778786864E-2</v>
      </c>
      <c r="L8" s="22">
        <f t="shared" si="11"/>
        <v>19052.762114023404</v>
      </c>
      <c r="M8" s="5">
        <f>scrimecost*Meta!O5</f>
        <v>36842.520000000004</v>
      </c>
      <c r="N8" s="5">
        <f>L8-Grade8!L8</f>
        <v>991.39617624985112</v>
      </c>
      <c r="O8" s="5">
        <f>Grade8!M8-M8</f>
        <v>764.78399999999965</v>
      </c>
      <c r="P8" s="22">
        <f t="shared" si="12"/>
        <v>42.49614425731221</v>
      </c>
      <c r="S8" s="22">
        <f t="shared" si="1"/>
        <v>1177.0918300560047</v>
      </c>
      <c r="T8" s="22">
        <f t="shared" si="2"/>
        <v>1046.0832893596339</v>
      </c>
    </row>
    <row r="9" spans="1:20" x14ac:dyDescent="0.2">
      <c r="A9" s="5">
        <v>18</v>
      </c>
      <c r="B9" s="1">
        <f t="shared" si="3"/>
        <v>1.0768906249999999</v>
      </c>
      <c r="C9" s="5">
        <f t="shared" si="4"/>
        <v>14972.020776726673</v>
      </c>
      <c r="D9" s="5">
        <f t="shared" si="5"/>
        <v>15037.958595170372</v>
      </c>
      <c r="E9" s="5">
        <f t="shared" si="6"/>
        <v>5537.9585951703721</v>
      </c>
      <c r="F9" s="5">
        <f t="shared" si="7"/>
        <v>2257.9955515646079</v>
      </c>
      <c r="G9" s="5">
        <f t="shared" si="8"/>
        <v>12779.963043605763</v>
      </c>
      <c r="H9" s="22">
        <f t="shared" si="9"/>
        <v>6886.8465734761585</v>
      </c>
      <c r="I9" s="5">
        <f t="shared" si="10"/>
        <v>18943.690726866924</v>
      </c>
      <c r="J9" s="25">
        <f t="shared" si="0"/>
        <v>3.1691141574281795E-2</v>
      </c>
      <c r="L9" s="22">
        <f t="shared" si="11"/>
        <v>19529.081166873988</v>
      </c>
      <c r="M9" s="5">
        <f>scrimecost*Meta!O6</f>
        <v>44776.159999999996</v>
      </c>
      <c r="N9" s="5">
        <f>L9-Grade8!L9</f>
        <v>1016.181080656097</v>
      </c>
      <c r="O9" s="5">
        <f>Grade8!M9-M9</f>
        <v>929.47200000000157</v>
      </c>
      <c r="P9" s="22">
        <f t="shared" si="12"/>
        <v>43.037393256450301</v>
      </c>
      <c r="S9" s="22">
        <f t="shared" si="1"/>
        <v>1333.8706072622015</v>
      </c>
      <c r="T9" s="22">
        <f t="shared" si="2"/>
        <v>1139.6939990835563</v>
      </c>
    </row>
    <row r="10" spans="1:20" x14ac:dyDescent="0.2">
      <c r="A10" s="5">
        <v>19</v>
      </c>
      <c r="B10" s="1">
        <f t="shared" si="3"/>
        <v>1.1038128906249998</v>
      </c>
      <c r="C10" s="5">
        <f t="shared" si="4"/>
        <v>15346.321296144841</v>
      </c>
      <c r="D10" s="5">
        <f t="shared" si="5"/>
        <v>15372.957560049632</v>
      </c>
      <c r="E10" s="5">
        <f t="shared" si="6"/>
        <v>5872.9575600496319</v>
      </c>
      <c r="F10" s="5">
        <f t="shared" si="7"/>
        <v>2350.6227653537235</v>
      </c>
      <c r="G10" s="5">
        <f t="shared" si="8"/>
        <v>13022.334794695907</v>
      </c>
      <c r="H10" s="22">
        <f t="shared" si="9"/>
        <v>7059.0177378130611</v>
      </c>
      <c r="I10" s="5">
        <f t="shared" si="10"/>
        <v>19340.155670038599</v>
      </c>
      <c r="J10" s="25">
        <f t="shared" si="0"/>
        <v>3.5537357960130543E-2</v>
      </c>
      <c r="L10" s="22">
        <f t="shared" si="11"/>
        <v>20017.308196045837</v>
      </c>
      <c r="M10" s="5">
        <f>scrimecost*Meta!O7</f>
        <v>47859.955000000002</v>
      </c>
      <c r="N10" s="5">
        <f>L10-Grade8!L10</f>
        <v>1041.5856076725031</v>
      </c>
      <c r="O10" s="5">
        <f>Grade8!M10-M10</f>
        <v>993.48599999999715</v>
      </c>
      <c r="P10" s="22">
        <f t="shared" si="12"/>
        <v>43.592173480566856</v>
      </c>
      <c r="S10" s="22">
        <f t="shared" si="1"/>
        <v>1402.5621802985495</v>
      </c>
      <c r="T10" s="22">
        <f t="shared" si="2"/>
        <v>1152.1667095921719</v>
      </c>
    </row>
    <row r="11" spans="1:20" x14ac:dyDescent="0.2">
      <c r="A11" s="5">
        <v>20</v>
      </c>
      <c r="B11" s="1">
        <f t="shared" si="3"/>
        <v>1.1314082128906247</v>
      </c>
      <c r="C11" s="5">
        <f t="shared" si="4"/>
        <v>15729.979328548459</v>
      </c>
      <c r="D11" s="5">
        <f t="shared" si="5"/>
        <v>15716.331499050872</v>
      </c>
      <c r="E11" s="5">
        <f t="shared" si="6"/>
        <v>6216.3314990508716</v>
      </c>
      <c r="F11" s="5">
        <f t="shared" si="7"/>
        <v>2445.5656594875663</v>
      </c>
      <c r="G11" s="5">
        <f t="shared" si="8"/>
        <v>13270.765839563304</v>
      </c>
      <c r="H11" s="22">
        <f t="shared" si="9"/>
        <v>7235.4931812583873</v>
      </c>
      <c r="I11" s="5">
        <f t="shared" si="10"/>
        <v>19746.532236789561</v>
      </c>
      <c r="J11" s="25">
        <f t="shared" si="0"/>
        <v>3.9289764190226867E-2</v>
      </c>
      <c r="L11" s="22">
        <f t="shared" si="11"/>
        <v>20517.740900946981</v>
      </c>
      <c r="M11" s="5">
        <f>scrimecost*Meta!O8</f>
        <v>45835.79</v>
      </c>
      <c r="N11" s="5">
        <f>L11-Grade8!L11</f>
        <v>1067.6252478643146</v>
      </c>
      <c r="O11" s="5">
        <f>Grade8!M11-M11</f>
        <v>951.46800000000076</v>
      </c>
      <c r="P11" s="22">
        <f t="shared" si="12"/>
        <v>44.160823210286317</v>
      </c>
      <c r="S11" s="22">
        <f t="shared" si="1"/>
        <v>1378.4698393608112</v>
      </c>
      <c r="T11" s="22">
        <f t="shared" si="2"/>
        <v>1088.7022151765909</v>
      </c>
    </row>
    <row r="12" spans="1:20" x14ac:dyDescent="0.2">
      <c r="A12" s="5">
        <v>21</v>
      </c>
      <c r="B12" s="1">
        <f t="shared" si="3"/>
        <v>1.1596934182128902</v>
      </c>
      <c r="C12" s="5">
        <f t="shared" si="4"/>
        <v>16123.22881176217</v>
      </c>
      <c r="D12" s="5">
        <f t="shared" si="5"/>
        <v>16068.289786527142</v>
      </c>
      <c r="E12" s="5">
        <f t="shared" si="6"/>
        <v>6568.2897865271425</v>
      </c>
      <c r="F12" s="5">
        <f t="shared" si="7"/>
        <v>2542.8821259747551</v>
      </c>
      <c r="G12" s="5">
        <f t="shared" si="8"/>
        <v>13525.407660552388</v>
      </c>
      <c r="H12" s="22">
        <f t="shared" si="9"/>
        <v>7416.3805107898461</v>
      </c>
      <c r="I12" s="5">
        <f t="shared" si="10"/>
        <v>20163.0682177093</v>
      </c>
      <c r="J12" s="25">
        <f t="shared" si="0"/>
        <v>4.2950648317150092E-2</v>
      </c>
      <c r="L12" s="22">
        <f t="shared" si="11"/>
        <v>21030.684423470655</v>
      </c>
      <c r="M12" s="5">
        <f>scrimecost*Meta!O9</f>
        <v>41624.44</v>
      </c>
      <c r="N12" s="5">
        <f>L12-Grade8!L12</f>
        <v>1094.3158790609232</v>
      </c>
      <c r="O12" s="5">
        <f>Grade8!M12-M12</f>
        <v>864.04799999999523</v>
      </c>
      <c r="P12" s="22">
        <f t="shared" si="12"/>
        <v>44.743689183248762</v>
      </c>
      <c r="S12" s="22">
        <f t="shared" si="1"/>
        <v>1314.8345289996221</v>
      </c>
      <c r="T12" s="22">
        <f t="shared" si="2"/>
        <v>998.39311779461207</v>
      </c>
    </row>
    <row r="13" spans="1:20" x14ac:dyDescent="0.2">
      <c r="A13" s="5">
        <v>22</v>
      </c>
      <c r="B13" s="1">
        <f t="shared" si="3"/>
        <v>1.1886857536682125</v>
      </c>
      <c r="C13" s="5">
        <f t="shared" si="4"/>
        <v>16526.309532056224</v>
      </c>
      <c r="D13" s="5">
        <f t="shared" si="5"/>
        <v>16429.047031190319</v>
      </c>
      <c r="E13" s="5">
        <f t="shared" si="6"/>
        <v>6929.0470311903191</v>
      </c>
      <c r="F13" s="5">
        <f t="shared" si="7"/>
        <v>2642.6315041241232</v>
      </c>
      <c r="G13" s="5">
        <f t="shared" si="8"/>
        <v>13786.415527066196</v>
      </c>
      <c r="H13" s="22">
        <f t="shared" si="9"/>
        <v>7601.7900235595926</v>
      </c>
      <c r="I13" s="5">
        <f t="shared" si="10"/>
        <v>20590.01759815203</v>
      </c>
      <c r="J13" s="25">
        <f t="shared" si="0"/>
        <v>4.6522242587319067E-2</v>
      </c>
      <c r="L13" s="22">
        <f t="shared" si="11"/>
        <v>21556.451534057422</v>
      </c>
      <c r="M13" s="5">
        <f>scrimecost*Meta!O10</f>
        <v>38146.68</v>
      </c>
      <c r="N13" s="5">
        <f>L13-Grade8!L13</f>
        <v>1121.6737760374454</v>
      </c>
      <c r="O13" s="5">
        <f>Grade8!M13-M13</f>
        <v>791.85599999999977</v>
      </c>
      <c r="P13" s="22">
        <f t="shared" si="12"/>
        <v>45.341126805535275</v>
      </c>
      <c r="S13" s="22">
        <f t="shared" si="1"/>
        <v>1264.8973888794117</v>
      </c>
      <c r="T13" s="22">
        <f t="shared" si="2"/>
        <v>923.43092320541302</v>
      </c>
    </row>
    <row r="14" spans="1:20" x14ac:dyDescent="0.2">
      <c r="A14" s="5">
        <v>23</v>
      </c>
      <c r="B14" s="1">
        <f t="shared" si="3"/>
        <v>1.2184028975099177</v>
      </c>
      <c r="C14" s="5">
        <f t="shared" si="4"/>
        <v>16939.467270357629</v>
      </c>
      <c r="D14" s="5">
        <f t="shared" si="5"/>
        <v>16798.823206970079</v>
      </c>
      <c r="E14" s="5">
        <f t="shared" si="6"/>
        <v>7298.8232069700789</v>
      </c>
      <c r="F14" s="5">
        <f t="shared" si="7"/>
        <v>2744.8746167272266</v>
      </c>
      <c r="G14" s="5">
        <f t="shared" si="8"/>
        <v>14053.948590242853</v>
      </c>
      <c r="H14" s="22">
        <f t="shared" si="9"/>
        <v>7791.8347741485823</v>
      </c>
      <c r="I14" s="5">
        <f t="shared" si="10"/>
        <v>21027.640713105837</v>
      </c>
      <c r="J14" s="25">
        <f t="shared" si="0"/>
        <v>5.0006724802118117E-2</v>
      </c>
      <c r="L14" s="22">
        <f t="shared" si="11"/>
        <v>22095.362822408857</v>
      </c>
      <c r="M14" s="5">
        <f>scrimecost*Meta!O11</f>
        <v>35647.040000000001</v>
      </c>
      <c r="N14" s="5">
        <f>L14-Grade8!L14</f>
        <v>1149.7156204383864</v>
      </c>
      <c r="O14" s="5">
        <f>Grade8!M14-M14</f>
        <v>739.96800000000076</v>
      </c>
      <c r="P14" s="22">
        <f t="shared" si="12"/>
        <v>45.953500368378954</v>
      </c>
      <c r="S14" s="22">
        <f t="shared" si="1"/>
        <v>1233.1233466561953</v>
      </c>
      <c r="T14" s="22">
        <f t="shared" si="2"/>
        <v>865.51435997542194</v>
      </c>
    </row>
    <row r="15" spans="1:20" x14ac:dyDescent="0.2">
      <c r="A15" s="5">
        <v>24</v>
      </c>
      <c r="B15" s="1">
        <f t="shared" si="3"/>
        <v>1.2488629699476654</v>
      </c>
      <c r="C15" s="5">
        <f t="shared" si="4"/>
        <v>17362.953952116568</v>
      </c>
      <c r="D15" s="5">
        <f t="shared" si="5"/>
        <v>17177.843787144331</v>
      </c>
      <c r="E15" s="5">
        <f t="shared" si="6"/>
        <v>7677.8437871443311</v>
      </c>
      <c r="F15" s="5">
        <f t="shared" si="7"/>
        <v>2849.6738071454074</v>
      </c>
      <c r="G15" s="5">
        <f t="shared" si="8"/>
        <v>14328.169979998924</v>
      </c>
      <c r="H15" s="22">
        <f t="shared" si="9"/>
        <v>7986.6306435022962</v>
      </c>
      <c r="I15" s="5">
        <f t="shared" si="10"/>
        <v>21476.20440593348</v>
      </c>
      <c r="J15" s="25">
        <f t="shared" si="0"/>
        <v>5.3406219645824517E-2</v>
      </c>
      <c r="L15" s="22">
        <f t="shared" si="11"/>
        <v>22647.746892969069</v>
      </c>
      <c r="M15" s="5">
        <f>scrimecost*Meta!O12</f>
        <v>34057.595000000001</v>
      </c>
      <c r="N15" s="5">
        <f>L15-Grade8!L15</f>
        <v>1178.4585109493382</v>
      </c>
      <c r="O15" s="5">
        <f>Grade8!M15-M15</f>
        <v>706.97400000000198</v>
      </c>
      <c r="P15" s="22">
        <f t="shared" si="12"/>
        <v>46.581183270293714</v>
      </c>
      <c r="S15" s="22">
        <f t="shared" si="1"/>
        <v>1218.2828269773927</v>
      </c>
      <c r="T15" s="22">
        <f t="shared" si="2"/>
        <v>822.11868627781405</v>
      </c>
    </row>
    <row r="16" spans="1:20" x14ac:dyDescent="0.2">
      <c r="A16" s="5">
        <v>25</v>
      </c>
      <c r="B16" s="1">
        <f t="shared" si="3"/>
        <v>1.2800845441963571</v>
      </c>
      <c r="C16" s="5">
        <f t="shared" si="4"/>
        <v>17797.027800919481</v>
      </c>
      <c r="D16" s="5">
        <f t="shared" si="5"/>
        <v>17566.339881822936</v>
      </c>
      <c r="E16" s="5">
        <f t="shared" si="6"/>
        <v>8066.3398818229361</v>
      </c>
      <c r="F16" s="5">
        <f t="shared" si="7"/>
        <v>2957.0929773240423</v>
      </c>
      <c r="G16" s="5">
        <f t="shared" si="8"/>
        <v>14609.246904498894</v>
      </c>
      <c r="H16" s="22">
        <f t="shared" si="9"/>
        <v>8186.2964095898533</v>
      </c>
      <c r="I16" s="5">
        <f t="shared" si="10"/>
        <v>21935.982191081814</v>
      </c>
      <c r="J16" s="25">
        <f t="shared" si="0"/>
        <v>5.6722799981147799E-2</v>
      </c>
      <c r="L16" s="22">
        <f t="shared" si="11"/>
        <v>23213.940565293298</v>
      </c>
      <c r="M16" s="5">
        <f>scrimecost*Meta!O13</f>
        <v>28596.424999999999</v>
      </c>
      <c r="N16" s="5">
        <f>L16-Grade8!L16</f>
        <v>1207.9199737230701</v>
      </c>
      <c r="O16" s="5">
        <f>Grade8!M16-M16</f>
        <v>593.61000000000058</v>
      </c>
      <c r="P16" s="22">
        <f t="shared" si="12"/>
        <v>47.224558244756352</v>
      </c>
      <c r="S16" s="22">
        <f t="shared" si="1"/>
        <v>1133.2306526066209</v>
      </c>
      <c r="T16" s="22">
        <f t="shared" si="2"/>
        <v>735.23022105871837</v>
      </c>
    </row>
    <row r="17" spans="1:20" x14ac:dyDescent="0.2">
      <c r="A17" s="5">
        <v>26</v>
      </c>
      <c r="B17" s="1">
        <f t="shared" si="3"/>
        <v>1.312086657801266</v>
      </c>
      <c r="C17" s="5">
        <f t="shared" si="4"/>
        <v>18241.953495942467</v>
      </c>
      <c r="D17" s="5">
        <f t="shared" si="5"/>
        <v>17964.548378868509</v>
      </c>
      <c r="E17" s="5">
        <f t="shared" si="6"/>
        <v>8464.5483788685087</v>
      </c>
      <c r="F17" s="5">
        <f t="shared" si="7"/>
        <v>3067.1976267571426</v>
      </c>
      <c r="G17" s="5">
        <f t="shared" si="8"/>
        <v>14897.350752111366</v>
      </c>
      <c r="H17" s="22">
        <f t="shared" si="9"/>
        <v>8390.9538198295977</v>
      </c>
      <c r="I17" s="5">
        <f t="shared" si="10"/>
        <v>22407.254420858855</v>
      </c>
      <c r="J17" s="25">
        <f t="shared" si="0"/>
        <v>5.9958488113170512E-2</v>
      </c>
      <c r="L17" s="22">
        <f t="shared" si="11"/>
        <v>23794.289079425631</v>
      </c>
      <c r="M17" s="5">
        <f>scrimecost*Meta!O14</f>
        <v>28596.424999999999</v>
      </c>
      <c r="N17" s="5">
        <f>L17-Grade8!L17</f>
        <v>1238.1179730661534</v>
      </c>
      <c r="O17" s="5">
        <f>Grade8!M17-M17</f>
        <v>593.61000000000058</v>
      </c>
      <c r="P17" s="22">
        <f t="shared" si="12"/>
        <v>47.884017593580545</v>
      </c>
      <c r="S17" s="22">
        <f t="shared" si="1"/>
        <v>1148.0741056765846</v>
      </c>
      <c r="T17" s="22">
        <f t="shared" si="2"/>
        <v>716.13285407543128</v>
      </c>
    </row>
    <row r="18" spans="1:20" x14ac:dyDescent="0.2">
      <c r="A18" s="5">
        <v>27</v>
      </c>
      <c r="B18" s="1">
        <f t="shared" si="3"/>
        <v>1.3448888242462975</v>
      </c>
      <c r="C18" s="5">
        <f t="shared" si="4"/>
        <v>18698.002333341028</v>
      </c>
      <c r="D18" s="5">
        <f t="shared" si="5"/>
        <v>18372.71208834022</v>
      </c>
      <c r="E18" s="5">
        <f t="shared" si="6"/>
        <v>8872.7120883402204</v>
      </c>
      <c r="F18" s="5">
        <f t="shared" si="7"/>
        <v>3198.6904968430817</v>
      </c>
      <c r="G18" s="5">
        <f t="shared" si="8"/>
        <v>15174.021591497138</v>
      </c>
      <c r="H18" s="22">
        <f t="shared" si="9"/>
        <v>8600.7276653253393</v>
      </c>
      <c r="I18" s="5">
        <f t="shared" si="10"/>
        <v>22871.672851963318</v>
      </c>
      <c r="J18" s="25">
        <f t="shared" si="0"/>
        <v>6.387799962541596E-2</v>
      </c>
      <c r="L18" s="22">
        <f t="shared" si="11"/>
        <v>24389.146306411269</v>
      </c>
      <c r="M18" s="5">
        <f>scrimecost*Meta!O15</f>
        <v>28596.424999999999</v>
      </c>
      <c r="N18" s="5">
        <f>L18-Grade8!L18</f>
        <v>1269.0709223928025</v>
      </c>
      <c r="O18" s="5">
        <f>Grade8!M18-M18</f>
        <v>593.61000000000058</v>
      </c>
      <c r="P18" s="22">
        <f t="shared" si="12"/>
        <v>48.671579271750964</v>
      </c>
      <c r="S18" s="22">
        <f t="shared" si="1"/>
        <v>1163.3866437857516</v>
      </c>
      <c r="T18" s="22">
        <f t="shared" si="2"/>
        <v>697.69625192166347</v>
      </c>
    </row>
    <row r="19" spans="1:20" x14ac:dyDescent="0.2">
      <c r="A19" s="5">
        <v>28</v>
      </c>
      <c r="B19" s="1">
        <f t="shared" si="3"/>
        <v>1.3785110448524549</v>
      </c>
      <c r="C19" s="5">
        <f t="shared" si="4"/>
        <v>19165.452391674553</v>
      </c>
      <c r="D19" s="5">
        <f t="shared" si="5"/>
        <v>18791.079890548725</v>
      </c>
      <c r="E19" s="5">
        <f t="shared" si="6"/>
        <v>9291.0798905487245</v>
      </c>
      <c r="F19" s="5">
        <f t="shared" si="7"/>
        <v>3335.2875842641588</v>
      </c>
      <c r="G19" s="5">
        <f t="shared" si="8"/>
        <v>15455.792306284566</v>
      </c>
      <c r="H19" s="22">
        <f t="shared" si="9"/>
        <v>8815.7458569584724</v>
      </c>
      <c r="I19" s="5">
        <f t="shared" si="10"/>
        <v>23345.884848262398</v>
      </c>
      <c r="J19" s="25">
        <f t="shared" si="0"/>
        <v>6.7774463831894116E-2</v>
      </c>
      <c r="L19" s="22">
        <f t="shared" si="11"/>
        <v>24998.87496407155</v>
      </c>
      <c r="M19" s="5">
        <f>scrimecost*Meta!O16</f>
        <v>28596.424999999999</v>
      </c>
      <c r="N19" s="5">
        <f>L19-Grade8!L19</f>
        <v>1300.7976954526275</v>
      </c>
      <c r="O19" s="5">
        <f>Grade8!M19-M19</f>
        <v>593.61000000000058</v>
      </c>
      <c r="P19" s="22">
        <f t="shared" si="12"/>
        <v>49.489712082543107</v>
      </c>
      <c r="S19" s="22">
        <f t="shared" si="1"/>
        <v>1179.0915498232582</v>
      </c>
      <c r="T19" s="22">
        <f t="shared" si="2"/>
        <v>679.84276954035408</v>
      </c>
    </row>
    <row r="20" spans="1:20" x14ac:dyDescent="0.2">
      <c r="A20" s="5">
        <v>29</v>
      </c>
      <c r="B20" s="1">
        <f t="shared" si="3"/>
        <v>1.4129738209737661</v>
      </c>
      <c r="C20" s="5">
        <f t="shared" si="4"/>
        <v>19644.588701466415</v>
      </c>
      <c r="D20" s="5">
        <f t="shared" si="5"/>
        <v>19219.906887812442</v>
      </c>
      <c r="E20" s="5">
        <f t="shared" si="6"/>
        <v>9719.9068878124417</v>
      </c>
      <c r="F20" s="5">
        <f t="shared" si="7"/>
        <v>3475.2995988707621</v>
      </c>
      <c r="G20" s="5">
        <f t="shared" si="8"/>
        <v>15744.607288941679</v>
      </c>
      <c r="H20" s="22">
        <f t="shared" si="9"/>
        <v>9036.1395033824319</v>
      </c>
      <c r="I20" s="5">
        <f t="shared" si="10"/>
        <v>23831.952144468956</v>
      </c>
      <c r="J20" s="25">
        <f t="shared" si="0"/>
        <v>7.1575892326019117E-2</v>
      </c>
      <c r="L20" s="22">
        <f t="shared" si="11"/>
        <v>25623.846838173336</v>
      </c>
      <c r="M20" s="5">
        <f>scrimecost*Meta!O17</f>
        <v>28596.424999999999</v>
      </c>
      <c r="N20" s="5">
        <f>L20-Grade8!L20</f>
        <v>1333.3176378389362</v>
      </c>
      <c r="O20" s="5">
        <f>Grade8!M20-M20</f>
        <v>593.61000000000058</v>
      </c>
      <c r="P20" s="22">
        <f t="shared" si="12"/>
        <v>50.328298213605052</v>
      </c>
      <c r="S20" s="22">
        <f t="shared" si="1"/>
        <v>1195.1890785116968</v>
      </c>
      <c r="T20" s="22">
        <f t="shared" si="2"/>
        <v>662.54626755294771</v>
      </c>
    </row>
    <row r="21" spans="1:20" x14ac:dyDescent="0.2">
      <c r="A21" s="5">
        <v>30</v>
      </c>
      <c r="B21" s="1">
        <f t="shared" si="3"/>
        <v>1.4482981664981105</v>
      </c>
      <c r="C21" s="5">
        <f t="shared" si="4"/>
        <v>20135.703419003079</v>
      </c>
      <c r="D21" s="5">
        <f t="shared" si="5"/>
        <v>19659.454560007754</v>
      </c>
      <c r="E21" s="5">
        <f t="shared" si="6"/>
        <v>10159.454560007754</v>
      </c>
      <c r="F21" s="5">
        <f t="shared" si="7"/>
        <v>3618.8119138425318</v>
      </c>
      <c r="G21" s="5">
        <f t="shared" si="8"/>
        <v>16040.642646165223</v>
      </c>
      <c r="H21" s="22">
        <f t="shared" si="9"/>
        <v>9262.0429909669947</v>
      </c>
      <c r="I21" s="5">
        <f t="shared" si="10"/>
        <v>24330.171123080683</v>
      </c>
      <c r="J21" s="25">
        <f t="shared" si="0"/>
        <v>7.5284603051994761E-2</v>
      </c>
      <c r="L21" s="22">
        <f t="shared" si="11"/>
        <v>26264.443009127677</v>
      </c>
      <c r="M21" s="5">
        <f>scrimecost*Meta!O18</f>
        <v>23053.745000000003</v>
      </c>
      <c r="N21" s="5">
        <f>L21-Grade8!L21</f>
        <v>1366.6505787849164</v>
      </c>
      <c r="O21" s="5">
        <f>Grade8!M21-M21</f>
        <v>478.55399999999645</v>
      </c>
      <c r="P21" s="22">
        <f t="shared" si="12"/>
        <v>51.18784899794354</v>
      </c>
      <c r="S21" s="22">
        <f t="shared" si="1"/>
        <v>1110.6698774173497</v>
      </c>
      <c r="T21" s="22">
        <f t="shared" si="2"/>
        <v>591.94755213027474</v>
      </c>
    </row>
    <row r="22" spans="1:20" x14ac:dyDescent="0.2">
      <c r="A22" s="5">
        <v>31</v>
      </c>
      <c r="B22" s="1">
        <f t="shared" si="3"/>
        <v>1.4845056206605631</v>
      </c>
      <c r="C22" s="5">
        <f t="shared" si="4"/>
        <v>20639.096004478153</v>
      </c>
      <c r="D22" s="5">
        <f t="shared" si="5"/>
        <v>20109.990924007947</v>
      </c>
      <c r="E22" s="5">
        <f t="shared" si="6"/>
        <v>10609.990924007947</v>
      </c>
      <c r="F22" s="5">
        <f t="shared" si="7"/>
        <v>3765.9120366885945</v>
      </c>
      <c r="G22" s="5">
        <f t="shared" si="8"/>
        <v>16344.078887319352</v>
      </c>
      <c r="H22" s="22">
        <f t="shared" si="9"/>
        <v>9493.5940657411684</v>
      </c>
      <c r="I22" s="5">
        <f t="shared" si="10"/>
        <v>24840.845576157699</v>
      </c>
      <c r="J22" s="25">
        <f t="shared" si="0"/>
        <v>7.8902857418800237E-2</v>
      </c>
      <c r="L22" s="22">
        <f t="shared" si="11"/>
        <v>26921.054084355867</v>
      </c>
      <c r="M22" s="5">
        <f>scrimecost*Meta!O19</f>
        <v>23053.745000000003</v>
      </c>
      <c r="N22" s="5">
        <f>L22-Grade8!L22</f>
        <v>1400.8168432545426</v>
      </c>
      <c r="O22" s="5">
        <f>Grade8!M22-M22</f>
        <v>478.55399999999645</v>
      </c>
      <c r="P22" s="22">
        <f t="shared" si="12"/>
        <v>52.068888551890488</v>
      </c>
      <c r="S22" s="22">
        <f t="shared" si="1"/>
        <v>1127.5823434956455</v>
      </c>
      <c r="T22" s="22">
        <f t="shared" si="2"/>
        <v>577.78350877619505</v>
      </c>
    </row>
    <row r="23" spans="1:20" x14ac:dyDescent="0.2">
      <c r="A23" s="5">
        <v>32</v>
      </c>
      <c r="B23" s="1">
        <f t="shared" si="3"/>
        <v>1.521618261177077</v>
      </c>
      <c r="C23" s="5">
        <f t="shared" si="4"/>
        <v>21155.073404590104</v>
      </c>
      <c r="D23" s="5">
        <f t="shared" si="5"/>
        <v>20571.790697108143</v>
      </c>
      <c r="E23" s="5">
        <f t="shared" si="6"/>
        <v>11071.790697108143</v>
      </c>
      <c r="F23" s="5">
        <f t="shared" si="7"/>
        <v>3916.6896626058087</v>
      </c>
      <c r="G23" s="5">
        <f t="shared" si="8"/>
        <v>16655.101034502335</v>
      </c>
      <c r="H23" s="22">
        <f t="shared" si="9"/>
        <v>9730.9339173846965</v>
      </c>
      <c r="I23" s="5">
        <f t="shared" si="10"/>
        <v>25364.286890561638</v>
      </c>
      <c r="J23" s="25">
        <f t="shared" si="0"/>
        <v>8.2432861679098274E-2</v>
      </c>
      <c r="L23" s="22">
        <f t="shared" si="11"/>
        <v>27594.080436464756</v>
      </c>
      <c r="M23" s="5">
        <f>scrimecost*Meta!O20</f>
        <v>23053.745000000003</v>
      </c>
      <c r="N23" s="5">
        <f>L23-Grade8!L23</f>
        <v>1435.8372643358962</v>
      </c>
      <c r="O23" s="5">
        <f>Grade8!M23-M23</f>
        <v>478.55399999999645</v>
      </c>
      <c r="P23" s="22">
        <f t="shared" si="12"/>
        <v>52.971954094686119</v>
      </c>
      <c r="S23" s="22">
        <f t="shared" si="1"/>
        <v>1144.9176212258926</v>
      </c>
      <c r="T23" s="22">
        <f t="shared" si="2"/>
        <v>564.03980593309734</v>
      </c>
    </row>
    <row r="24" spans="1:20" x14ac:dyDescent="0.2">
      <c r="A24" s="5">
        <v>33</v>
      </c>
      <c r="B24" s="1">
        <f t="shared" si="3"/>
        <v>1.559658717706504</v>
      </c>
      <c r="C24" s="5">
        <f t="shared" si="4"/>
        <v>21683.950239704856</v>
      </c>
      <c r="D24" s="5">
        <f t="shared" si="5"/>
        <v>21045.135464535848</v>
      </c>
      <c r="E24" s="5">
        <f t="shared" si="6"/>
        <v>11545.135464535848</v>
      </c>
      <c r="F24" s="5">
        <f t="shared" si="7"/>
        <v>4071.2367291709543</v>
      </c>
      <c r="G24" s="5">
        <f t="shared" si="8"/>
        <v>16973.898735364892</v>
      </c>
      <c r="H24" s="22">
        <f t="shared" si="9"/>
        <v>9974.2072653193136</v>
      </c>
      <c r="I24" s="5">
        <f t="shared" si="10"/>
        <v>25900.814237825678</v>
      </c>
      <c r="J24" s="25">
        <f t="shared" si="0"/>
        <v>8.5876768274511003E-2</v>
      </c>
      <c r="L24" s="22">
        <f t="shared" si="11"/>
        <v>28283.932447376377</v>
      </c>
      <c r="M24" s="5">
        <f>scrimecost*Meta!O21</f>
        <v>23053.745000000003</v>
      </c>
      <c r="N24" s="5">
        <f>L24-Grade8!L24</f>
        <v>1471.7331959442963</v>
      </c>
      <c r="O24" s="5">
        <f>Grade8!M24-M24</f>
        <v>478.55399999999645</v>
      </c>
      <c r="P24" s="22">
        <f t="shared" si="12"/>
        <v>53.897596276051637</v>
      </c>
      <c r="S24" s="22">
        <f t="shared" si="1"/>
        <v>1162.6862808994019</v>
      </c>
      <c r="T24" s="22">
        <f t="shared" si="2"/>
        <v>550.70206208153877</v>
      </c>
    </row>
    <row r="25" spans="1:20" x14ac:dyDescent="0.2">
      <c r="A25" s="5">
        <v>34</v>
      </c>
      <c r="B25" s="1">
        <f t="shared" si="3"/>
        <v>1.5986501856491666</v>
      </c>
      <c r="C25" s="5">
        <f t="shared" si="4"/>
        <v>22226.048995697482</v>
      </c>
      <c r="D25" s="5">
        <f t="shared" si="5"/>
        <v>21530.313851149247</v>
      </c>
      <c r="E25" s="5">
        <f t="shared" si="6"/>
        <v>12030.313851149247</v>
      </c>
      <c r="F25" s="5">
        <f t="shared" si="7"/>
        <v>4229.6474724002292</v>
      </c>
      <c r="G25" s="5">
        <f t="shared" si="8"/>
        <v>17300.666378749018</v>
      </c>
      <c r="H25" s="22">
        <f t="shared" si="9"/>
        <v>10223.562446952297</v>
      </c>
      <c r="I25" s="5">
        <f t="shared" si="10"/>
        <v>26450.754768771323</v>
      </c>
      <c r="J25" s="25">
        <f t="shared" si="0"/>
        <v>8.9236677148084406E-2</v>
      </c>
      <c r="L25" s="22">
        <f t="shared" si="11"/>
        <v>28991.030758560788</v>
      </c>
      <c r="M25" s="5">
        <f>scrimecost*Meta!O22</f>
        <v>23053.745000000003</v>
      </c>
      <c r="N25" s="5">
        <f>L25-Grade8!L25</f>
        <v>1508.5265258429099</v>
      </c>
      <c r="O25" s="5">
        <f>Grade8!M25-M25</f>
        <v>478.55399999999645</v>
      </c>
      <c r="P25" s="22">
        <f t="shared" si="12"/>
        <v>54.846379511951284</v>
      </c>
      <c r="S25" s="22">
        <f t="shared" si="1"/>
        <v>1180.8991570647504</v>
      </c>
      <c r="T25" s="22">
        <f t="shared" si="2"/>
        <v>537.75642377111944</v>
      </c>
    </row>
    <row r="26" spans="1:20" x14ac:dyDescent="0.2">
      <c r="A26" s="5">
        <v>35</v>
      </c>
      <c r="B26" s="1">
        <f t="shared" si="3"/>
        <v>1.6386164402903955</v>
      </c>
      <c r="C26" s="5">
        <f t="shared" si="4"/>
        <v>22781.700220589915</v>
      </c>
      <c r="D26" s="5">
        <f t="shared" si="5"/>
        <v>22027.621697427974</v>
      </c>
      <c r="E26" s="5">
        <f t="shared" si="6"/>
        <v>12527.621697427974</v>
      </c>
      <c r="F26" s="5">
        <f t="shared" si="7"/>
        <v>4392.0184842102335</v>
      </c>
      <c r="G26" s="5">
        <f t="shared" si="8"/>
        <v>17635.603213217742</v>
      </c>
      <c r="H26" s="22">
        <f t="shared" si="9"/>
        <v>10479.151508126104</v>
      </c>
      <c r="I26" s="5">
        <f t="shared" si="10"/>
        <v>27014.443812990605</v>
      </c>
      <c r="J26" s="25">
        <f t="shared" si="0"/>
        <v>9.2514637024741345E-2</v>
      </c>
      <c r="L26" s="22">
        <f t="shared" si="11"/>
        <v>29715.806527524805</v>
      </c>
      <c r="M26" s="5">
        <f>scrimecost*Meta!O23</f>
        <v>17891.445</v>
      </c>
      <c r="N26" s="5">
        <f>L26-Grade8!L26</f>
        <v>1546.2396889889787</v>
      </c>
      <c r="O26" s="5">
        <f>Grade8!M26-M26</f>
        <v>371.39400000000023</v>
      </c>
      <c r="P26" s="22">
        <f t="shared" si="12"/>
        <v>55.818882328748423</v>
      </c>
      <c r="S26" s="22">
        <f t="shared" si="1"/>
        <v>1105.4808751342314</v>
      </c>
      <c r="T26" s="22">
        <f t="shared" si="2"/>
        <v>483.99699778511035</v>
      </c>
    </row>
    <row r="27" spans="1:20" x14ac:dyDescent="0.2">
      <c r="A27" s="5">
        <v>36</v>
      </c>
      <c r="B27" s="1">
        <f t="shared" si="3"/>
        <v>1.6795818512976552</v>
      </c>
      <c r="C27" s="5">
        <f t="shared" si="4"/>
        <v>23351.242726104658</v>
      </c>
      <c r="D27" s="5">
        <f t="shared" si="5"/>
        <v>22537.362239863669</v>
      </c>
      <c r="E27" s="5">
        <f t="shared" si="6"/>
        <v>13037.362239863669</v>
      </c>
      <c r="F27" s="5">
        <f t="shared" si="7"/>
        <v>4558.4487713154876</v>
      </c>
      <c r="G27" s="5">
        <f t="shared" si="8"/>
        <v>17978.91346854818</v>
      </c>
      <c r="H27" s="22">
        <f t="shared" si="9"/>
        <v>10741.130295829254</v>
      </c>
      <c r="I27" s="5">
        <f t="shared" si="10"/>
        <v>27592.225083315363</v>
      </c>
      <c r="J27" s="25">
        <f t="shared" si="0"/>
        <v>9.5712646660504205E-2</v>
      </c>
      <c r="L27" s="22">
        <f t="shared" si="11"/>
        <v>30458.701690712918</v>
      </c>
      <c r="M27" s="5">
        <f>scrimecost*Meta!O24</f>
        <v>17891.445</v>
      </c>
      <c r="N27" s="5">
        <f>L27-Grade8!L27</f>
        <v>1584.8956812137003</v>
      </c>
      <c r="O27" s="5">
        <f>Grade8!M27-M27</f>
        <v>371.39400000000023</v>
      </c>
      <c r="P27" s="22">
        <f t="shared" si="12"/>
        <v>56.815697715965499</v>
      </c>
      <c r="S27" s="22">
        <f t="shared" si="1"/>
        <v>1124.6157781554466</v>
      </c>
      <c r="T27" s="22">
        <f t="shared" si="2"/>
        <v>473.3847314443334</v>
      </c>
    </row>
    <row r="28" spans="1:20" x14ac:dyDescent="0.2">
      <c r="A28" s="5">
        <v>37</v>
      </c>
      <c r="B28" s="1">
        <f t="shared" si="3"/>
        <v>1.7215713975800966</v>
      </c>
      <c r="C28" s="5">
        <f t="shared" si="4"/>
        <v>23935.023794257275</v>
      </c>
      <c r="D28" s="5">
        <f t="shared" si="5"/>
        <v>23059.846295860261</v>
      </c>
      <c r="E28" s="5">
        <f t="shared" si="6"/>
        <v>13559.846295860261</v>
      </c>
      <c r="F28" s="5">
        <f t="shared" si="7"/>
        <v>4729.0398155983748</v>
      </c>
      <c r="G28" s="5">
        <f t="shared" si="8"/>
        <v>18330.806480261886</v>
      </c>
      <c r="H28" s="22">
        <f t="shared" si="9"/>
        <v>11009.658553224985</v>
      </c>
      <c r="I28" s="5">
        <f t="shared" si="10"/>
        <v>28184.450885398248</v>
      </c>
      <c r="J28" s="25">
        <f t="shared" si="0"/>
        <v>9.8832656061248497E-2</v>
      </c>
      <c r="L28" s="22">
        <f t="shared" si="11"/>
        <v>31220.169232980737</v>
      </c>
      <c r="M28" s="5">
        <f>scrimecost*Meta!O25</f>
        <v>17891.445</v>
      </c>
      <c r="N28" s="5">
        <f>L28-Grade8!L28</f>
        <v>1624.5180732440349</v>
      </c>
      <c r="O28" s="5">
        <f>Grade8!M28-M28</f>
        <v>371.39400000000023</v>
      </c>
      <c r="P28" s="22">
        <f t="shared" si="12"/>
        <v>57.837433487862995</v>
      </c>
      <c r="S28" s="22">
        <f t="shared" si="1"/>
        <v>1144.2290537521892</v>
      </c>
      <c r="T28" s="22">
        <f t="shared" si="2"/>
        <v>463.06470964408851</v>
      </c>
    </row>
    <row r="29" spans="1:20" x14ac:dyDescent="0.2">
      <c r="A29" s="5">
        <v>38</v>
      </c>
      <c r="B29" s="1">
        <f t="shared" si="3"/>
        <v>1.7646106825195991</v>
      </c>
      <c r="C29" s="5">
        <f t="shared" si="4"/>
        <v>24533.399389113707</v>
      </c>
      <c r="D29" s="5">
        <f t="shared" si="5"/>
        <v>23595.392453256769</v>
      </c>
      <c r="E29" s="5">
        <f t="shared" si="6"/>
        <v>14095.392453256769</v>
      </c>
      <c r="F29" s="5">
        <f t="shared" si="7"/>
        <v>4903.895635988335</v>
      </c>
      <c r="G29" s="5">
        <f t="shared" si="8"/>
        <v>18691.496817268435</v>
      </c>
      <c r="H29" s="22">
        <f t="shared" si="9"/>
        <v>11284.90001705561</v>
      </c>
      <c r="I29" s="5">
        <f t="shared" si="10"/>
        <v>28791.482332533204</v>
      </c>
      <c r="J29" s="25">
        <f t="shared" si="0"/>
        <v>0.10187656767173076</v>
      </c>
      <c r="L29" s="22">
        <f t="shared" si="11"/>
        <v>32000.673463805262</v>
      </c>
      <c r="M29" s="5">
        <f>scrimecost*Meta!O26</f>
        <v>17891.445</v>
      </c>
      <c r="N29" s="5">
        <f>L29-Grade8!L29</f>
        <v>1665.1310250751485</v>
      </c>
      <c r="O29" s="5">
        <f>Grade8!M29-M29</f>
        <v>371.39400000000023</v>
      </c>
      <c r="P29" s="22">
        <f t="shared" si="12"/>
        <v>58.88471265405795</v>
      </c>
      <c r="S29" s="22">
        <f t="shared" si="1"/>
        <v>1164.3326612388605</v>
      </c>
      <c r="T29" s="22">
        <f t="shared" si="2"/>
        <v>453.02736208414007</v>
      </c>
    </row>
    <row r="30" spans="1:20" x14ac:dyDescent="0.2">
      <c r="A30" s="5">
        <v>39</v>
      </c>
      <c r="B30" s="1">
        <f t="shared" si="3"/>
        <v>1.8087259495825889</v>
      </c>
      <c r="C30" s="5">
        <f t="shared" si="4"/>
        <v>25146.734373841547</v>
      </c>
      <c r="D30" s="5">
        <f t="shared" si="5"/>
        <v>24144.327264588184</v>
      </c>
      <c r="E30" s="5">
        <f t="shared" si="6"/>
        <v>14644.327264588184</v>
      </c>
      <c r="F30" s="5">
        <f t="shared" si="7"/>
        <v>5083.1228518880416</v>
      </c>
      <c r="G30" s="5">
        <f t="shared" si="8"/>
        <v>19061.204412700143</v>
      </c>
      <c r="H30" s="22">
        <f t="shared" si="9"/>
        <v>11567.022517481999</v>
      </c>
      <c r="I30" s="5">
        <f t="shared" si="10"/>
        <v>29413.689565846533</v>
      </c>
      <c r="J30" s="25">
        <f t="shared" si="0"/>
        <v>0.10484623753561581</v>
      </c>
      <c r="L30" s="22">
        <f t="shared" si="11"/>
        <v>32800.690300400391</v>
      </c>
      <c r="M30" s="5">
        <f>scrimecost*Meta!O27</f>
        <v>17891.445</v>
      </c>
      <c r="N30" s="5">
        <f>L30-Grade8!L30</f>
        <v>1706.7593007020259</v>
      </c>
      <c r="O30" s="5">
        <f>Grade8!M30-M30</f>
        <v>371.39400000000023</v>
      </c>
      <c r="P30" s="22">
        <f t="shared" si="12"/>
        <v>59.958173799407746</v>
      </c>
      <c r="S30" s="22">
        <f t="shared" si="1"/>
        <v>1184.9388589126918</v>
      </c>
      <c r="T30" s="22">
        <f t="shared" si="2"/>
        <v>443.2634628519653</v>
      </c>
    </row>
    <row r="31" spans="1:20" x14ac:dyDescent="0.2">
      <c r="A31" s="5">
        <v>40</v>
      </c>
      <c r="B31" s="1">
        <f t="shared" si="3"/>
        <v>1.8539440983221533</v>
      </c>
      <c r="C31" s="5">
        <f t="shared" si="4"/>
        <v>25775.40273318758</v>
      </c>
      <c r="D31" s="5">
        <f t="shared" si="5"/>
        <v>24706.985446202885</v>
      </c>
      <c r="E31" s="5">
        <f t="shared" si="6"/>
        <v>15206.985446202885</v>
      </c>
      <c r="F31" s="5">
        <f t="shared" si="7"/>
        <v>5266.8307481852416</v>
      </c>
      <c r="G31" s="5">
        <f t="shared" si="8"/>
        <v>19440.154698017643</v>
      </c>
      <c r="H31" s="22">
        <f t="shared" si="9"/>
        <v>11856.198080419048</v>
      </c>
      <c r="I31" s="5">
        <f t="shared" si="10"/>
        <v>30051.451979992693</v>
      </c>
      <c r="J31" s="25">
        <f t="shared" si="0"/>
        <v>0.10774347642721102</v>
      </c>
      <c r="L31" s="22">
        <f t="shared" si="11"/>
        <v>33620.707557910391</v>
      </c>
      <c r="M31" s="5">
        <f>scrimecost*Meta!O28</f>
        <v>15649.919999999998</v>
      </c>
      <c r="N31" s="5">
        <f>L31-Grade8!L31</f>
        <v>1749.4282832195713</v>
      </c>
      <c r="O31" s="5">
        <f>Grade8!M31-M31</f>
        <v>324.8640000000014</v>
      </c>
      <c r="P31" s="22">
        <f t="shared" si="12"/>
        <v>61.058471473391293</v>
      </c>
      <c r="S31" s="22">
        <f t="shared" si="1"/>
        <v>1165.2068715283685</v>
      </c>
      <c r="T31" s="22">
        <f t="shared" si="2"/>
        <v>419.07105922396494</v>
      </c>
    </row>
    <row r="32" spans="1:20" x14ac:dyDescent="0.2">
      <c r="A32" s="5">
        <v>41</v>
      </c>
      <c r="B32" s="1">
        <f t="shared" si="3"/>
        <v>1.9002927007802071</v>
      </c>
      <c r="C32" s="5">
        <f t="shared" si="4"/>
        <v>26419.787801517268</v>
      </c>
      <c r="D32" s="5">
        <f t="shared" si="5"/>
        <v>25283.710082357957</v>
      </c>
      <c r="E32" s="5">
        <f t="shared" si="6"/>
        <v>15783.710082357957</v>
      </c>
      <c r="F32" s="5">
        <f t="shared" si="7"/>
        <v>5455.1313418898726</v>
      </c>
      <c r="G32" s="5">
        <f t="shared" si="8"/>
        <v>19828.578740468085</v>
      </c>
      <c r="H32" s="22">
        <f t="shared" si="9"/>
        <v>12152.603032429523</v>
      </c>
      <c r="I32" s="5">
        <f t="shared" si="10"/>
        <v>30705.158454492506</v>
      </c>
      <c r="J32" s="25">
        <f t="shared" si="0"/>
        <v>0.11057005095559662</v>
      </c>
      <c r="L32" s="22">
        <f t="shared" si="11"/>
        <v>34461.22524685815</v>
      </c>
      <c r="M32" s="5">
        <f>scrimecost*Meta!O29</f>
        <v>15649.919999999998</v>
      </c>
      <c r="N32" s="5">
        <f>L32-Grade8!L32</f>
        <v>1793.1639903000651</v>
      </c>
      <c r="O32" s="5">
        <f>Grade8!M32-M32</f>
        <v>324.8640000000014</v>
      </c>
      <c r="P32" s="22">
        <f t="shared" si="12"/>
        <v>62.186276589224441</v>
      </c>
      <c r="S32" s="22">
        <f t="shared" si="1"/>
        <v>1186.8562579594402</v>
      </c>
      <c r="T32" s="22">
        <f t="shared" si="2"/>
        <v>410.39437203838338</v>
      </c>
    </row>
    <row r="33" spans="1:20" x14ac:dyDescent="0.2">
      <c r="A33" s="5">
        <v>42</v>
      </c>
      <c r="B33" s="1">
        <f t="shared" si="3"/>
        <v>1.9478000182997122</v>
      </c>
      <c r="C33" s="5">
        <f t="shared" si="4"/>
        <v>27080.282496555203</v>
      </c>
      <c r="D33" s="5">
        <f t="shared" si="5"/>
        <v>25874.852834416906</v>
      </c>
      <c r="E33" s="5">
        <f t="shared" si="6"/>
        <v>16374.852834416906</v>
      </c>
      <c r="F33" s="5">
        <f t="shared" si="7"/>
        <v>5648.1394504371201</v>
      </c>
      <c r="G33" s="5">
        <f t="shared" si="8"/>
        <v>20226.713383979786</v>
      </c>
      <c r="H33" s="22">
        <f t="shared" si="9"/>
        <v>12456.418108240261</v>
      </c>
      <c r="I33" s="5">
        <f t="shared" si="10"/>
        <v>31375.207590854821</v>
      </c>
      <c r="J33" s="25">
        <f t="shared" si="0"/>
        <v>0.11332768464182646</v>
      </c>
      <c r="L33" s="22">
        <f t="shared" si="11"/>
        <v>35322.755878029602</v>
      </c>
      <c r="M33" s="5">
        <f>scrimecost*Meta!O30</f>
        <v>15649.919999999998</v>
      </c>
      <c r="N33" s="5">
        <f>L33-Grade8!L33</f>
        <v>1837.9930900575637</v>
      </c>
      <c r="O33" s="5">
        <f>Grade8!M33-M33</f>
        <v>324.8640000000014</v>
      </c>
      <c r="P33" s="22">
        <f t="shared" si="12"/>
        <v>63.342276832953424</v>
      </c>
      <c r="S33" s="22">
        <f t="shared" si="1"/>
        <v>1209.0468790512855</v>
      </c>
      <c r="T33" s="22">
        <f t="shared" si="2"/>
        <v>401.94353936660832</v>
      </c>
    </row>
    <row r="34" spans="1:20" x14ac:dyDescent="0.2">
      <c r="A34" s="5">
        <v>43</v>
      </c>
      <c r="B34" s="1">
        <f t="shared" si="3"/>
        <v>1.9964950187572048</v>
      </c>
      <c r="C34" s="5">
        <f t="shared" si="4"/>
        <v>27757.289558969082</v>
      </c>
      <c r="D34" s="5">
        <f t="shared" si="5"/>
        <v>26480.77415527733</v>
      </c>
      <c r="E34" s="5">
        <f t="shared" si="6"/>
        <v>16980.77415527733</v>
      </c>
      <c r="F34" s="5">
        <f t="shared" si="7"/>
        <v>5845.9727616980481</v>
      </c>
      <c r="G34" s="5">
        <f t="shared" si="8"/>
        <v>20634.801393579281</v>
      </c>
      <c r="H34" s="22">
        <f t="shared" si="9"/>
        <v>12767.828560946267</v>
      </c>
      <c r="I34" s="5">
        <f t="shared" si="10"/>
        <v>32062.007955626192</v>
      </c>
      <c r="J34" s="25">
        <f t="shared" si="0"/>
        <v>0.11601805896985558</v>
      </c>
      <c r="L34" s="22">
        <f t="shared" si="11"/>
        <v>36205.824774980341</v>
      </c>
      <c r="M34" s="5">
        <f>scrimecost*Meta!O31</f>
        <v>15649.919999999998</v>
      </c>
      <c r="N34" s="5">
        <f>L34-Grade8!L34</f>
        <v>1883.9429173089957</v>
      </c>
      <c r="O34" s="5">
        <f>Grade8!M34-M34</f>
        <v>324.8640000000014</v>
      </c>
      <c r="P34" s="22">
        <f t="shared" si="12"/>
        <v>64.527177082775623</v>
      </c>
      <c r="S34" s="22">
        <f t="shared" si="1"/>
        <v>1231.7922656704245</v>
      </c>
      <c r="T34" s="22">
        <f t="shared" si="2"/>
        <v>393.71143137837265</v>
      </c>
    </row>
    <row r="35" spans="1:20" x14ac:dyDescent="0.2">
      <c r="A35" s="5">
        <v>44</v>
      </c>
      <c r="B35" s="1">
        <f t="shared" si="3"/>
        <v>2.0464073942261352</v>
      </c>
      <c r="C35" s="5">
        <f t="shared" si="4"/>
        <v>28451.221797943308</v>
      </c>
      <c r="D35" s="5">
        <f t="shared" si="5"/>
        <v>27101.843509159262</v>
      </c>
      <c r="E35" s="5">
        <f t="shared" si="6"/>
        <v>17601.843509159262</v>
      </c>
      <c r="F35" s="5">
        <f t="shared" si="7"/>
        <v>6048.7519057404988</v>
      </c>
      <c r="G35" s="5">
        <f t="shared" si="8"/>
        <v>21053.091603418761</v>
      </c>
      <c r="H35" s="22">
        <f t="shared" si="9"/>
        <v>13087.024274969926</v>
      </c>
      <c r="I35" s="5">
        <f t="shared" si="10"/>
        <v>32765.978329516845</v>
      </c>
      <c r="J35" s="25">
        <f t="shared" si="0"/>
        <v>0.11864281441183518</v>
      </c>
      <c r="L35" s="22">
        <f t="shared" si="11"/>
        <v>37110.970394354852</v>
      </c>
      <c r="M35" s="5">
        <f>scrimecost*Meta!O32</f>
        <v>15649.919999999998</v>
      </c>
      <c r="N35" s="5">
        <f>L35-Grade8!L35</f>
        <v>1931.0414902417324</v>
      </c>
      <c r="O35" s="5">
        <f>Grade8!M35-M35</f>
        <v>324.8640000000014</v>
      </c>
      <c r="P35" s="22">
        <f t="shared" si="12"/>
        <v>65.741699838843374</v>
      </c>
      <c r="S35" s="22">
        <f t="shared" si="1"/>
        <v>1255.1062869550517</v>
      </c>
      <c r="T35" s="22">
        <f t="shared" si="2"/>
        <v>385.69117025203587</v>
      </c>
    </row>
    <row r="36" spans="1:20" x14ac:dyDescent="0.2">
      <c r="A36" s="5">
        <v>45</v>
      </c>
      <c r="B36" s="1">
        <f t="shared" si="3"/>
        <v>2.097567579081788</v>
      </c>
      <c r="C36" s="5">
        <f t="shared" si="4"/>
        <v>29162.502342891883</v>
      </c>
      <c r="D36" s="5">
        <f t="shared" si="5"/>
        <v>27738.439596888235</v>
      </c>
      <c r="E36" s="5">
        <f t="shared" si="6"/>
        <v>18238.439596888235</v>
      </c>
      <c r="F36" s="5">
        <f t="shared" si="7"/>
        <v>6256.6005283840086</v>
      </c>
      <c r="G36" s="5">
        <f t="shared" si="8"/>
        <v>21481.839068504225</v>
      </c>
      <c r="H36" s="22">
        <f t="shared" si="9"/>
        <v>13414.19988184417</v>
      </c>
      <c r="I36" s="5">
        <f t="shared" si="10"/>
        <v>33487.547962754761</v>
      </c>
      <c r="J36" s="25">
        <f t="shared" si="0"/>
        <v>0.12120355142840063</v>
      </c>
      <c r="L36" s="22">
        <f t="shared" si="11"/>
        <v>38038.744654213719</v>
      </c>
      <c r="M36" s="5">
        <f>scrimecost*Meta!O33</f>
        <v>12647.635</v>
      </c>
      <c r="N36" s="5">
        <f>L36-Grade8!L36</f>
        <v>1979.3175274977621</v>
      </c>
      <c r="O36" s="5">
        <f>Grade8!M36-M36</f>
        <v>262.54200000000128</v>
      </c>
      <c r="P36" s="22">
        <f t="shared" si="12"/>
        <v>66.986585663812818</v>
      </c>
      <c r="S36" s="22">
        <f t="shared" si="1"/>
        <v>1224.2844427717816</v>
      </c>
      <c r="T36" s="22">
        <f t="shared" si="2"/>
        <v>361.70970556567767</v>
      </c>
    </row>
    <row r="37" spans="1:20" x14ac:dyDescent="0.2">
      <c r="A37" s="5">
        <v>46</v>
      </c>
      <c r="B37" s="1">
        <f t="shared" ref="B37:B56" si="13">(1+experiencepremium)^(A37-startage)</f>
        <v>2.1500067685588333</v>
      </c>
      <c r="C37" s="5">
        <f t="shared" ref="C37:C56" si="14">pretaxincome*B37/expnorm</f>
        <v>29891.564901464189</v>
      </c>
      <c r="D37" s="5">
        <f t="shared" ref="D37:D56" si="15">IF(A37&lt;startage,1,0)*(C37*(1-initialunempprob))+IF(A37=startage,1,0)*(C37*(1-unempprob))+IF(A37&gt;startage,1,0)*(C37*(1-unempprob)+unempprob*300*52)</f>
        <v>28390.95058681045</v>
      </c>
      <c r="E37" s="5">
        <f t="shared" si="6"/>
        <v>18890.95058681045</v>
      </c>
      <c r="F37" s="5">
        <f t="shared" si="7"/>
        <v>6469.6453665936115</v>
      </c>
      <c r="G37" s="5">
        <f t="shared" si="8"/>
        <v>21921.30522021684</v>
      </c>
      <c r="H37" s="22">
        <f t="shared" ref="H37:H56" si="16">benefits*B37/expnorm</f>
        <v>13749.554878890278</v>
      </c>
      <c r="I37" s="5">
        <f t="shared" ref="I37:I56" si="17">G37+IF(A37&lt;startage,1,0)*(H37*(1-initialunempprob))+IF(A37&gt;=startage,1,0)*(H37*(1-unempprob))</f>
        <v>34227.15683682364</v>
      </c>
      <c r="J37" s="25">
        <f t="shared" ref="J37:J56" si="18">(F37-(IF(A37&gt;startage,1,0)*(unempprob*300*52)))/(IF(A37&lt;startage,1,0)*((C37+H37)*(1-initialunempprob))+IF(A37&gt;=startage,1,0)*((C37+H37)*(1-unempprob)))</f>
        <v>0.12370183144456211</v>
      </c>
      <c r="L37" s="22">
        <f t="shared" ref="L37:L56" si="19">(sincome+sbenefits)*(1-sunemp)*B37/expnorm</f>
        <v>38989.713270569067</v>
      </c>
      <c r="M37" s="5">
        <f>scrimecost*Meta!O34</f>
        <v>12647.635</v>
      </c>
      <c r="N37" s="5">
        <f>L37-Grade8!L37</f>
        <v>2028.8004656852208</v>
      </c>
      <c r="O37" s="5">
        <f>Grade8!M37-M37</f>
        <v>262.54200000000128</v>
      </c>
      <c r="P37" s="22">
        <f t="shared" si="12"/>
        <v>68.262593634406514</v>
      </c>
      <c r="S37" s="22">
        <f t="shared" ref="S37:S68" si="20">IF(A37&lt;startage,1,0)*(N37-Q37-R37)+IF(A37&gt;=startage,1,0)*completionprob*(N37*spart+O37+P37)</f>
        <v>1248.7787363839439</v>
      </c>
      <c r="T37" s="22">
        <f t="shared" ref="T37:T68" si="21">S37/sreturn^(A37-startage+1)</f>
        <v>354.71697007486335</v>
      </c>
    </row>
    <row r="38" spans="1:20" x14ac:dyDescent="0.2">
      <c r="A38" s="5">
        <v>47</v>
      </c>
      <c r="B38" s="1">
        <f t="shared" si="13"/>
        <v>2.2037569377728037</v>
      </c>
      <c r="C38" s="5">
        <f t="shared" si="14"/>
        <v>30638.85402400079</v>
      </c>
      <c r="D38" s="5">
        <f t="shared" si="15"/>
        <v>29059.774351480708</v>
      </c>
      <c r="E38" s="5">
        <f t="shared" si="6"/>
        <v>19559.774351480708</v>
      </c>
      <c r="F38" s="5">
        <f t="shared" si="7"/>
        <v>6688.0163257584518</v>
      </c>
      <c r="G38" s="5">
        <f t="shared" si="8"/>
        <v>22371.758025722258</v>
      </c>
      <c r="H38" s="22">
        <f t="shared" si="16"/>
        <v>14093.293750862533</v>
      </c>
      <c r="I38" s="5">
        <f t="shared" si="17"/>
        <v>34985.255932744229</v>
      </c>
      <c r="J38" s="25">
        <f t="shared" si="18"/>
        <v>0.12613917780179282</v>
      </c>
      <c r="L38" s="22">
        <f t="shared" si="19"/>
        <v>39964.456102333286</v>
      </c>
      <c r="M38" s="5">
        <f>scrimecost*Meta!O35</f>
        <v>12647.635</v>
      </c>
      <c r="N38" s="5">
        <f>L38-Grade8!L38</f>
        <v>2079.5204773273435</v>
      </c>
      <c r="O38" s="5">
        <f>Grade8!M38-M38</f>
        <v>262.54200000000128</v>
      </c>
      <c r="P38" s="22">
        <f t="shared" ref="P38:P56" si="22">(spart-initialspart)*(L38*J38+nptrans)</f>
        <v>69.570501804265035</v>
      </c>
      <c r="S38" s="22">
        <f t="shared" si="20"/>
        <v>1273.8853873363992</v>
      </c>
      <c r="T38" s="22">
        <f t="shared" si="21"/>
        <v>347.89282074215527</v>
      </c>
    </row>
    <row r="39" spans="1:20" x14ac:dyDescent="0.2">
      <c r="A39" s="5">
        <v>48</v>
      </c>
      <c r="B39" s="1">
        <f t="shared" si="13"/>
        <v>2.2588508612171236</v>
      </c>
      <c r="C39" s="5">
        <f t="shared" si="14"/>
        <v>31404.825374600805</v>
      </c>
      <c r="D39" s="5">
        <f t="shared" si="15"/>
        <v>29745.318710267722</v>
      </c>
      <c r="E39" s="5">
        <f t="shared" si="6"/>
        <v>20245.318710267722</v>
      </c>
      <c r="F39" s="5">
        <f t="shared" si="7"/>
        <v>6911.8465589024108</v>
      </c>
      <c r="G39" s="5">
        <f t="shared" si="8"/>
        <v>22833.472151365313</v>
      </c>
      <c r="H39" s="22">
        <f t="shared" si="16"/>
        <v>14445.626094634094</v>
      </c>
      <c r="I39" s="5">
        <f t="shared" si="17"/>
        <v>35762.307506062825</v>
      </c>
      <c r="J39" s="25">
        <f t="shared" si="18"/>
        <v>0.12851707668689588</v>
      </c>
      <c r="L39" s="22">
        <f t="shared" si="19"/>
        <v>40963.567504891616</v>
      </c>
      <c r="M39" s="5">
        <f>scrimecost*Meta!O36</f>
        <v>12647.635</v>
      </c>
      <c r="N39" s="5">
        <f>L39-Grade8!L39</f>
        <v>2131.50848926053</v>
      </c>
      <c r="O39" s="5">
        <f>Grade8!M39-M39</f>
        <v>262.54200000000128</v>
      </c>
      <c r="P39" s="22">
        <f t="shared" si="22"/>
        <v>70.911107678370016</v>
      </c>
      <c r="S39" s="22">
        <f t="shared" si="20"/>
        <v>1299.6197045626711</v>
      </c>
      <c r="T39" s="22">
        <f t="shared" si="21"/>
        <v>341.23222487705573</v>
      </c>
    </row>
    <row r="40" spans="1:20" x14ac:dyDescent="0.2">
      <c r="A40" s="5">
        <v>49</v>
      </c>
      <c r="B40" s="1">
        <f t="shared" si="13"/>
        <v>2.3153221327475517</v>
      </c>
      <c r="C40" s="5">
        <f t="shared" si="14"/>
        <v>32189.946008965824</v>
      </c>
      <c r="D40" s="5">
        <f t="shared" si="15"/>
        <v>30448.001678024411</v>
      </c>
      <c r="E40" s="5">
        <f t="shared" si="6"/>
        <v>20948.001678024411</v>
      </c>
      <c r="F40" s="5">
        <f t="shared" si="7"/>
        <v>7141.2725478749708</v>
      </c>
      <c r="G40" s="5">
        <f t="shared" si="8"/>
        <v>23306.729130149441</v>
      </c>
      <c r="H40" s="22">
        <f t="shared" si="16"/>
        <v>14806.766746999947</v>
      </c>
      <c r="I40" s="5">
        <f t="shared" si="17"/>
        <v>36558.785368714394</v>
      </c>
      <c r="J40" s="25">
        <f t="shared" si="18"/>
        <v>0.13083697803821598</v>
      </c>
      <c r="L40" s="22">
        <f t="shared" si="19"/>
        <v>41987.656692513912</v>
      </c>
      <c r="M40" s="5">
        <f>scrimecost*Meta!O37</f>
        <v>12647.635</v>
      </c>
      <c r="N40" s="5">
        <f>L40-Grade8!L40</f>
        <v>2184.7962014920558</v>
      </c>
      <c r="O40" s="5">
        <f>Grade8!M40-M40</f>
        <v>262.54200000000128</v>
      </c>
      <c r="P40" s="22">
        <f t="shared" si="22"/>
        <v>72.285228699327632</v>
      </c>
      <c r="S40" s="22">
        <f t="shared" si="20"/>
        <v>1325.9973797196044</v>
      </c>
      <c r="T40" s="22">
        <f t="shared" si="21"/>
        <v>334.73032253696113</v>
      </c>
    </row>
    <row r="41" spans="1:20" x14ac:dyDescent="0.2">
      <c r="A41" s="5">
        <v>50</v>
      </c>
      <c r="B41" s="1">
        <f t="shared" si="13"/>
        <v>2.3732051860662402</v>
      </c>
      <c r="C41" s="5">
        <f t="shared" si="14"/>
        <v>32994.694659189969</v>
      </c>
      <c r="D41" s="5">
        <f t="shared" si="15"/>
        <v>31168.251719975022</v>
      </c>
      <c r="E41" s="5">
        <f t="shared" si="6"/>
        <v>21668.251719975022</v>
      </c>
      <c r="F41" s="5">
        <f t="shared" si="7"/>
        <v>7376.4341865718452</v>
      </c>
      <c r="G41" s="5">
        <f t="shared" si="8"/>
        <v>23791.817533403177</v>
      </c>
      <c r="H41" s="22">
        <f t="shared" si="16"/>
        <v>15176.935915674943</v>
      </c>
      <c r="I41" s="5">
        <f t="shared" si="17"/>
        <v>37375.175177932251</v>
      </c>
      <c r="J41" s="25">
        <f t="shared" si="18"/>
        <v>0.13310029642974777</v>
      </c>
      <c r="L41" s="22">
        <f t="shared" si="19"/>
        <v>43037.348109826751</v>
      </c>
      <c r="M41" s="5">
        <f>scrimecost*Meta!O38</f>
        <v>8449.8700000000008</v>
      </c>
      <c r="N41" s="5">
        <f>L41-Grade8!L41</f>
        <v>2239.4161065293374</v>
      </c>
      <c r="O41" s="5">
        <f>Grade8!M41-M41</f>
        <v>175.40399999999863</v>
      </c>
      <c r="P41" s="22">
        <f t="shared" si="22"/>
        <v>73.693702745809176</v>
      </c>
      <c r="S41" s="22">
        <f t="shared" si="20"/>
        <v>1276.5273327554432</v>
      </c>
      <c r="T41" s="22">
        <f t="shared" si="21"/>
        <v>309.81407787820552</v>
      </c>
    </row>
    <row r="42" spans="1:20" x14ac:dyDescent="0.2">
      <c r="A42" s="5">
        <v>51</v>
      </c>
      <c r="B42" s="1">
        <f t="shared" si="13"/>
        <v>2.4325353157178964</v>
      </c>
      <c r="C42" s="5">
        <f t="shared" si="14"/>
        <v>33819.562025669722</v>
      </c>
      <c r="D42" s="5">
        <f t="shared" si="15"/>
        <v>31906.508012974402</v>
      </c>
      <c r="E42" s="5">
        <f t="shared" si="6"/>
        <v>22406.508012974402</v>
      </c>
      <c r="F42" s="5">
        <f t="shared" si="7"/>
        <v>7617.4748662361417</v>
      </c>
      <c r="G42" s="5">
        <f t="shared" si="8"/>
        <v>24289.03314673826</v>
      </c>
      <c r="H42" s="22">
        <f t="shared" si="16"/>
        <v>15556.359313566818</v>
      </c>
      <c r="I42" s="5">
        <f t="shared" si="17"/>
        <v>38211.974732380564</v>
      </c>
      <c r="J42" s="25">
        <f t="shared" si="18"/>
        <v>0.13530841193368123</v>
      </c>
      <c r="L42" s="22">
        <f t="shared" si="19"/>
        <v>44113.281812572422</v>
      </c>
      <c r="M42" s="5">
        <f>scrimecost*Meta!O39</f>
        <v>8449.8700000000008</v>
      </c>
      <c r="N42" s="5">
        <f>L42-Grade8!L42</f>
        <v>2295.401509192583</v>
      </c>
      <c r="O42" s="5">
        <f>Grade8!M42-M42</f>
        <v>175.40399999999863</v>
      </c>
      <c r="P42" s="22">
        <f t="shared" si="22"/>
        <v>75.137388643452766</v>
      </c>
      <c r="S42" s="22">
        <f t="shared" si="20"/>
        <v>1304.2403777171958</v>
      </c>
      <c r="T42" s="22">
        <f t="shared" si="21"/>
        <v>304.33178331255664</v>
      </c>
    </row>
    <row r="43" spans="1:20" x14ac:dyDescent="0.2">
      <c r="A43" s="5">
        <v>52</v>
      </c>
      <c r="B43" s="1">
        <f t="shared" si="13"/>
        <v>2.4933486986108435</v>
      </c>
      <c r="C43" s="5">
        <f t="shared" si="14"/>
        <v>34665.051076311458</v>
      </c>
      <c r="D43" s="5">
        <f t="shared" si="15"/>
        <v>32663.220713298757</v>
      </c>
      <c r="E43" s="5">
        <f t="shared" si="6"/>
        <v>23163.220713298757</v>
      </c>
      <c r="F43" s="5">
        <f t="shared" si="7"/>
        <v>7864.5415628920437</v>
      </c>
      <c r="G43" s="5">
        <f t="shared" si="8"/>
        <v>24798.679150406715</v>
      </c>
      <c r="H43" s="22">
        <f t="shared" si="16"/>
        <v>15945.268296405988</v>
      </c>
      <c r="I43" s="5">
        <f t="shared" si="17"/>
        <v>39069.694275690075</v>
      </c>
      <c r="J43" s="25">
        <f t="shared" si="18"/>
        <v>0.13746267096190901</v>
      </c>
      <c r="L43" s="22">
        <f t="shared" si="19"/>
        <v>45216.113857886732</v>
      </c>
      <c r="M43" s="5">
        <f>scrimecost*Meta!O40</f>
        <v>8449.8700000000008</v>
      </c>
      <c r="N43" s="5">
        <f>L43-Grade8!L43</f>
        <v>2352.7865469224053</v>
      </c>
      <c r="O43" s="5">
        <f>Grade8!M43-M43</f>
        <v>175.40399999999863</v>
      </c>
      <c r="P43" s="22">
        <f t="shared" si="22"/>
        <v>76.617166688537452</v>
      </c>
      <c r="S43" s="22">
        <f t="shared" si="20"/>
        <v>1332.6462488029899</v>
      </c>
      <c r="T43" s="22">
        <f t="shared" si="21"/>
        <v>298.96695657907304</v>
      </c>
    </row>
    <row r="44" spans="1:20" x14ac:dyDescent="0.2">
      <c r="A44" s="5">
        <v>53</v>
      </c>
      <c r="B44" s="1">
        <f t="shared" si="13"/>
        <v>2.555682416076114</v>
      </c>
      <c r="C44" s="5">
        <f t="shared" si="14"/>
        <v>35531.677353219231</v>
      </c>
      <c r="D44" s="5">
        <f t="shared" si="15"/>
        <v>33438.851231131208</v>
      </c>
      <c r="E44" s="5">
        <f t="shared" si="6"/>
        <v>23938.851231131208</v>
      </c>
      <c r="F44" s="5">
        <f t="shared" si="7"/>
        <v>8117.7849269643393</v>
      </c>
      <c r="G44" s="5">
        <f t="shared" si="8"/>
        <v>25321.066304166867</v>
      </c>
      <c r="H44" s="22">
        <f t="shared" si="16"/>
        <v>16343.900003816132</v>
      </c>
      <c r="I44" s="5">
        <f t="shared" si="17"/>
        <v>39948.856807582306</v>
      </c>
      <c r="J44" s="25">
        <f t="shared" si="18"/>
        <v>0.13956438708700919</v>
      </c>
      <c r="L44" s="22">
        <f t="shared" si="19"/>
        <v>46346.516704333888</v>
      </c>
      <c r="M44" s="5">
        <f>scrimecost*Meta!O41</f>
        <v>8449.8700000000008</v>
      </c>
      <c r="N44" s="5">
        <f>L44-Grade8!L44</f>
        <v>2411.6062105954479</v>
      </c>
      <c r="O44" s="5">
        <f>Grade8!M44-M44</f>
        <v>175.40399999999863</v>
      </c>
      <c r="P44" s="22">
        <f t="shared" si="22"/>
        <v>78.133939184749224</v>
      </c>
      <c r="S44" s="22">
        <f t="shared" si="20"/>
        <v>1361.7622666659167</v>
      </c>
      <c r="T44" s="22">
        <f t="shared" si="21"/>
        <v>293.71643280860968</v>
      </c>
    </row>
    <row r="45" spans="1:20" x14ac:dyDescent="0.2">
      <c r="A45" s="5">
        <v>54</v>
      </c>
      <c r="B45" s="1">
        <f t="shared" si="13"/>
        <v>2.6195744764780171</v>
      </c>
      <c r="C45" s="5">
        <f t="shared" si="14"/>
        <v>36419.969287049724</v>
      </c>
      <c r="D45" s="5">
        <f t="shared" si="15"/>
        <v>34233.872511909503</v>
      </c>
      <c r="E45" s="5">
        <f t="shared" si="6"/>
        <v>24733.872511909503</v>
      </c>
      <c r="F45" s="5">
        <f t="shared" si="7"/>
        <v>8377.3593751384524</v>
      </c>
      <c r="G45" s="5">
        <f t="shared" si="8"/>
        <v>25856.513136771049</v>
      </c>
      <c r="H45" s="22">
        <f t="shared" si="16"/>
        <v>16752.497503911538</v>
      </c>
      <c r="I45" s="5">
        <f t="shared" si="17"/>
        <v>40849.998402771875</v>
      </c>
      <c r="J45" s="25">
        <f t="shared" si="18"/>
        <v>0.14161484184320466</v>
      </c>
      <c r="L45" s="22">
        <f t="shared" si="19"/>
        <v>47505.179621942239</v>
      </c>
      <c r="M45" s="5">
        <f>scrimecost*Meta!O42</f>
        <v>8449.8700000000008</v>
      </c>
      <c r="N45" s="5">
        <f>L45-Grade8!L45</f>
        <v>2471.8963658603461</v>
      </c>
      <c r="O45" s="5">
        <f>Grade8!M45-M45</f>
        <v>175.40399999999863</v>
      </c>
      <c r="P45" s="22">
        <f t="shared" si="22"/>
        <v>79.688630993366345</v>
      </c>
      <c r="S45" s="22">
        <f t="shared" si="20"/>
        <v>1391.606184975431</v>
      </c>
      <c r="T45" s="22">
        <f t="shared" si="21"/>
        <v>288.57714934908245</v>
      </c>
    </row>
    <row r="46" spans="1:20" x14ac:dyDescent="0.2">
      <c r="A46" s="5">
        <v>55</v>
      </c>
      <c r="B46" s="1">
        <f t="shared" si="13"/>
        <v>2.6850638383899672</v>
      </c>
      <c r="C46" s="5">
        <f t="shared" si="14"/>
        <v>37330.468519225957</v>
      </c>
      <c r="D46" s="5">
        <f t="shared" si="15"/>
        <v>35048.769324707231</v>
      </c>
      <c r="E46" s="5">
        <f t="shared" si="6"/>
        <v>25548.769324707231</v>
      </c>
      <c r="F46" s="5">
        <f t="shared" si="7"/>
        <v>8643.4231845169106</v>
      </c>
      <c r="G46" s="5">
        <f t="shared" si="8"/>
        <v>26405.346140190319</v>
      </c>
      <c r="H46" s="22">
        <f t="shared" si="16"/>
        <v>17171.309941509324</v>
      </c>
      <c r="I46" s="5">
        <f t="shared" si="17"/>
        <v>41773.668537841164</v>
      </c>
      <c r="J46" s="25">
        <f t="shared" si="18"/>
        <v>0.14361528550778549</v>
      </c>
      <c r="L46" s="22">
        <f t="shared" si="19"/>
        <v>48692.809112490788</v>
      </c>
      <c r="M46" s="5">
        <f>scrimecost*Meta!O43</f>
        <v>4686.8249999999998</v>
      </c>
      <c r="N46" s="5">
        <f>L46-Grade8!L46</f>
        <v>2533.6937750068464</v>
      </c>
      <c r="O46" s="5">
        <f>Grade8!M46-M46</f>
        <v>97.289999999999964</v>
      </c>
      <c r="P46" s="22">
        <f t="shared" si="22"/>
        <v>81.28219009719885</v>
      </c>
      <c r="S46" s="22">
        <f t="shared" si="20"/>
        <v>1353.6121092426747</v>
      </c>
      <c r="T46" s="22">
        <f t="shared" si="21"/>
        <v>269.87239254040503</v>
      </c>
    </row>
    <row r="47" spans="1:20" x14ac:dyDescent="0.2">
      <c r="A47" s="5">
        <v>56</v>
      </c>
      <c r="B47" s="1">
        <f t="shared" si="13"/>
        <v>2.7521904343497163</v>
      </c>
      <c r="C47" s="5">
        <f t="shared" si="14"/>
        <v>38263.730232206603</v>
      </c>
      <c r="D47" s="5">
        <f t="shared" si="15"/>
        <v>35884.038557824912</v>
      </c>
      <c r="E47" s="5">
        <f t="shared" si="6"/>
        <v>26384.038557824912</v>
      </c>
      <c r="F47" s="5">
        <f t="shared" si="7"/>
        <v>8916.1385891298341</v>
      </c>
      <c r="G47" s="5">
        <f t="shared" si="8"/>
        <v>26967.899968695077</v>
      </c>
      <c r="H47" s="22">
        <f t="shared" si="16"/>
        <v>17600.592690047055</v>
      </c>
      <c r="I47" s="5">
        <f t="shared" si="17"/>
        <v>42720.430426287188</v>
      </c>
      <c r="J47" s="25">
        <f t="shared" si="18"/>
        <v>0.14556693786347413</v>
      </c>
      <c r="L47" s="22">
        <f t="shared" si="19"/>
        <v>49910.12934030305</v>
      </c>
      <c r="M47" s="5">
        <f>scrimecost*Meta!O44</f>
        <v>4686.8249999999998</v>
      </c>
      <c r="N47" s="5">
        <f>L47-Grade8!L47</f>
        <v>2597.0361193820136</v>
      </c>
      <c r="O47" s="5">
        <f>Grade8!M47-M47</f>
        <v>97.289999999999964</v>
      </c>
      <c r="P47" s="22">
        <f t="shared" si="22"/>
        <v>82.915588178627175</v>
      </c>
      <c r="S47" s="22">
        <f t="shared" si="20"/>
        <v>1384.9668759166002</v>
      </c>
      <c r="T47" s="22">
        <f t="shared" si="21"/>
        <v>265.4741596343855</v>
      </c>
    </row>
    <row r="48" spans="1:20" x14ac:dyDescent="0.2">
      <c r="A48" s="5">
        <v>57</v>
      </c>
      <c r="B48" s="1">
        <f t="shared" si="13"/>
        <v>2.8209951952084591</v>
      </c>
      <c r="C48" s="5">
        <f t="shared" si="14"/>
        <v>39220.323488011774</v>
      </c>
      <c r="D48" s="5">
        <f t="shared" si="15"/>
        <v>36740.189521770539</v>
      </c>
      <c r="E48" s="5">
        <f t="shared" si="6"/>
        <v>27240.189521770539</v>
      </c>
      <c r="F48" s="5">
        <f t="shared" si="7"/>
        <v>9195.6718788580802</v>
      </c>
      <c r="G48" s="5">
        <f t="shared" si="8"/>
        <v>27544.517642912459</v>
      </c>
      <c r="H48" s="22">
        <f t="shared" si="16"/>
        <v>18040.607507298231</v>
      </c>
      <c r="I48" s="5">
        <f t="shared" si="17"/>
        <v>43690.861361944379</v>
      </c>
      <c r="J48" s="25">
        <f t="shared" si="18"/>
        <v>0.14747098894219476</v>
      </c>
      <c r="L48" s="22">
        <f t="shared" si="19"/>
        <v>51157.882573810624</v>
      </c>
      <c r="M48" s="5">
        <f>scrimecost*Meta!O45</f>
        <v>4686.8249999999998</v>
      </c>
      <c r="N48" s="5">
        <f>L48-Grade8!L48</f>
        <v>2661.9620223665625</v>
      </c>
      <c r="O48" s="5">
        <f>Grade8!M48-M48</f>
        <v>97.289999999999964</v>
      </c>
      <c r="P48" s="22">
        <f t="shared" si="22"/>
        <v>84.589821212091223</v>
      </c>
      <c r="S48" s="22">
        <f t="shared" si="20"/>
        <v>1417.1055117573749</v>
      </c>
      <c r="T48" s="22">
        <f t="shared" si="21"/>
        <v>261.15821710639091</v>
      </c>
    </row>
    <row r="49" spans="1:20" x14ac:dyDescent="0.2">
      <c r="A49" s="5">
        <v>58</v>
      </c>
      <c r="B49" s="1">
        <f t="shared" si="13"/>
        <v>2.8915200750886707</v>
      </c>
      <c r="C49" s="5">
        <f t="shared" si="14"/>
        <v>40200.831575212069</v>
      </c>
      <c r="D49" s="5">
        <f t="shared" si="15"/>
        <v>37617.744259814805</v>
      </c>
      <c r="E49" s="5">
        <f t="shared" si="6"/>
        <v>28117.744259814805</v>
      </c>
      <c r="F49" s="5">
        <f t="shared" si="7"/>
        <v>9482.1935008295331</v>
      </c>
      <c r="G49" s="5">
        <f t="shared" si="8"/>
        <v>28135.550758985271</v>
      </c>
      <c r="H49" s="22">
        <f t="shared" si="16"/>
        <v>18491.622694980688</v>
      </c>
      <c r="I49" s="5">
        <f t="shared" si="17"/>
        <v>44685.553070992988</v>
      </c>
      <c r="J49" s="25">
        <f t="shared" si="18"/>
        <v>0.1493285997507027</v>
      </c>
      <c r="L49" s="22">
        <f t="shared" si="19"/>
        <v>52436.829638155898</v>
      </c>
      <c r="M49" s="5">
        <f>scrimecost*Meta!O46</f>
        <v>4686.8249999999998</v>
      </c>
      <c r="N49" s="5">
        <f>L49-Grade8!L49</f>
        <v>2728.5110729257358</v>
      </c>
      <c r="O49" s="5">
        <f>Grade8!M49-M49</f>
        <v>97.289999999999964</v>
      </c>
      <c r="P49" s="22">
        <f t="shared" si="22"/>
        <v>86.305910071391878</v>
      </c>
      <c r="S49" s="22">
        <f t="shared" si="20"/>
        <v>1450.0476134941746</v>
      </c>
      <c r="T49" s="22">
        <f t="shared" si="21"/>
        <v>256.92266042267227</v>
      </c>
    </row>
    <row r="50" spans="1:20" x14ac:dyDescent="0.2">
      <c r="A50" s="5">
        <v>59</v>
      </c>
      <c r="B50" s="1">
        <f t="shared" si="13"/>
        <v>2.9638080769658868</v>
      </c>
      <c r="C50" s="5">
        <f t="shared" si="14"/>
        <v>41205.852364592363</v>
      </c>
      <c r="D50" s="5">
        <f t="shared" si="15"/>
        <v>38517.237866310163</v>
      </c>
      <c r="E50" s="5">
        <f t="shared" si="6"/>
        <v>29017.237866310163</v>
      </c>
      <c r="F50" s="5">
        <f t="shared" si="7"/>
        <v>9775.8781633502676</v>
      </c>
      <c r="G50" s="5">
        <f t="shared" si="8"/>
        <v>28741.359702959897</v>
      </c>
      <c r="H50" s="22">
        <f t="shared" si="16"/>
        <v>18953.9132623552</v>
      </c>
      <c r="I50" s="5">
        <f t="shared" si="17"/>
        <v>45705.112072767799</v>
      </c>
      <c r="J50" s="25">
        <f t="shared" si="18"/>
        <v>0.15114090297851529</v>
      </c>
      <c r="L50" s="22">
        <f t="shared" si="19"/>
        <v>53747.750379109784</v>
      </c>
      <c r="M50" s="5">
        <f>scrimecost*Meta!O47</f>
        <v>4686.8249999999998</v>
      </c>
      <c r="N50" s="5">
        <f>L50-Grade8!L50</f>
        <v>2796.7238497488725</v>
      </c>
      <c r="O50" s="5">
        <f>Grade8!M50-M50</f>
        <v>97.289999999999964</v>
      </c>
      <c r="P50" s="22">
        <f t="shared" si="22"/>
        <v>88.064901152175025</v>
      </c>
      <c r="S50" s="22">
        <f t="shared" si="20"/>
        <v>1483.8132677743861</v>
      </c>
      <c r="T50" s="22">
        <f t="shared" si="21"/>
        <v>252.76564005875019</v>
      </c>
    </row>
    <row r="51" spans="1:20" x14ac:dyDescent="0.2">
      <c r="A51" s="5">
        <v>60</v>
      </c>
      <c r="B51" s="1">
        <f t="shared" si="13"/>
        <v>3.0379032788900342</v>
      </c>
      <c r="C51" s="5">
        <f t="shared" si="14"/>
        <v>42235.998673707174</v>
      </c>
      <c r="D51" s="5">
        <f t="shared" si="15"/>
        <v>39439.21881296792</v>
      </c>
      <c r="E51" s="5">
        <f t="shared" si="6"/>
        <v>29939.21881296792</v>
      </c>
      <c r="F51" s="5">
        <f t="shared" si="7"/>
        <v>10076.904942434026</v>
      </c>
      <c r="G51" s="5">
        <f t="shared" si="8"/>
        <v>29362.313870533893</v>
      </c>
      <c r="H51" s="22">
        <f t="shared" si="16"/>
        <v>19427.761093914083</v>
      </c>
      <c r="I51" s="5">
        <f t="shared" si="17"/>
        <v>46750.160049586993</v>
      </c>
      <c r="J51" s="25">
        <f t="shared" si="18"/>
        <v>0.15290900368857641</v>
      </c>
      <c r="L51" s="22">
        <f t="shared" si="19"/>
        <v>55091.444138587533</v>
      </c>
      <c r="M51" s="5">
        <f>scrimecost*Meta!O48</f>
        <v>2472.4699999999998</v>
      </c>
      <c r="N51" s="5">
        <f>L51-Grade8!L51</f>
        <v>2866.641945992611</v>
      </c>
      <c r="O51" s="5">
        <f>Grade8!M51-M51</f>
        <v>51.324000000000069</v>
      </c>
      <c r="P51" s="22">
        <f t="shared" si="22"/>
        <v>89.867867009977772</v>
      </c>
      <c r="S51" s="22">
        <f t="shared" si="20"/>
        <v>1478.0649154116143</v>
      </c>
      <c r="T51" s="22">
        <f t="shared" si="21"/>
        <v>242.07555451852355</v>
      </c>
    </row>
    <row r="52" spans="1:20" x14ac:dyDescent="0.2">
      <c r="A52" s="5">
        <v>61</v>
      </c>
      <c r="B52" s="1">
        <f t="shared" si="13"/>
        <v>3.1138508608622844</v>
      </c>
      <c r="C52" s="5">
        <f t="shared" si="14"/>
        <v>43291.898640549836</v>
      </c>
      <c r="D52" s="5">
        <f t="shared" si="15"/>
        <v>40384.249283292105</v>
      </c>
      <c r="E52" s="5">
        <f t="shared" si="6"/>
        <v>30884.249283292105</v>
      </c>
      <c r="F52" s="5">
        <f t="shared" si="7"/>
        <v>10385.457390994872</v>
      </c>
      <c r="G52" s="5">
        <f t="shared" si="8"/>
        <v>29998.791892297231</v>
      </c>
      <c r="H52" s="22">
        <f t="shared" si="16"/>
        <v>19913.45512126193</v>
      </c>
      <c r="I52" s="5">
        <f t="shared" si="17"/>
        <v>47821.334225826664</v>
      </c>
      <c r="J52" s="25">
        <f t="shared" si="18"/>
        <v>0.15463397999107498</v>
      </c>
      <c r="L52" s="22">
        <f t="shared" si="19"/>
        <v>56468.73024205221</v>
      </c>
      <c r="M52" s="5">
        <f>scrimecost*Meta!O49</f>
        <v>2472.4699999999998</v>
      </c>
      <c r="N52" s="5">
        <f>L52-Grade8!L52</f>
        <v>2938.3079946423968</v>
      </c>
      <c r="O52" s="5">
        <f>Grade8!M52-M52</f>
        <v>51.324000000000069</v>
      </c>
      <c r="P52" s="22">
        <f t="shared" si="22"/>
        <v>91.71590701422555</v>
      </c>
      <c r="S52" s="22">
        <f t="shared" si="20"/>
        <v>1513.5399559397515</v>
      </c>
      <c r="T52" s="22">
        <f t="shared" si="21"/>
        <v>238.3251950449056</v>
      </c>
    </row>
    <row r="53" spans="1:20" x14ac:dyDescent="0.2">
      <c r="A53" s="5">
        <v>62</v>
      </c>
      <c r="B53" s="1">
        <f t="shared" si="13"/>
        <v>3.1916971323838421</v>
      </c>
      <c r="C53" s="5">
        <f t="shared" si="14"/>
        <v>44374.196106563599</v>
      </c>
      <c r="D53" s="5">
        <f t="shared" si="15"/>
        <v>41352.905515374419</v>
      </c>
      <c r="E53" s="5">
        <f t="shared" si="6"/>
        <v>31852.905515374419</v>
      </c>
      <c r="F53" s="5">
        <f t="shared" si="7"/>
        <v>10701.723650769749</v>
      </c>
      <c r="G53" s="5">
        <f t="shared" si="8"/>
        <v>30651.18186460467</v>
      </c>
      <c r="H53" s="22">
        <f t="shared" si="16"/>
        <v>20411.291499293486</v>
      </c>
      <c r="I53" s="5">
        <f t="shared" si="17"/>
        <v>48919.287756472346</v>
      </c>
      <c r="J53" s="25">
        <f t="shared" si="18"/>
        <v>0.1563168837008298</v>
      </c>
      <c r="L53" s="22">
        <f t="shared" si="19"/>
        <v>57880.448498103528</v>
      </c>
      <c r="M53" s="5">
        <f>scrimecost*Meta!O50</f>
        <v>2472.4699999999998</v>
      </c>
      <c r="N53" s="5">
        <f>L53-Grade8!L53</f>
        <v>3011.7656945084818</v>
      </c>
      <c r="O53" s="5">
        <f>Grade8!M53-M53</f>
        <v>51.324000000000069</v>
      </c>
      <c r="P53" s="22">
        <f t="shared" si="22"/>
        <v>93.610148018579594</v>
      </c>
      <c r="S53" s="22">
        <f t="shared" si="20"/>
        <v>1549.9018724811176</v>
      </c>
      <c r="T53" s="22">
        <f t="shared" si="21"/>
        <v>234.63830322538232</v>
      </c>
    </row>
    <row r="54" spans="1:20" x14ac:dyDescent="0.2">
      <c r="A54" s="5">
        <v>63</v>
      </c>
      <c r="B54" s="1">
        <f t="shared" si="13"/>
        <v>3.2714895606934378</v>
      </c>
      <c r="C54" s="5">
        <f t="shared" si="14"/>
        <v>45483.551009227675</v>
      </c>
      <c r="D54" s="5">
        <f t="shared" si="15"/>
        <v>42345.778153258769</v>
      </c>
      <c r="E54" s="5">
        <f t="shared" si="6"/>
        <v>32845.778153258769</v>
      </c>
      <c r="F54" s="5">
        <f t="shared" si="7"/>
        <v>11025.896567038988</v>
      </c>
      <c r="G54" s="5">
        <f t="shared" si="8"/>
        <v>31319.881586219781</v>
      </c>
      <c r="H54" s="22">
        <f t="shared" si="16"/>
        <v>20921.573786775818</v>
      </c>
      <c r="I54" s="5">
        <f t="shared" si="17"/>
        <v>50044.690125384135</v>
      </c>
      <c r="J54" s="25">
        <f t="shared" si="18"/>
        <v>0.15795874097863927</v>
      </c>
      <c r="L54" s="22">
        <f t="shared" si="19"/>
        <v>59327.459710556104</v>
      </c>
      <c r="M54" s="5">
        <f>scrimecost*Meta!O51</f>
        <v>2472.4699999999998</v>
      </c>
      <c r="N54" s="5">
        <f>L54-Grade8!L54</f>
        <v>3087.0598368711871</v>
      </c>
      <c r="O54" s="5">
        <f>Grade8!M54-M54</f>
        <v>51.324000000000069</v>
      </c>
      <c r="P54" s="22">
        <f t="shared" si="22"/>
        <v>95.55174504804242</v>
      </c>
      <c r="S54" s="22">
        <f t="shared" si="20"/>
        <v>1587.172836936003</v>
      </c>
      <c r="T54" s="22">
        <f t="shared" si="21"/>
        <v>231.01361089741221</v>
      </c>
    </row>
    <row r="55" spans="1:20" x14ac:dyDescent="0.2">
      <c r="A55" s="5">
        <v>64</v>
      </c>
      <c r="B55" s="1">
        <f t="shared" si="13"/>
        <v>3.3532767997107733</v>
      </c>
      <c r="C55" s="5">
        <f t="shared" si="14"/>
        <v>46620.639784458363</v>
      </c>
      <c r="D55" s="5">
        <f t="shared" si="15"/>
        <v>43363.472607090232</v>
      </c>
      <c r="E55" s="5">
        <f t="shared" si="6"/>
        <v>33863.472607090232</v>
      </c>
      <c r="F55" s="5">
        <f t="shared" si="7"/>
        <v>11358.17380621496</v>
      </c>
      <c r="G55" s="5">
        <f t="shared" si="8"/>
        <v>32005.298800875273</v>
      </c>
      <c r="H55" s="22">
        <f t="shared" si="16"/>
        <v>21444.61313144521</v>
      </c>
      <c r="I55" s="5">
        <f t="shared" si="17"/>
        <v>51198.227553518736</v>
      </c>
      <c r="J55" s="25">
        <f t="shared" si="18"/>
        <v>0.15956055295698998</v>
      </c>
      <c r="L55" s="22">
        <f t="shared" si="19"/>
        <v>60810.64620332</v>
      </c>
      <c r="M55" s="5">
        <f>scrimecost*Meta!O52</f>
        <v>2472.4699999999998</v>
      </c>
      <c r="N55" s="5">
        <f>L55-Grade8!L55</f>
        <v>3164.2363327929561</v>
      </c>
      <c r="O55" s="5">
        <f>Grade8!M55-M55</f>
        <v>51.324000000000069</v>
      </c>
      <c r="P55" s="22">
        <f t="shared" si="22"/>
        <v>97.541882003241824</v>
      </c>
      <c r="S55" s="22">
        <f t="shared" si="20"/>
        <v>1625.3755755022585</v>
      </c>
      <c r="T55" s="22">
        <f t="shared" si="21"/>
        <v>227.44988166605717</v>
      </c>
    </row>
    <row r="56" spans="1:20" x14ac:dyDescent="0.2">
      <c r="A56" s="5">
        <v>65</v>
      </c>
      <c r="B56" s="1">
        <f t="shared" si="13"/>
        <v>3.4371087197035428</v>
      </c>
      <c r="C56" s="5">
        <f t="shared" si="14"/>
        <v>47786.155779069828</v>
      </c>
      <c r="D56" s="5">
        <f t="shared" si="15"/>
        <v>44406.609422267495</v>
      </c>
      <c r="E56" s="5">
        <f t="shared" si="6"/>
        <v>34906.609422267495</v>
      </c>
      <c r="F56" s="5">
        <f t="shared" si="7"/>
        <v>11739.418918597086</v>
      </c>
      <c r="G56" s="5">
        <f t="shared" si="8"/>
        <v>32667.190503670408</v>
      </c>
      <c r="H56" s="22">
        <f t="shared" si="16"/>
        <v>21980.728459731341</v>
      </c>
      <c r="I56" s="5">
        <f t="shared" si="17"/>
        <v>52339.942475129959</v>
      </c>
      <c r="J56" s="25">
        <f t="shared" si="18"/>
        <v>0.16177448238039041</v>
      </c>
      <c r="L56" s="22">
        <f t="shared" si="19"/>
        <v>62330.912358403002</v>
      </c>
      <c r="M56" s="5">
        <f>scrimecost*Meta!O53</f>
        <v>747.17499999999995</v>
      </c>
      <c r="N56" s="5">
        <f>L56-Grade8!L56</f>
        <v>3243.3422411127831</v>
      </c>
      <c r="O56" s="5">
        <f>Grade8!M56-M56</f>
        <v>15.510000000000105</v>
      </c>
      <c r="P56" s="22">
        <f t="shared" si="22"/>
        <v>99.825306498468848</v>
      </c>
      <c r="S56" s="22">
        <f t="shared" si="20"/>
        <v>1633.3025134866546</v>
      </c>
      <c r="T56" s="22">
        <f t="shared" si="21"/>
        <v>219.74411652455296</v>
      </c>
    </row>
    <row r="57" spans="1:20" x14ac:dyDescent="0.2">
      <c r="A57" s="5">
        <v>66</v>
      </c>
      <c r="C57" s="5"/>
      <c r="H57" s="21"/>
      <c r="I57" s="5"/>
      <c r="M57" s="5">
        <f>scrimecost*Meta!O54</f>
        <v>747.17499999999995</v>
      </c>
      <c r="N57" s="5">
        <f>L57-Grade8!L57</f>
        <v>0</v>
      </c>
      <c r="O57" s="5">
        <f>Grade8!M57-M57</f>
        <v>15.510000000000105</v>
      </c>
      <c r="S57" s="22">
        <f t="shared" si="20"/>
        <v>13.617780000000092</v>
      </c>
      <c r="T57" s="22">
        <f t="shared" si="21"/>
        <v>1.7614713304855241</v>
      </c>
    </row>
    <row r="58" spans="1:20" x14ac:dyDescent="0.2">
      <c r="A58" s="5">
        <v>67</v>
      </c>
      <c r="C58" s="5"/>
      <c r="H58" s="21"/>
      <c r="I58" s="5"/>
      <c r="M58" s="5">
        <f>scrimecost*Meta!O55</f>
        <v>747.17499999999995</v>
      </c>
      <c r="N58" s="5">
        <f>L58-Grade8!L58</f>
        <v>0</v>
      </c>
      <c r="O58" s="5">
        <f>Grade8!M58-M58</f>
        <v>15.510000000000105</v>
      </c>
      <c r="S58" s="22">
        <f t="shared" si="20"/>
        <v>13.617780000000092</v>
      </c>
      <c r="T58" s="22">
        <f t="shared" si="21"/>
        <v>1.6935351645573822</v>
      </c>
    </row>
    <row r="59" spans="1:20" x14ac:dyDescent="0.2">
      <c r="A59" s="5">
        <v>68</v>
      </c>
      <c r="H59" s="21"/>
      <c r="I59" s="5"/>
      <c r="M59" s="5">
        <f>scrimecost*Meta!O56</f>
        <v>747.17499999999995</v>
      </c>
      <c r="N59" s="5">
        <f>L59-Grade8!L59</f>
        <v>0</v>
      </c>
      <c r="O59" s="5">
        <f>Grade8!M59-M59</f>
        <v>15.510000000000105</v>
      </c>
      <c r="S59" s="22">
        <f t="shared" si="20"/>
        <v>13.617780000000092</v>
      </c>
      <c r="T59" s="22">
        <f t="shared" si="21"/>
        <v>1.6282191506357706</v>
      </c>
    </row>
    <row r="60" spans="1:20" x14ac:dyDescent="0.2">
      <c r="A60" s="5">
        <v>69</v>
      </c>
      <c r="H60" s="21"/>
      <c r="I60" s="5"/>
      <c r="M60" s="5">
        <f>scrimecost*Meta!O57</f>
        <v>747.17499999999995</v>
      </c>
      <c r="N60" s="5">
        <f>L60-Grade8!L60</f>
        <v>0</v>
      </c>
      <c r="O60" s="5">
        <f>Grade8!M60-M60</f>
        <v>15.510000000000105</v>
      </c>
      <c r="S60" s="22">
        <f t="shared" si="20"/>
        <v>13.617780000000092</v>
      </c>
      <c r="T60" s="22">
        <f t="shared" si="21"/>
        <v>1.5654222350853599</v>
      </c>
    </row>
    <row r="61" spans="1:20" x14ac:dyDescent="0.2">
      <c r="A61" s="5">
        <v>70</v>
      </c>
      <c r="H61" s="21"/>
      <c r="I61" s="5"/>
      <c r="M61" s="5">
        <f>scrimecost*Meta!O58</f>
        <v>747.17499999999995</v>
      </c>
      <c r="N61" s="5">
        <f>L61-Grade8!L61</f>
        <v>0</v>
      </c>
      <c r="O61" s="5">
        <f>Grade8!M61-M61</f>
        <v>15.510000000000105</v>
      </c>
      <c r="S61" s="22">
        <f t="shared" si="20"/>
        <v>13.617780000000092</v>
      </c>
      <c r="T61" s="22">
        <f t="shared" si="21"/>
        <v>1.505047261692493</v>
      </c>
    </row>
    <row r="62" spans="1:20" x14ac:dyDescent="0.2">
      <c r="A62" s="5">
        <v>71</v>
      </c>
      <c r="H62" s="21"/>
      <c r="I62" s="5"/>
      <c r="M62" s="5">
        <f>scrimecost*Meta!O59</f>
        <v>747.17499999999995</v>
      </c>
      <c r="N62" s="5">
        <f>L62-Grade8!L62</f>
        <v>0</v>
      </c>
      <c r="O62" s="5">
        <f>Grade8!M62-M62</f>
        <v>15.510000000000105</v>
      </c>
      <c r="S62" s="22">
        <f t="shared" si="20"/>
        <v>13.617780000000092</v>
      </c>
      <c r="T62" s="22">
        <f t="shared" si="21"/>
        <v>1.4470008213500023</v>
      </c>
    </row>
    <row r="63" spans="1:20" x14ac:dyDescent="0.2">
      <c r="A63" s="5">
        <v>72</v>
      </c>
      <c r="H63" s="21"/>
      <c r="M63" s="5">
        <f>scrimecost*Meta!O60</f>
        <v>747.17499999999995</v>
      </c>
      <c r="N63" s="5">
        <f>L63-Grade8!L63</f>
        <v>0</v>
      </c>
      <c r="O63" s="5">
        <f>Grade8!M63-M63</f>
        <v>15.510000000000105</v>
      </c>
      <c r="S63" s="22">
        <f t="shared" si="20"/>
        <v>13.617780000000092</v>
      </c>
      <c r="T63" s="22">
        <f t="shared" si="21"/>
        <v>1.3911931075393582</v>
      </c>
    </row>
    <row r="64" spans="1:20" x14ac:dyDescent="0.2">
      <c r="A64" s="5">
        <v>73</v>
      </c>
      <c r="H64" s="21"/>
      <c r="M64" s="5">
        <f>scrimecost*Meta!O61</f>
        <v>747.17499999999995</v>
      </c>
      <c r="N64" s="5">
        <f>L64-Grade8!L64</f>
        <v>0</v>
      </c>
      <c r="O64" s="5">
        <f>Grade8!M64-M64</f>
        <v>15.510000000000105</v>
      </c>
      <c r="S64" s="22">
        <f t="shared" si="20"/>
        <v>13.617780000000092</v>
      </c>
      <c r="T64" s="22">
        <f t="shared" si="21"/>
        <v>1.3375377773865651</v>
      </c>
    </row>
    <row r="65" spans="1:20" x14ac:dyDescent="0.2">
      <c r="A65" s="5">
        <v>74</v>
      </c>
      <c r="H65" s="21"/>
      <c r="M65" s="5">
        <f>scrimecost*Meta!O62</f>
        <v>747.17499999999995</v>
      </c>
      <c r="N65" s="5">
        <f>L65-Grade8!L65</f>
        <v>0</v>
      </c>
      <c r="O65" s="5">
        <f>Grade8!M65-M65</f>
        <v>15.510000000000105</v>
      </c>
      <c r="S65" s="22">
        <f t="shared" si="20"/>
        <v>13.617780000000092</v>
      </c>
      <c r="T65" s="22">
        <f t="shared" si="21"/>
        <v>1.2859518180768301</v>
      </c>
    </row>
    <row r="66" spans="1:20" x14ac:dyDescent="0.2">
      <c r="A66" s="5">
        <v>75</v>
      </c>
      <c r="H66" s="21"/>
      <c r="M66" s="5">
        <f>scrimecost*Meta!O63</f>
        <v>747.17499999999995</v>
      </c>
      <c r="N66" s="5">
        <f>L66-Grade8!L66</f>
        <v>0</v>
      </c>
      <c r="O66" s="5">
        <f>Grade8!M66-M66</f>
        <v>15.510000000000105</v>
      </c>
      <c r="S66" s="22">
        <f t="shared" si="20"/>
        <v>13.617780000000092</v>
      </c>
      <c r="T66" s="22">
        <f t="shared" si="21"/>
        <v>1.2363554184213317</v>
      </c>
    </row>
    <row r="67" spans="1:20" x14ac:dyDescent="0.2">
      <c r="A67" s="5">
        <v>76</v>
      </c>
      <c r="H67" s="21"/>
      <c r="M67" s="5">
        <f>scrimecost*Meta!O64</f>
        <v>747.17499999999995</v>
      </c>
      <c r="N67" s="5">
        <f>L67-Grade8!L67</f>
        <v>0</v>
      </c>
      <c r="O67" s="5">
        <f>Grade8!M67-M67</f>
        <v>15.510000000000105</v>
      </c>
      <c r="S67" s="22">
        <f t="shared" si="20"/>
        <v>13.617780000000092</v>
      </c>
      <c r="T67" s="22">
        <f t="shared" si="21"/>
        <v>1.1886718453773826</v>
      </c>
    </row>
    <row r="68" spans="1:20" x14ac:dyDescent="0.2">
      <c r="A68" s="5">
        <v>77</v>
      </c>
      <c r="H68" s="21"/>
      <c r="M68" s="5">
        <f>scrimecost*Meta!O65</f>
        <v>747.17499999999995</v>
      </c>
      <c r="N68" s="5">
        <f>L68-Grade8!L68</f>
        <v>0</v>
      </c>
      <c r="O68" s="5">
        <f>Grade8!M68-M68</f>
        <v>15.510000000000105</v>
      </c>
      <c r="S68" s="22">
        <f t="shared" si="20"/>
        <v>13.617780000000092</v>
      </c>
      <c r="T68" s="22">
        <f t="shared" si="21"/>
        <v>1.1428273253309456</v>
      </c>
    </row>
    <row r="69" spans="1:20" x14ac:dyDescent="0.2">
      <c r="A69" s="5">
        <v>78</v>
      </c>
      <c r="H69" s="21"/>
      <c r="M69" s="5">
        <f>scrimecost*Meta!O66</f>
        <v>747.17499999999995</v>
      </c>
      <c r="N69" s="5">
        <f>L69-Grade8!L69</f>
        <v>0</v>
      </c>
      <c r="O69" s="5">
        <f>Grade8!M69-M69</f>
        <v>15.510000000000105</v>
      </c>
      <c r="S69" s="22">
        <f>IF(A69&lt;startage,1,0)*(N69-Q69-R69)+IF(A69&gt;=startage,1,0)*completionprob*(N69*spart+O69+P69)</f>
        <v>13.617780000000092</v>
      </c>
      <c r="T69" s="22">
        <f>S69/sreturn^(A69-startage+1)</f>
        <v>1.0987509299578249</v>
      </c>
    </row>
    <row r="70" spans="1:20" x14ac:dyDescent="0.2">
      <c r="A70" s="5">
        <v>79</v>
      </c>
      <c r="H70" s="21"/>
      <c r="M70" s="5"/>
      <c r="S70" s="22">
        <f>SUM(T5:T69)</f>
        <v>2.1067096955817988E-9</v>
      </c>
    </row>
    <row r="71" spans="1:20" x14ac:dyDescent="0.2">
      <c r="A71" s="5">
        <v>80</v>
      </c>
      <c r="H71" s="21"/>
      <c r="M71" s="5"/>
    </row>
    <row r="72" spans="1:20" x14ac:dyDescent="0.2">
      <c r="A72" s="5">
        <v>81</v>
      </c>
      <c r="H72" s="21"/>
      <c r="M72" s="5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6" sqref="S6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Meta!A4+6</f>
        <v>16</v>
      </c>
      <c r="C2" s="7">
        <f>Meta!B4</f>
        <v>29093</v>
      </c>
      <c r="D2" s="7">
        <f>Meta!C4</f>
        <v>13383</v>
      </c>
      <c r="E2" s="1">
        <f>Meta!D4</f>
        <v>0.1</v>
      </c>
      <c r="F2" s="1">
        <f>Meta!F4</f>
        <v>0.54500000000000004</v>
      </c>
      <c r="G2" s="1">
        <f>Meta!I4</f>
        <v>1.9496869757628374</v>
      </c>
      <c r="H2" s="1">
        <f>Meta!E4</f>
        <v>0.878</v>
      </c>
      <c r="I2" s="13"/>
      <c r="J2" s="1">
        <f>Meta!X3</f>
        <v>0.53800000000000003</v>
      </c>
      <c r="K2" s="1">
        <f>Meta!D3</f>
        <v>0.105</v>
      </c>
      <c r="L2" s="28"/>
      <c r="N2" s="22">
        <f>Meta!T4</f>
        <v>29093</v>
      </c>
      <c r="O2" s="22">
        <f>Meta!U4</f>
        <v>13383</v>
      </c>
      <c r="P2" s="1">
        <f>Meta!V4</f>
        <v>0.1</v>
      </c>
      <c r="Q2" s="1">
        <f>Meta!X4</f>
        <v>0.54500000000000004</v>
      </c>
      <c r="R2" s="22">
        <f>Meta!W4</f>
        <v>13308</v>
      </c>
      <c r="T2" s="12">
        <f>IRR(S5:S69)+1</f>
        <v>1.0401191375359189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B6" s="1">
        <v>1</v>
      </c>
      <c r="C6" s="5">
        <f>0.1*Grade9!C6</f>
        <v>1390.300967354663</v>
      </c>
      <c r="D6" s="5">
        <f t="shared" ref="D6:D36" si="0">IF(A6&lt;startage,1,0)*(C6*(1-initialunempprob))+IF(A6=startage,1,0)*(C6*(1-unempprob))+IF(A6&gt;startage,1,0)*(C6*(1-unempprob)+unempprob*300*52)</f>
        <v>1244.3193657824233</v>
      </c>
      <c r="E6" s="5">
        <f t="shared" ref="E6:E56" si="1">IF(D6-9500&gt;0,1,0)*(D6-9500)</f>
        <v>0</v>
      </c>
      <c r="F6" s="5">
        <f t="shared" ref="F6:F56" si="2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95.190431482355379</v>
      </c>
      <c r="G6" s="5">
        <f t="shared" ref="G6:G56" si="3">D6-F6</f>
        <v>1149.1289343000681</v>
      </c>
      <c r="H6" s="22">
        <f>0.1*Grade9!H6</f>
        <v>639.51216712246514</v>
      </c>
      <c r="I6" s="5">
        <f t="shared" ref="I6:I36" si="4">G6+IF(A6&lt;startage,1,0)*(H6*(1-initialunempprob))+IF(A6&gt;=startage,1,0)*(H6*(1-unempprob))</f>
        <v>1721.4923238746744</v>
      </c>
      <c r="J6" s="25">
        <f t="shared" ref="J6:J37" si="5">(F6-(IF(A6&gt;startage,1,0)*(unempprob*300*52)))/(IF(A6&lt;startage,1,0)*((C6+H6)*(1-initialunempprob))+IF(A6&gt;=startage,1,0)*((C6+H6)*(1-unempprob)))</f>
        <v>5.2397938606318611E-2</v>
      </c>
      <c r="L6" s="22">
        <f>0.1*Grade9!L6</f>
        <v>1813.4693267363145</v>
      </c>
      <c r="M6" s="5">
        <f>scrimecost*Meta!O3</f>
        <v>24699.648000000001</v>
      </c>
      <c r="N6" s="5">
        <f>L6-Grade9!L6</f>
        <v>-16321.223940626831</v>
      </c>
      <c r="O6" s="5"/>
      <c r="P6" s="22"/>
      <c r="Q6" s="22">
        <f>0.05*feel*Grade9!G6</f>
        <v>152.63710856010169</v>
      </c>
      <c r="R6" s="22">
        <f>hstuition</f>
        <v>11298</v>
      </c>
      <c r="S6" s="22">
        <f t="shared" ref="S6:S37" si="6">IF(A6&lt;startage,1,0)*(N6-Q6-R6)+IF(A6&gt;=startage,1,0)*completionprob*(N6*spart+O6+P6)</f>
        <v>-27771.861049186933</v>
      </c>
      <c r="T6" s="22">
        <f t="shared" ref="T6:T37" si="7">S6/sreturn^(A6-startage+1)</f>
        <v>-27771.861049186933</v>
      </c>
    </row>
    <row r="7" spans="1:20" x14ac:dyDescent="0.2">
      <c r="A7" s="5">
        <v>16</v>
      </c>
      <c r="B7" s="1">
        <f t="shared" ref="B7:B36" si="8">(1+experiencepremium)^(A7-startage)</f>
        <v>1</v>
      </c>
      <c r="C7" s="5">
        <f t="shared" ref="C7:C36" si="9">pretaxincome*B7/expnorm</f>
        <v>14921.882518406335</v>
      </c>
      <c r="D7" s="5">
        <f t="shared" si="0"/>
        <v>13429.694266565702</v>
      </c>
      <c r="E7" s="5">
        <f t="shared" si="1"/>
        <v>3929.6942665657025</v>
      </c>
      <c r="F7" s="5">
        <f t="shared" si="2"/>
        <v>1813.3104647054167</v>
      </c>
      <c r="G7" s="5">
        <f t="shared" si="3"/>
        <v>11616.383801860286</v>
      </c>
      <c r="H7" s="22">
        <f t="shared" ref="H7:H36" si="10">benefits*B7/expnorm</f>
        <v>6864.1787970931837</v>
      </c>
      <c r="I7" s="5">
        <f t="shared" si="4"/>
        <v>17794.144719244152</v>
      </c>
      <c r="J7" s="25">
        <f t="shared" si="5"/>
        <v>9.2480663487109288E-2</v>
      </c>
      <c r="L7" s="22">
        <f t="shared" ref="L7:L36" si="11">(sincome+sbenefits)*(1-sunemp)*B7/expnorm</f>
        <v>19607.455183949569</v>
      </c>
      <c r="M7" s="5">
        <f>scrimecost*Meta!O4</f>
        <v>31247.183999999997</v>
      </c>
      <c r="N7" s="5">
        <f>L7-Grade9!L7</f>
        <v>1019.3945849023439</v>
      </c>
      <c r="O7" s="5">
        <f>Grade9!M7-M7</f>
        <v>650.39600000000064</v>
      </c>
      <c r="P7" s="22">
        <f t="shared" ref="P7:P38" si="12">(spart-initialspart)*(L7*J7+nptrans)</f>
        <v>58.571173252937967</v>
      </c>
      <c r="Q7" s="22"/>
      <c r="R7" s="22"/>
      <c r="S7" s="22">
        <f t="shared" si="6"/>
        <v>1110.2636809377007</v>
      </c>
      <c r="T7" s="22">
        <f t="shared" si="7"/>
        <v>1067.4389508570689</v>
      </c>
    </row>
    <row r="8" spans="1:20" x14ac:dyDescent="0.2">
      <c r="A8" s="5">
        <v>17</v>
      </c>
      <c r="B8" s="1">
        <f t="shared" si="8"/>
        <v>1.0249999999999999</v>
      </c>
      <c r="C8" s="5">
        <f t="shared" si="9"/>
        <v>15294.929581366492</v>
      </c>
      <c r="D8" s="5">
        <f t="shared" si="0"/>
        <v>15325.436623229843</v>
      </c>
      <c r="E8" s="5">
        <f t="shared" si="1"/>
        <v>5825.4366232298435</v>
      </c>
      <c r="F8" s="5">
        <f t="shared" si="2"/>
        <v>2337.4832263230519</v>
      </c>
      <c r="G8" s="5">
        <f t="shared" si="3"/>
        <v>12987.953396906792</v>
      </c>
      <c r="H8" s="22">
        <f t="shared" si="10"/>
        <v>7035.7832670205125</v>
      </c>
      <c r="I8" s="5">
        <f t="shared" si="4"/>
        <v>19320.158337225253</v>
      </c>
      <c r="J8" s="25">
        <f t="shared" si="5"/>
        <v>3.8685296673476186E-2</v>
      </c>
      <c r="L8" s="22">
        <f t="shared" si="11"/>
        <v>20097.641563548306</v>
      </c>
      <c r="M8" s="5">
        <f>scrimecost*Meta!O5</f>
        <v>36091.296000000002</v>
      </c>
      <c r="N8" s="5">
        <f>L8-Grade9!L8</f>
        <v>1044.8794495249022</v>
      </c>
      <c r="O8" s="5">
        <f>Grade9!M8-M8</f>
        <v>751.22400000000198</v>
      </c>
      <c r="P8" s="22">
        <f t="shared" si="12"/>
        <v>51.320382584261409</v>
      </c>
      <c r="Q8" s="22"/>
      <c r="R8" s="22"/>
      <c r="S8" s="22">
        <f t="shared" si="6"/>
        <v>1204.619233301144</v>
      </c>
      <c r="T8" s="22">
        <f t="shared" si="7"/>
        <v>1113.4830710313897</v>
      </c>
    </row>
    <row r="9" spans="1:20" x14ac:dyDescent="0.2">
      <c r="A9" s="5">
        <v>18</v>
      </c>
      <c r="B9" s="1">
        <f t="shared" si="8"/>
        <v>1.0506249999999999</v>
      </c>
      <c r="C9" s="5">
        <f t="shared" si="9"/>
        <v>15677.302820900655</v>
      </c>
      <c r="D9" s="5">
        <f t="shared" si="0"/>
        <v>15669.572538810589</v>
      </c>
      <c r="E9" s="5">
        <f t="shared" si="1"/>
        <v>6169.5725388105893</v>
      </c>
      <c r="F9" s="5">
        <f t="shared" si="2"/>
        <v>2432.6368069811278</v>
      </c>
      <c r="G9" s="5">
        <f t="shared" si="3"/>
        <v>13236.935731829461</v>
      </c>
      <c r="H9" s="22">
        <f t="shared" si="10"/>
        <v>7211.6778486960247</v>
      </c>
      <c r="I9" s="5">
        <f t="shared" si="4"/>
        <v>19727.445795655884</v>
      </c>
      <c r="J9" s="25">
        <f t="shared" si="5"/>
        <v>4.2360840187573898E-2</v>
      </c>
      <c r="L9" s="22">
        <f t="shared" si="11"/>
        <v>20600.082602637012</v>
      </c>
      <c r="M9" s="5">
        <f>scrimecost*Meta!O6</f>
        <v>43863.167999999998</v>
      </c>
      <c r="N9" s="5">
        <f>L9-Grade9!L9</f>
        <v>1071.0014357630243</v>
      </c>
      <c r="O9" s="5">
        <f>Grade9!M9-M9</f>
        <v>912.99199999999837</v>
      </c>
      <c r="P9" s="22">
        <f t="shared" si="12"/>
        <v>51.98645764886794</v>
      </c>
      <c r="Q9" s="22"/>
      <c r="R9" s="22"/>
      <c r="S9" s="22">
        <f t="shared" si="6"/>
        <v>1359.7359828426695</v>
      </c>
      <c r="T9" s="22">
        <f t="shared" si="7"/>
        <v>1208.3850091214263</v>
      </c>
    </row>
    <row r="10" spans="1:20" x14ac:dyDescent="0.2">
      <c r="A10" s="5">
        <v>19</v>
      </c>
      <c r="B10" s="1">
        <f t="shared" si="8"/>
        <v>1.0768906249999999</v>
      </c>
      <c r="C10" s="5">
        <f t="shared" si="9"/>
        <v>16069.23539142317</v>
      </c>
      <c r="D10" s="5">
        <f t="shared" si="0"/>
        <v>16022.311852280853</v>
      </c>
      <c r="E10" s="5">
        <f t="shared" si="1"/>
        <v>6522.3118522808527</v>
      </c>
      <c r="F10" s="5">
        <f t="shared" si="2"/>
        <v>2530.1692271556558</v>
      </c>
      <c r="G10" s="5">
        <f t="shared" si="3"/>
        <v>13492.142625125198</v>
      </c>
      <c r="H10" s="22">
        <f t="shared" si="10"/>
        <v>7391.9697949134252</v>
      </c>
      <c r="I10" s="5">
        <f t="shared" si="4"/>
        <v>20144.91544054728</v>
      </c>
      <c r="J10" s="25">
        <f t="shared" si="5"/>
        <v>4.5946736298888749E-2</v>
      </c>
      <c r="L10" s="22">
        <f t="shared" si="11"/>
        <v>21115.084667702937</v>
      </c>
      <c r="M10" s="5">
        <f>scrimecost*Meta!O7</f>
        <v>46884.084000000003</v>
      </c>
      <c r="N10" s="5">
        <f>L10-Grade9!L10</f>
        <v>1097.7764716571</v>
      </c>
      <c r="O10" s="5">
        <f>Grade9!M10-M10</f>
        <v>975.87099999999919</v>
      </c>
      <c r="P10" s="22">
        <f t="shared" si="12"/>
        <v>52.669184590089635</v>
      </c>
      <c r="Q10" s="22"/>
      <c r="R10" s="22"/>
      <c r="S10" s="22">
        <f t="shared" si="6"/>
        <v>1428.3553015227369</v>
      </c>
      <c r="T10" s="22">
        <f t="shared" si="7"/>
        <v>1220.4047864641518</v>
      </c>
    </row>
    <row r="11" spans="1:20" x14ac:dyDescent="0.2">
      <c r="A11" s="5">
        <v>20</v>
      </c>
      <c r="B11" s="1">
        <f t="shared" si="8"/>
        <v>1.1038128906249998</v>
      </c>
      <c r="C11" s="5">
        <f t="shared" si="9"/>
        <v>16470.96627620875</v>
      </c>
      <c r="D11" s="5">
        <f t="shared" si="0"/>
        <v>16383.869648587875</v>
      </c>
      <c r="E11" s="5">
        <f t="shared" si="1"/>
        <v>6883.8696485878754</v>
      </c>
      <c r="F11" s="5">
        <f t="shared" si="2"/>
        <v>2630.1399578345477</v>
      </c>
      <c r="G11" s="5">
        <f t="shared" si="3"/>
        <v>13753.729690753327</v>
      </c>
      <c r="H11" s="22">
        <f t="shared" si="10"/>
        <v>7576.7690397862598</v>
      </c>
      <c r="I11" s="5">
        <f t="shared" si="4"/>
        <v>20572.821826560961</v>
      </c>
      <c r="J11" s="25">
        <f t="shared" si="5"/>
        <v>4.9445171529439856E-2</v>
      </c>
      <c r="L11" s="22">
        <f t="shared" si="11"/>
        <v>21642.961784395509</v>
      </c>
      <c r="M11" s="5">
        <f>scrimecost*Meta!O8</f>
        <v>44901.192000000003</v>
      </c>
      <c r="N11" s="5">
        <f>L11-Grade9!L11</f>
        <v>1125.2208834485282</v>
      </c>
      <c r="O11" s="5">
        <f>Grade9!M11-M11</f>
        <v>934.59799999999814</v>
      </c>
      <c r="P11" s="22">
        <f t="shared" si="12"/>
        <v>53.368979704841884</v>
      </c>
      <c r="Q11" s="22"/>
      <c r="R11" s="22"/>
      <c r="S11" s="22">
        <f t="shared" si="6"/>
        <v>1405.8644531198049</v>
      </c>
      <c r="T11" s="22">
        <f t="shared" si="7"/>
        <v>1154.856476097119</v>
      </c>
    </row>
    <row r="12" spans="1:20" x14ac:dyDescent="0.2">
      <c r="A12" s="5">
        <v>21</v>
      </c>
      <c r="B12" s="1">
        <f t="shared" si="8"/>
        <v>1.1314082128906247</v>
      </c>
      <c r="C12" s="5">
        <f t="shared" si="9"/>
        <v>16882.740433113966</v>
      </c>
      <c r="D12" s="5">
        <f t="shared" si="0"/>
        <v>16754.466389802568</v>
      </c>
      <c r="E12" s="5">
        <f t="shared" si="1"/>
        <v>7254.4663898025683</v>
      </c>
      <c r="F12" s="5">
        <f t="shared" si="2"/>
        <v>2732.6099567804104</v>
      </c>
      <c r="G12" s="5">
        <f t="shared" si="3"/>
        <v>14021.856433022158</v>
      </c>
      <c r="H12" s="22">
        <f t="shared" si="10"/>
        <v>7766.1882657809165</v>
      </c>
      <c r="I12" s="5">
        <f t="shared" si="4"/>
        <v>21011.425872224983</v>
      </c>
      <c r="J12" s="25">
        <f t="shared" si="5"/>
        <v>5.2858279071440882E-2</v>
      </c>
      <c r="L12" s="22">
        <f t="shared" si="11"/>
        <v>22184.035829005392</v>
      </c>
      <c r="M12" s="5">
        <f>scrimecost*Meta!O9</f>
        <v>40775.712</v>
      </c>
      <c r="N12" s="5">
        <f>L12-Grade9!L12</f>
        <v>1153.3514055347368</v>
      </c>
      <c r="O12" s="5">
        <f>Grade9!M12-M12</f>
        <v>848.72800000000279</v>
      </c>
      <c r="P12" s="22">
        <f t="shared" si="12"/>
        <v>54.086269697462917</v>
      </c>
      <c r="Q12" s="22"/>
      <c r="R12" s="22"/>
      <c r="S12" s="22">
        <f t="shared" si="6"/>
        <v>1344.5611098568017</v>
      </c>
      <c r="T12" s="22">
        <f t="shared" si="7"/>
        <v>1061.8960916934013</v>
      </c>
    </row>
    <row r="13" spans="1:20" x14ac:dyDescent="0.2">
      <c r="A13" s="5">
        <v>22</v>
      </c>
      <c r="B13" s="1">
        <f t="shared" si="8"/>
        <v>1.1596934182128902</v>
      </c>
      <c r="C13" s="5">
        <f t="shared" si="9"/>
        <v>17304.808943941811</v>
      </c>
      <c r="D13" s="5">
        <f t="shared" si="0"/>
        <v>17134.328049547628</v>
      </c>
      <c r="E13" s="5">
        <f t="shared" si="1"/>
        <v>7634.3280495476283</v>
      </c>
      <c r="F13" s="5">
        <f t="shared" si="2"/>
        <v>2837.6417056999194</v>
      </c>
      <c r="G13" s="5">
        <f t="shared" si="3"/>
        <v>14296.686343847708</v>
      </c>
      <c r="H13" s="22">
        <f t="shared" si="10"/>
        <v>7960.3429724254383</v>
      </c>
      <c r="I13" s="5">
        <f t="shared" si="4"/>
        <v>21460.995019030604</v>
      </c>
      <c r="J13" s="25">
        <f t="shared" si="5"/>
        <v>5.6188140088027229E-2</v>
      </c>
      <c r="L13" s="22">
        <f t="shared" si="11"/>
        <v>22738.636724730528</v>
      </c>
      <c r="M13" s="5">
        <f>scrimecost*Meta!O10</f>
        <v>37368.863999999994</v>
      </c>
      <c r="N13" s="5">
        <f>L13-Grade9!L13</f>
        <v>1182.1851906731063</v>
      </c>
      <c r="O13" s="5">
        <f>Grade9!M13-M13</f>
        <v>777.81600000000617</v>
      </c>
      <c r="P13" s="22">
        <f t="shared" si="12"/>
        <v>54.821491939899488</v>
      </c>
      <c r="Q13" s="22"/>
      <c r="R13" s="22"/>
      <c r="S13" s="22">
        <f t="shared" si="6"/>
        <v>1296.7431535122253</v>
      </c>
      <c r="T13" s="22">
        <f t="shared" si="7"/>
        <v>984.6283891426466</v>
      </c>
    </row>
    <row r="14" spans="1:20" x14ac:dyDescent="0.2">
      <c r="A14" s="5">
        <v>23</v>
      </c>
      <c r="B14" s="1">
        <f t="shared" si="8"/>
        <v>1.1886857536682125</v>
      </c>
      <c r="C14" s="5">
        <f t="shared" si="9"/>
        <v>17737.429167540358</v>
      </c>
      <c r="D14" s="5">
        <f t="shared" si="0"/>
        <v>17523.686250786322</v>
      </c>
      <c r="E14" s="5">
        <f t="shared" si="1"/>
        <v>8023.6862507863225</v>
      </c>
      <c r="F14" s="5">
        <f t="shared" si="2"/>
        <v>2945.2992483424182</v>
      </c>
      <c r="G14" s="5">
        <f t="shared" si="3"/>
        <v>14578.387002443904</v>
      </c>
      <c r="H14" s="22">
        <f t="shared" si="10"/>
        <v>8159.3515467360749</v>
      </c>
      <c r="I14" s="5">
        <f t="shared" si="4"/>
        <v>21921.803394506373</v>
      </c>
      <c r="J14" s="25">
        <f t="shared" si="5"/>
        <v>5.9436784982257893E-2</v>
      </c>
      <c r="L14" s="22">
        <f t="shared" si="11"/>
        <v>23307.102642848789</v>
      </c>
      <c r="M14" s="5">
        <f>scrimecost*Meta!O11</f>
        <v>34920.192000000003</v>
      </c>
      <c r="N14" s="5">
        <f>L14-Grade9!L14</f>
        <v>1211.7398204399324</v>
      </c>
      <c r="O14" s="5">
        <f>Grade9!M14-M14</f>
        <v>726.84799999999814</v>
      </c>
      <c r="P14" s="22">
        <f t="shared" si="12"/>
        <v>55.575094738396977</v>
      </c>
      <c r="Q14" s="22"/>
      <c r="R14" s="22"/>
      <c r="S14" s="22">
        <f t="shared" si="6"/>
        <v>1266.797098659023</v>
      </c>
      <c r="T14" s="22">
        <f t="shared" si="7"/>
        <v>924.78837638199752</v>
      </c>
    </row>
    <row r="15" spans="1:20" x14ac:dyDescent="0.2">
      <c r="A15" s="5">
        <v>24</v>
      </c>
      <c r="B15" s="1">
        <f t="shared" si="8"/>
        <v>1.2184028975099177</v>
      </c>
      <c r="C15" s="5">
        <f t="shared" si="9"/>
        <v>18180.864896728868</v>
      </c>
      <c r="D15" s="5">
        <f t="shared" si="0"/>
        <v>17922.778407055979</v>
      </c>
      <c r="E15" s="5">
        <f t="shared" si="1"/>
        <v>8422.7784070559792</v>
      </c>
      <c r="F15" s="5">
        <f t="shared" si="2"/>
        <v>3055.6482295509786</v>
      </c>
      <c r="G15" s="5">
        <f t="shared" si="3"/>
        <v>14867.130177505001</v>
      </c>
      <c r="H15" s="22">
        <f t="shared" si="10"/>
        <v>8363.3353354044757</v>
      </c>
      <c r="I15" s="5">
        <f t="shared" si="4"/>
        <v>22394.131979369031</v>
      </c>
      <c r="J15" s="25">
        <f t="shared" si="5"/>
        <v>6.2606194635165827E-2</v>
      </c>
      <c r="L15" s="22">
        <f t="shared" si="11"/>
        <v>23889.780208920012</v>
      </c>
      <c r="M15" s="5">
        <f>scrimecost*Meta!O12</f>
        <v>33363.156000000003</v>
      </c>
      <c r="N15" s="5">
        <f>L15-Grade9!L15</f>
        <v>1242.0333159509428</v>
      </c>
      <c r="O15" s="5">
        <f>Grade9!M15-M15</f>
        <v>694.43899999999849</v>
      </c>
      <c r="P15" s="22">
        <f t="shared" si="12"/>
        <v>56.347537606856903</v>
      </c>
      <c r="Q15" s="22"/>
      <c r="R15" s="22"/>
      <c r="S15" s="22">
        <f t="shared" si="6"/>
        <v>1253.5159420345046</v>
      </c>
      <c r="T15" s="22">
        <f t="shared" si="7"/>
        <v>879.79618993064628</v>
      </c>
    </row>
    <row r="16" spans="1:20" x14ac:dyDescent="0.2">
      <c r="A16" s="5">
        <v>25</v>
      </c>
      <c r="B16" s="1">
        <f t="shared" si="8"/>
        <v>1.2488629699476654</v>
      </c>
      <c r="C16" s="5">
        <f t="shared" si="9"/>
        <v>18635.386519147083</v>
      </c>
      <c r="D16" s="5">
        <f t="shared" si="0"/>
        <v>18331.847867232376</v>
      </c>
      <c r="E16" s="5">
        <f t="shared" si="1"/>
        <v>8831.8478672323763</v>
      </c>
      <c r="F16" s="5">
        <f t="shared" si="2"/>
        <v>3185.348328651371</v>
      </c>
      <c r="G16" s="5">
        <f t="shared" si="3"/>
        <v>15146.499538581005</v>
      </c>
      <c r="H16" s="22">
        <f t="shared" si="10"/>
        <v>8572.4187187895859</v>
      </c>
      <c r="I16" s="5">
        <f t="shared" si="4"/>
        <v>22861.676385491632</v>
      </c>
      <c r="J16" s="25">
        <f t="shared" si="5"/>
        <v>6.6375901018003891E-2</v>
      </c>
      <c r="L16" s="22">
        <f t="shared" si="11"/>
        <v>24487.024714143008</v>
      </c>
      <c r="M16" s="5">
        <f>scrimecost*Meta!O13</f>
        <v>28013.34</v>
      </c>
      <c r="N16" s="5">
        <f>L16-Grade9!L16</f>
        <v>1273.0841488497099</v>
      </c>
      <c r="O16" s="5">
        <f>Grade9!M16-M16</f>
        <v>583.08499999999913</v>
      </c>
      <c r="P16" s="22">
        <f t="shared" si="12"/>
        <v>57.255438300559646</v>
      </c>
      <c r="Q16" s="22"/>
      <c r="R16" s="22"/>
      <c r="S16" s="22">
        <f t="shared" si="6"/>
        <v>1171.4024008939653</v>
      </c>
      <c r="T16" s="22">
        <f t="shared" si="7"/>
        <v>790.45151810162849</v>
      </c>
    </row>
    <row r="17" spans="1:20" x14ac:dyDescent="0.2">
      <c r="A17" s="5">
        <v>26</v>
      </c>
      <c r="B17" s="1">
        <f t="shared" si="8"/>
        <v>1.2800845441963571</v>
      </c>
      <c r="C17" s="5">
        <f t="shared" si="9"/>
        <v>19101.271182125762</v>
      </c>
      <c r="D17" s="5">
        <f t="shared" si="0"/>
        <v>18751.144063913187</v>
      </c>
      <c r="E17" s="5">
        <f t="shared" si="1"/>
        <v>9251.144063913187</v>
      </c>
      <c r="F17" s="5">
        <f t="shared" si="2"/>
        <v>3322.2485368676553</v>
      </c>
      <c r="G17" s="5">
        <f t="shared" si="3"/>
        <v>15428.895527045532</v>
      </c>
      <c r="H17" s="22">
        <f t="shared" si="10"/>
        <v>8786.7291867593267</v>
      </c>
      <c r="I17" s="5">
        <f t="shared" si="4"/>
        <v>23336.951795128927</v>
      </c>
      <c r="J17" s="25">
        <f t="shared" si="5"/>
        <v>7.0211341937501184E-2</v>
      </c>
      <c r="L17" s="22">
        <f t="shared" si="11"/>
        <v>25099.200331996581</v>
      </c>
      <c r="M17" s="5">
        <f>scrimecost*Meta!O14</f>
        <v>28013.34</v>
      </c>
      <c r="N17" s="5">
        <f>L17-Grade9!L17</f>
        <v>1304.9112525709497</v>
      </c>
      <c r="O17" s="5">
        <f>Grade9!M17-M17</f>
        <v>583.08499999999913</v>
      </c>
      <c r="P17" s="22">
        <f t="shared" si="12"/>
        <v>58.213739758073636</v>
      </c>
      <c r="Q17" s="22"/>
      <c r="R17" s="22"/>
      <c r="S17" s="22">
        <f t="shared" si="6"/>
        <v>1187.4733769753132</v>
      </c>
      <c r="T17" s="22">
        <f t="shared" si="7"/>
        <v>770.38873276346783</v>
      </c>
    </row>
    <row r="18" spans="1:20" x14ac:dyDescent="0.2">
      <c r="A18" s="5">
        <v>27</v>
      </c>
      <c r="B18" s="1">
        <f t="shared" si="8"/>
        <v>1.312086657801266</v>
      </c>
      <c r="C18" s="5">
        <f t="shared" si="9"/>
        <v>19578.802961678906</v>
      </c>
      <c r="D18" s="5">
        <f t="shared" si="0"/>
        <v>19180.922665511018</v>
      </c>
      <c r="E18" s="5">
        <f t="shared" si="1"/>
        <v>9680.9226655110178</v>
      </c>
      <c r="F18" s="5">
        <f t="shared" si="2"/>
        <v>3462.5712502893475</v>
      </c>
      <c r="G18" s="5">
        <f t="shared" si="3"/>
        <v>15718.35141522167</v>
      </c>
      <c r="H18" s="22">
        <f t="shared" si="10"/>
        <v>9006.3974164283081</v>
      </c>
      <c r="I18" s="5">
        <f t="shared" si="4"/>
        <v>23824.109090007147</v>
      </c>
      <c r="J18" s="25">
        <f t="shared" si="5"/>
        <v>7.3953235517498606E-2</v>
      </c>
      <c r="L18" s="22">
        <f t="shared" si="11"/>
        <v>25726.680340296494</v>
      </c>
      <c r="M18" s="5">
        <f>scrimecost*Meta!O15</f>
        <v>28013.34</v>
      </c>
      <c r="N18" s="5">
        <f>L18-Grade9!L18</f>
        <v>1337.5340338852257</v>
      </c>
      <c r="O18" s="5">
        <f>Grade9!M18-M18</f>
        <v>583.08499999999913</v>
      </c>
      <c r="P18" s="22">
        <f t="shared" si="12"/>
        <v>59.195998752025488</v>
      </c>
      <c r="Q18" s="22"/>
      <c r="R18" s="22"/>
      <c r="S18" s="22">
        <f t="shared" si="6"/>
        <v>1203.9461274586968</v>
      </c>
      <c r="T18" s="22">
        <f t="shared" si="7"/>
        <v>750.94824698183368</v>
      </c>
    </row>
    <row r="19" spans="1:20" x14ac:dyDescent="0.2">
      <c r="A19" s="5">
        <v>28</v>
      </c>
      <c r="B19" s="1">
        <f t="shared" si="8"/>
        <v>1.3448888242462975</v>
      </c>
      <c r="C19" s="5">
        <f t="shared" si="9"/>
        <v>20068.273035720875</v>
      </c>
      <c r="D19" s="5">
        <f t="shared" si="0"/>
        <v>19621.445732148786</v>
      </c>
      <c r="E19" s="5">
        <f t="shared" si="1"/>
        <v>10121.445732148786</v>
      </c>
      <c r="F19" s="5">
        <f t="shared" si="2"/>
        <v>3606.4020315465787</v>
      </c>
      <c r="G19" s="5">
        <f t="shared" si="3"/>
        <v>16015.043700602208</v>
      </c>
      <c r="H19" s="22">
        <f t="shared" si="10"/>
        <v>9231.5573518390174</v>
      </c>
      <c r="I19" s="5">
        <f t="shared" si="4"/>
        <v>24323.445317257323</v>
      </c>
      <c r="J19" s="25">
        <f t="shared" si="5"/>
        <v>7.760386340042276E-2</v>
      </c>
      <c r="L19" s="22">
        <f t="shared" si="11"/>
        <v>26369.847348803905</v>
      </c>
      <c r="M19" s="5">
        <f>scrimecost*Meta!O16</f>
        <v>28013.34</v>
      </c>
      <c r="N19" s="5">
        <f>L19-Grade9!L19</f>
        <v>1370.9723847323548</v>
      </c>
      <c r="O19" s="5">
        <f>Grade9!M19-M19</f>
        <v>583.08499999999913</v>
      </c>
      <c r="P19" s="22">
        <f t="shared" si="12"/>
        <v>60.202814220826106</v>
      </c>
      <c r="Q19" s="22"/>
      <c r="R19" s="22"/>
      <c r="S19" s="22">
        <f t="shared" si="6"/>
        <v>1220.8306967041638</v>
      </c>
      <c r="T19" s="22">
        <f t="shared" si="7"/>
        <v>732.1082606287747</v>
      </c>
    </row>
    <row r="20" spans="1:20" x14ac:dyDescent="0.2">
      <c r="A20" s="5">
        <v>29</v>
      </c>
      <c r="B20" s="1">
        <f t="shared" si="8"/>
        <v>1.3785110448524549</v>
      </c>
      <c r="C20" s="5">
        <f t="shared" si="9"/>
        <v>20569.979861613898</v>
      </c>
      <c r="D20" s="5">
        <f t="shared" si="0"/>
        <v>20072.981875452508</v>
      </c>
      <c r="E20" s="5">
        <f t="shared" si="1"/>
        <v>10572.981875452508</v>
      </c>
      <c r="F20" s="5">
        <f t="shared" si="2"/>
        <v>3753.8285823352435</v>
      </c>
      <c r="G20" s="5">
        <f t="shared" si="3"/>
        <v>16319.153293117264</v>
      </c>
      <c r="H20" s="22">
        <f t="shared" si="10"/>
        <v>9462.3462856349906</v>
      </c>
      <c r="I20" s="5">
        <f t="shared" si="4"/>
        <v>24835.264950188757</v>
      </c>
      <c r="J20" s="25">
        <f t="shared" si="5"/>
        <v>8.1165451578885481E-2</v>
      </c>
      <c r="L20" s="22">
        <f t="shared" si="11"/>
        <v>27029.093532524003</v>
      </c>
      <c r="M20" s="5">
        <f>scrimecost*Meta!O17</f>
        <v>28013.34</v>
      </c>
      <c r="N20" s="5">
        <f>L20-Grade9!L20</f>
        <v>1405.2466943506661</v>
      </c>
      <c r="O20" s="5">
        <f>Grade9!M20-M20</f>
        <v>583.08499999999913</v>
      </c>
      <c r="P20" s="22">
        <f t="shared" si="12"/>
        <v>61.234800076346758</v>
      </c>
      <c r="Q20" s="22"/>
      <c r="R20" s="22"/>
      <c r="S20" s="22">
        <f t="shared" si="6"/>
        <v>1238.137380180769</v>
      </c>
      <c r="T20" s="22">
        <f t="shared" si="7"/>
        <v>713.84778242093955</v>
      </c>
    </row>
    <row r="21" spans="1:20" x14ac:dyDescent="0.2">
      <c r="A21" s="5">
        <v>30</v>
      </c>
      <c r="B21" s="1">
        <f t="shared" si="8"/>
        <v>1.4129738209737661</v>
      </c>
      <c r="C21" s="5">
        <f t="shared" si="9"/>
        <v>21084.22935815424</v>
      </c>
      <c r="D21" s="5">
        <f t="shared" si="0"/>
        <v>20535.806422338817</v>
      </c>
      <c r="E21" s="5">
        <f t="shared" si="1"/>
        <v>11035.806422338817</v>
      </c>
      <c r="F21" s="5">
        <f t="shared" si="2"/>
        <v>3904.9407968936239</v>
      </c>
      <c r="G21" s="5">
        <f t="shared" si="3"/>
        <v>16630.865625445193</v>
      </c>
      <c r="H21" s="22">
        <f t="shared" si="10"/>
        <v>9698.9049427758655</v>
      </c>
      <c r="I21" s="5">
        <f t="shared" si="4"/>
        <v>25359.880073943474</v>
      </c>
      <c r="J21" s="25">
        <f t="shared" si="5"/>
        <v>8.4640171752995416E-2</v>
      </c>
      <c r="L21" s="22">
        <f t="shared" si="11"/>
        <v>27704.820870837098</v>
      </c>
      <c r="M21" s="5">
        <f>scrimecost*Meta!O18</f>
        <v>22583.675999999999</v>
      </c>
      <c r="N21" s="5">
        <f>L21-Grade9!L21</f>
        <v>1440.3778617094213</v>
      </c>
      <c r="O21" s="5">
        <f>Grade9!M21-M21</f>
        <v>470.06900000000314</v>
      </c>
      <c r="P21" s="22">
        <f t="shared" si="12"/>
        <v>62.292585578255427</v>
      </c>
      <c r="Q21" s="22"/>
      <c r="R21" s="22"/>
      <c r="S21" s="22">
        <f t="shared" si="6"/>
        <v>1156.6486827442864</v>
      </c>
      <c r="T21" s="22">
        <f t="shared" si="7"/>
        <v>641.14337596561518</v>
      </c>
    </row>
    <row r="22" spans="1:20" x14ac:dyDescent="0.2">
      <c r="A22" s="5">
        <v>31</v>
      </c>
      <c r="B22" s="1">
        <f t="shared" si="8"/>
        <v>1.4482981664981105</v>
      </c>
      <c r="C22" s="5">
        <f t="shared" si="9"/>
        <v>21611.335092108104</v>
      </c>
      <c r="D22" s="5">
        <f t="shared" si="0"/>
        <v>21010.201582897294</v>
      </c>
      <c r="E22" s="5">
        <f t="shared" si="1"/>
        <v>11510.201582897294</v>
      </c>
      <c r="F22" s="5">
        <f t="shared" si="2"/>
        <v>4059.8308168159665</v>
      </c>
      <c r="G22" s="5">
        <f t="shared" si="3"/>
        <v>16950.370766081327</v>
      </c>
      <c r="H22" s="22">
        <f t="shared" si="10"/>
        <v>9941.3775663452634</v>
      </c>
      <c r="I22" s="5">
        <f t="shared" si="4"/>
        <v>25897.610575792067</v>
      </c>
      <c r="J22" s="25">
        <f t="shared" si="5"/>
        <v>8.8030142654566143E-2</v>
      </c>
      <c r="L22" s="22">
        <f t="shared" si="11"/>
        <v>28397.441392608031</v>
      </c>
      <c r="M22" s="5">
        <f>scrimecost*Meta!O19</f>
        <v>22583.675999999999</v>
      </c>
      <c r="N22" s="5">
        <f>L22-Grade9!L22</f>
        <v>1476.3873082521641</v>
      </c>
      <c r="O22" s="5">
        <f>Grade9!M22-M22</f>
        <v>470.06900000000314</v>
      </c>
      <c r="P22" s="22">
        <f t="shared" si="12"/>
        <v>63.376815717711828</v>
      </c>
      <c r="Q22" s="22"/>
      <c r="R22" s="22"/>
      <c r="S22" s="22">
        <f t="shared" si="6"/>
        <v>1174.831517071897</v>
      </c>
      <c r="T22" s="22">
        <f t="shared" si="7"/>
        <v>626.10358955086588</v>
      </c>
    </row>
    <row r="23" spans="1:20" x14ac:dyDescent="0.2">
      <c r="A23" s="5">
        <v>32</v>
      </c>
      <c r="B23" s="1">
        <f t="shared" si="8"/>
        <v>1.4845056206605631</v>
      </c>
      <c r="C23" s="5">
        <f t="shared" si="9"/>
        <v>22151.618469410805</v>
      </c>
      <c r="D23" s="5">
        <f t="shared" si="0"/>
        <v>21496.456622469726</v>
      </c>
      <c r="E23" s="5">
        <f t="shared" si="1"/>
        <v>11996.456622469726</v>
      </c>
      <c r="F23" s="5">
        <f t="shared" si="2"/>
        <v>4218.593087236366</v>
      </c>
      <c r="G23" s="5">
        <f t="shared" si="3"/>
        <v>17277.863535233359</v>
      </c>
      <c r="H23" s="22">
        <f t="shared" si="10"/>
        <v>10189.912005503895</v>
      </c>
      <c r="I23" s="5">
        <f t="shared" si="4"/>
        <v>26448.784340186867</v>
      </c>
      <c r="J23" s="25">
        <f t="shared" si="5"/>
        <v>9.133743133902536E-2</v>
      </c>
      <c r="L23" s="22">
        <f t="shared" si="11"/>
        <v>29107.377427423227</v>
      </c>
      <c r="M23" s="5">
        <f>scrimecost*Meta!O20</f>
        <v>22583.675999999999</v>
      </c>
      <c r="N23" s="5">
        <f>L23-Grade9!L23</f>
        <v>1513.2969909584717</v>
      </c>
      <c r="O23" s="5">
        <f>Grade9!M23-M23</f>
        <v>470.06900000000314</v>
      </c>
      <c r="P23" s="22">
        <f t="shared" si="12"/>
        <v>64.488151610654626</v>
      </c>
      <c r="Q23" s="22"/>
      <c r="R23" s="22"/>
      <c r="S23" s="22">
        <f t="shared" si="6"/>
        <v>1193.4689222576958</v>
      </c>
      <c r="T23" s="22">
        <f t="shared" si="7"/>
        <v>611.50305664428004</v>
      </c>
    </row>
    <row r="24" spans="1:20" x14ac:dyDescent="0.2">
      <c r="A24" s="5">
        <v>33</v>
      </c>
      <c r="B24" s="1">
        <f t="shared" si="8"/>
        <v>1.521618261177077</v>
      </c>
      <c r="C24" s="5">
        <f t="shared" si="9"/>
        <v>22705.40893114607</v>
      </c>
      <c r="D24" s="5">
        <f t="shared" si="0"/>
        <v>21994.868038031465</v>
      </c>
      <c r="E24" s="5">
        <f t="shared" si="1"/>
        <v>12494.868038031465</v>
      </c>
      <c r="F24" s="5">
        <f t="shared" si="2"/>
        <v>4381.3244144172731</v>
      </c>
      <c r="G24" s="5">
        <f t="shared" si="3"/>
        <v>17613.54362361419</v>
      </c>
      <c r="H24" s="22">
        <f t="shared" si="10"/>
        <v>10444.65980564149</v>
      </c>
      <c r="I24" s="5">
        <f t="shared" si="4"/>
        <v>27013.737448691529</v>
      </c>
      <c r="J24" s="25">
        <f t="shared" si="5"/>
        <v>9.4564054445814782E-2</v>
      </c>
      <c r="L24" s="22">
        <f t="shared" si="11"/>
        <v>29835.061863108804</v>
      </c>
      <c r="M24" s="5">
        <f>scrimecost*Meta!O21</f>
        <v>22583.675999999999</v>
      </c>
      <c r="N24" s="5">
        <f>L24-Grade9!L24</f>
        <v>1551.1294157324264</v>
      </c>
      <c r="O24" s="5">
        <f>Grade9!M24-M24</f>
        <v>470.06900000000314</v>
      </c>
      <c r="P24" s="22">
        <f t="shared" si="12"/>
        <v>65.627270900920976</v>
      </c>
      <c r="Q24" s="22"/>
      <c r="R24" s="22"/>
      <c r="S24" s="22">
        <f t="shared" si="6"/>
        <v>1212.572262573135</v>
      </c>
      <c r="T24" s="22">
        <f t="shared" si="7"/>
        <v>597.32688198400069</v>
      </c>
    </row>
    <row r="25" spans="1:20" x14ac:dyDescent="0.2">
      <c r="A25" s="5">
        <v>34</v>
      </c>
      <c r="B25" s="1">
        <f t="shared" si="8"/>
        <v>1.559658717706504</v>
      </c>
      <c r="C25" s="5">
        <f t="shared" si="9"/>
        <v>23273.044154424722</v>
      </c>
      <c r="D25" s="5">
        <f t="shared" si="0"/>
        <v>22505.739738982251</v>
      </c>
      <c r="E25" s="5">
        <f t="shared" si="1"/>
        <v>13005.739738982251</v>
      </c>
      <c r="F25" s="5">
        <f t="shared" si="2"/>
        <v>4548.124024777705</v>
      </c>
      <c r="G25" s="5">
        <f t="shared" si="3"/>
        <v>17957.615714204545</v>
      </c>
      <c r="H25" s="22">
        <f t="shared" si="10"/>
        <v>10705.776300782529</v>
      </c>
      <c r="I25" s="5">
        <f t="shared" si="4"/>
        <v>27592.814384908823</v>
      </c>
      <c r="J25" s="25">
        <f t="shared" si="5"/>
        <v>9.7711979428048407E-2</v>
      </c>
      <c r="L25" s="22">
        <f t="shared" si="11"/>
        <v>30580.938409686525</v>
      </c>
      <c r="M25" s="5">
        <f>scrimecost*Meta!O22</f>
        <v>22583.675999999999</v>
      </c>
      <c r="N25" s="5">
        <f>L25-Grade9!L25</f>
        <v>1589.9076511257372</v>
      </c>
      <c r="O25" s="5">
        <f>Grade9!M25-M25</f>
        <v>470.06900000000314</v>
      </c>
      <c r="P25" s="22">
        <f t="shared" si="12"/>
        <v>66.794868173444002</v>
      </c>
      <c r="Q25" s="22"/>
      <c r="R25" s="22"/>
      <c r="S25" s="22">
        <f t="shared" si="6"/>
        <v>1232.1531863964631</v>
      </c>
      <c r="T25" s="22">
        <f t="shared" si="7"/>
        <v>583.56071508125035</v>
      </c>
    </row>
    <row r="26" spans="1:20" x14ac:dyDescent="0.2">
      <c r="A26" s="5">
        <v>35</v>
      </c>
      <c r="B26" s="1">
        <f t="shared" si="8"/>
        <v>1.5986501856491666</v>
      </c>
      <c r="C26" s="5">
        <f t="shared" si="9"/>
        <v>23854.87025828534</v>
      </c>
      <c r="D26" s="5">
        <f t="shared" si="0"/>
        <v>23029.383232456807</v>
      </c>
      <c r="E26" s="5">
        <f t="shared" si="1"/>
        <v>13529.383232456807</v>
      </c>
      <c r="F26" s="5">
        <f t="shared" si="2"/>
        <v>4719.0936253971468</v>
      </c>
      <c r="G26" s="5">
        <f t="shared" si="3"/>
        <v>18310.289607059662</v>
      </c>
      <c r="H26" s="22">
        <f t="shared" si="10"/>
        <v>10973.42070830209</v>
      </c>
      <c r="I26" s="5">
        <f t="shared" si="4"/>
        <v>28186.368244531543</v>
      </c>
      <c r="J26" s="25">
        <f t="shared" si="5"/>
        <v>0.10078312575217874</v>
      </c>
      <c r="L26" s="22">
        <f t="shared" si="11"/>
        <v>31345.461869928691</v>
      </c>
      <c r="M26" s="5">
        <f>scrimecost*Meta!O23</f>
        <v>17526.635999999999</v>
      </c>
      <c r="N26" s="5">
        <f>L26-Grade9!L26</f>
        <v>1629.6553424038866</v>
      </c>
      <c r="O26" s="5">
        <f>Grade9!M26-M26</f>
        <v>364.80900000000111</v>
      </c>
      <c r="P26" s="22">
        <f t="shared" si="12"/>
        <v>67.991655377780091</v>
      </c>
      <c r="Q26" s="22"/>
      <c r="R26" s="22"/>
      <c r="S26" s="22">
        <f t="shared" si="6"/>
        <v>1159.8053533153757</v>
      </c>
      <c r="T26" s="22">
        <f t="shared" si="7"/>
        <v>528.10875234525543</v>
      </c>
    </row>
    <row r="27" spans="1:20" x14ac:dyDescent="0.2">
      <c r="A27" s="5">
        <v>36</v>
      </c>
      <c r="B27" s="1">
        <f t="shared" si="8"/>
        <v>1.6386164402903955</v>
      </c>
      <c r="C27" s="5">
        <f t="shared" si="9"/>
        <v>24451.242014742471</v>
      </c>
      <c r="D27" s="5">
        <f t="shared" si="0"/>
        <v>23566.117813268225</v>
      </c>
      <c r="E27" s="5">
        <f t="shared" si="1"/>
        <v>14066.117813268225</v>
      </c>
      <c r="F27" s="5">
        <f t="shared" si="2"/>
        <v>4894.3374660320751</v>
      </c>
      <c r="G27" s="5">
        <f t="shared" si="3"/>
        <v>18671.780347236148</v>
      </c>
      <c r="H27" s="22">
        <f t="shared" si="10"/>
        <v>11247.75622600964</v>
      </c>
      <c r="I27" s="5">
        <f t="shared" si="4"/>
        <v>28794.760950644824</v>
      </c>
      <c r="J27" s="25">
        <f t="shared" si="5"/>
        <v>0.1037793660684035</v>
      </c>
      <c r="L27" s="22">
        <f t="shared" si="11"/>
        <v>32129.098416676901</v>
      </c>
      <c r="M27" s="5">
        <f>scrimecost*Meta!O24</f>
        <v>17526.635999999999</v>
      </c>
      <c r="N27" s="5">
        <f>L27-Grade9!L27</f>
        <v>1670.396725963983</v>
      </c>
      <c r="O27" s="5">
        <f>Grade9!M27-M27</f>
        <v>364.80900000000111</v>
      </c>
      <c r="P27" s="22">
        <f t="shared" si="12"/>
        <v>69.218362262224588</v>
      </c>
      <c r="Q27" s="22"/>
      <c r="R27" s="22"/>
      <c r="S27" s="22">
        <f t="shared" si="6"/>
        <v>1180.3775614072597</v>
      </c>
      <c r="T27" s="22">
        <f t="shared" si="7"/>
        <v>516.74479882982575</v>
      </c>
    </row>
    <row r="28" spans="1:20" x14ac:dyDescent="0.2">
      <c r="A28" s="5">
        <v>37</v>
      </c>
      <c r="B28" s="1">
        <f t="shared" si="8"/>
        <v>1.6795818512976552</v>
      </c>
      <c r="C28" s="5">
        <f t="shared" si="9"/>
        <v>25062.523065111032</v>
      </c>
      <c r="D28" s="5">
        <f t="shared" si="0"/>
        <v>24116.270758599931</v>
      </c>
      <c r="E28" s="5">
        <f t="shared" si="1"/>
        <v>14616.270758599931</v>
      </c>
      <c r="F28" s="5">
        <f t="shared" si="2"/>
        <v>5073.9624026828769</v>
      </c>
      <c r="G28" s="5">
        <f t="shared" si="3"/>
        <v>19042.308355917055</v>
      </c>
      <c r="H28" s="22">
        <f t="shared" si="10"/>
        <v>11528.950131659882</v>
      </c>
      <c r="I28" s="5">
        <f t="shared" si="4"/>
        <v>29418.363474410951</v>
      </c>
      <c r="J28" s="25">
        <f t="shared" si="5"/>
        <v>0.10670252735252518</v>
      </c>
      <c r="L28" s="22">
        <f t="shared" si="11"/>
        <v>32932.325877093819</v>
      </c>
      <c r="M28" s="5">
        <f>scrimecost*Meta!O25</f>
        <v>17526.635999999999</v>
      </c>
      <c r="N28" s="5">
        <f>L28-Grade9!L28</f>
        <v>1712.1566441130817</v>
      </c>
      <c r="O28" s="5">
        <f>Grade9!M28-M28</f>
        <v>364.80900000000111</v>
      </c>
      <c r="P28" s="22">
        <f t="shared" si="12"/>
        <v>70.475736818780192</v>
      </c>
      <c r="Q28" s="22"/>
      <c r="R28" s="22"/>
      <c r="S28" s="22">
        <f t="shared" si="6"/>
        <v>1201.4640747014407</v>
      </c>
      <c r="T28" s="22">
        <f t="shared" si="7"/>
        <v>505.68825987242894</v>
      </c>
    </row>
    <row r="29" spans="1:20" x14ac:dyDescent="0.2">
      <c r="A29" s="5">
        <v>38</v>
      </c>
      <c r="B29" s="1">
        <f t="shared" si="8"/>
        <v>1.7215713975800966</v>
      </c>
      <c r="C29" s="5">
        <f t="shared" si="9"/>
        <v>25689.086141738808</v>
      </c>
      <c r="D29" s="5">
        <f t="shared" si="0"/>
        <v>24680.177527564927</v>
      </c>
      <c r="E29" s="5">
        <f t="shared" si="1"/>
        <v>15180.177527564927</v>
      </c>
      <c r="F29" s="5">
        <f t="shared" si="2"/>
        <v>5258.0779627499487</v>
      </c>
      <c r="G29" s="5">
        <f t="shared" si="3"/>
        <v>19422.099564814976</v>
      </c>
      <c r="H29" s="22">
        <f t="shared" si="10"/>
        <v>11817.173884951379</v>
      </c>
      <c r="I29" s="5">
        <f t="shared" si="4"/>
        <v>30057.556061271218</v>
      </c>
      <c r="J29" s="25">
        <f t="shared" si="5"/>
        <v>0.10955439201996099</v>
      </c>
      <c r="L29" s="22">
        <f t="shared" si="11"/>
        <v>33755.634024021172</v>
      </c>
      <c r="M29" s="5">
        <f>scrimecost*Meta!O26</f>
        <v>17526.635999999999</v>
      </c>
      <c r="N29" s="5">
        <f>L29-Grade9!L29</f>
        <v>1754.9605602159099</v>
      </c>
      <c r="O29" s="5">
        <f>Grade9!M29-M29</f>
        <v>364.80900000000111</v>
      </c>
      <c r="P29" s="22">
        <f t="shared" si="12"/>
        <v>71.764545739249698</v>
      </c>
      <c r="Q29" s="22"/>
      <c r="R29" s="22"/>
      <c r="S29" s="22">
        <f t="shared" si="6"/>
        <v>1223.0777508279775</v>
      </c>
      <c r="T29" s="22">
        <f t="shared" si="7"/>
        <v>494.92918091351635</v>
      </c>
    </row>
    <row r="30" spans="1:20" x14ac:dyDescent="0.2">
      <c r="A30" s="5">
        <v>39</v>
      </c>
      <c r="B30" s="1">
        <f t="shared" si="8"/>
        <v>1.7646106825195991</v>
      </c>
      <c r="C30" s="5">
        <f t="shared" si="9"/>
        <v>26331.313295282274</v>
      </c>
      <c r="D30" s="5">
        <f t="shared" si="0"/>
        <v>25258.181965754047</v>
      </c>
      <c r="E30" s="5">
        <f t="shared" si="1"/>
        <v>15758.181965754047</v>
      </c>
      <c r="F30" s="5">
        <f t="shared" si="2"/>
        <v>5446.7964118186965</v>
      </c>
      <c r="G30" s="5">
        <f t="shared" si="3"/>
        <v>19811.38555393535</v>
      </c>
      <c r="H30" s="22">
        <f t="shared" si="10"/>
        <v>12112.603232075164</v>
      </c>
      <c r="I30" s="5">
        <f t="shared" si="4"/>
        <v>30712.728462802996</v>
      </c>
      <c r="J30" s="25">
        <f t="shared" si="5"/>
        <v>0.11233669901258128</v>
      </c>
      <c r="L30" s="22">
        <f t="shared" si="11"/>
        <v>34599.524874621697</v>
      </c>
      <c r="M30" s="5">
        <f>scrimecost*Meta!O27</f>
        <v>17526.635999999999</v>
      </c>
      <c r="N30" s="5">
        <f>L30-Grade9!L30</f>
        <v>1798.834574221306</v>
      </c>
      <c r="O30" s="5">
        <f>Grade9!M30-M30</f>
        <v>364.80900000000111</v>
      </c>
      <c r="P30" s="22">
        <f t="shared" si="12"/>
        <v>73.085574882730953</v>
      </c>
      <c r="Q30" s="22"/>
      <c r="R30" s="22"/>
      <c r="S30" s="22">
        <f t="shared" si="6"/>
        <v>1245.2317688576759</v>
      </c>
      <c r="T30" s="22">
        <f t="shared" si="7"/>
        <v>484.45796369657523</v>
      </c>
    </row>
    <row r="31" spans="1:20" x14ac:dyDescent="0.2">
      <c r="A31" s="5">
        <v>40</v>
      </c>
      <c r="B31" s="1">
        <f t="shared" si="8"/>
        <v>1.8087259495825889</v>
      </c>
      <c r="C31" s="5">
        <f t="shared" si="9"/>
        <v>26989.596127664332</v>
      </c>
      <c r="D31" s="5">
        <f t="shared" si="0"/>
        <v>25850.636514897898</v>
      </c>
      <c r="E31" s="5">
        <f t="shared" si="1"/>
        <v>16350.636514897898</v>
      </c>
      <c r="F31" s="5">
        <f t="shared" si="2"/>
        <v>5640.2328221141634</v>
      </c>
      <c r="G31" s="5">
        <f t="shared" si="3"/>
        <v>20210.403692783737</v>
      </c>
      <c r="H31" s="22">
        <f t="shared" si="10"/>
        <v>12415.418312877042</v>
      </c>
      <c r="I31" s="5">
        <f t="shared" si="4"/>
        <v>31384.280174373074</v>
      </c>
      <c r="J31" s="25">
        <f t="shared" si="5"/>
        <v>0.1150511448590401</v>
      </c>
      <c r="L31" s="22">
        <f t="shared" si="11"/>
        <v>35464.512996487232</v>
      </c>
      <c r="M31" s="5">
        <f>scrimecost*Meta!O28</f>
        <v>15330.815999999999</v>
      </c>
      <c r="N31" s="5">
        <f>L31-Grade9!L31</f>
        <v>1843.805438576841</v>
      </c>
      <c r="O31" s="5">
        <f>Grade9!M31-M31</f>
        <v>319.10399999999936</v>
      </c>
      <c r="P31" s="22">
        <f t="shared" si="12"/>
        <v>74.439629754799213</v>
      </c>
      <c r="Q31" s="22"/>
      <c r="R31" s="22"/>
      <c r="S31" s="22">
        <f t="shared" si="6"/>
        <v>1227.8106473381174</v>
      </c>
      <c r="T31" s="22">
        <f t="shared" si="7"/>
        <v>459.25534058532457</v>
      </c>
    </row>
    <row r="32" spans="1:20" x14ac:dyDescent="0.2">
      <c r="A32" s="5">
        <v>41</v>
      </c>
      <c r="B32" s="1">
        <f t="shared" si="8"/>
        <v>1.8539440983221533</v>
      </c>
      <c r="C32" s="5">
        <f t="shared" si="9"/>
        <v>27664.336030855935</v>
      </c>
      <c r="D32" s="5">
        <f t="shared" si="0"/>
        <v>26457.902427770343</v>
      </c>
      <c r="E32" s="5">
        <f t="shared" si="1"/>
        <v>16957.902427770343</v>
      </c>
      <c r="F32" s="5">
        <f t="shared" si="2"/>
        <v>5838.505142667017</v>
      </c>
      <c r="G32" s="5">
        <f t="shared" si="3"/>
        <v>20619.397285103325</v>
      </c>
      <c r="H32" s="22">
        <f t="shared" si="10"/>
        <v>12725.803770698963</v>
      </c>
      <c r="I32" s="5">
        <f t="shared" si="4"/>
        <v>32072.62067873239</v>
      </c>
      <c r="J32" s="25">
        <f t="shared" si="5"/>
        <v>0.11769938470924386</v>
      </c>
      <c r="L32" s="22">
        <f t="shared" si="11"/>
        <v>36351.125821399415</v>
      </c>
      <c r="M32" s="5">
        <f>scrimecost*Meta!O29</f>
        <v>15330.815999999999</v>
      </c>
      <c r="N32" s="5">
        <f>L32-Grade9!L32</f>
        <v>1889.9005745412651</v>
      </c>
      <c r="O32" s="5">
        <f>Grade9!M32-M32</f>
        <v>319.10399999999936</v>
      </c>
      <c r="P32" s="22">
        <f t="shared" si="12"/>
        <v>75.827535998669191</v>
      </c>
      <c r="Q32" s="22"/>
      <c r="R32" s="22"/>
      <c r="S32" s="22">
        <f t="shared" si="6"/>
        <v>1251.0862125305719</v>
      </c>
      <c r="T32" s="22">
        <f t="shared" si="7"/>
        <v>449.91137241876254</v>
      </c>
    </row>
    <row r="33" spans="1:20" x14ac:dyDescent="0.2">
      <c r="A33" s="5">
        <v>42</v>
      </c>
      <c r="B33" s="1">
        <f t="shared" si="8"/>
        <v>1.9002927007802071</v>
      </c>
      <c r="C33" s="5">
        <f t="shared" si="9"/>
        <v>28355.944431627333</v>
      </c>
      <c r="D33" s="5">
        <f t="shared" si="0"/>
        <v>27080.349988464601</v>
      </c>
      <c r="E33" s="5">
        <f t="shared" si="1"/>
        <v>17580.349988464601</v>
      </c>
      <c r="F33" s="5">
        <f t="shared" si="2"/>
        <v>6041.7342712336922</v>
      </c>
      <c r="G33" s="5">
        <f t="shared" si="3"/>
        <v>21038.61571723091</v>
      </c>
      <c r="H33" s="22">
        <f t="shared" si="10"/>
        <v>13043.948864966438</v>
      </c>
      <c r="I33" s="5">
        <f t="shared" si="4"/>
        <v>32778.169695700708</v>
      </c>
      <c r="J33" s="25">
        <f t="shared" si="5"/>
        <v>0.12028303334358895</v>
      </c>
      <c r="L33" s="22">
        <f t="shared" si="11"/>
        <v>37259.903966934391</v>
      </c>
      <c r="M33" s="5">
        <f>scrimecost*Meta!O30</f>
        <v>15330.815999999999</v>
      </c>
      <c r="N33" s="5">
        <f>L33-Grade9!L33</f>
        <v>1937.1480889047889</v>
      </c>
      <c r="O33" s="5">
        <f>Grade9!M33-M33</f>
        <v>319.10399999999936</v>
      </c>
      <c r="P33" s="22">
        <f t="shared" si="12"/>
        <v>77.250139898635908</v>
      </c>
      <c r="Q33" s="22"/>
      <c r="R33" s="22"/>
      <c r="S33" s="22">
        <f t="shared" si="6"/>
        <v>1274.9436668528324</v>
      </c>
      <c r="T33" s="22">
        <f t="shared" si="7"/>
        <v>440.80614664778329</v>
      </c>
    </row>
    <row r="34" spans="1:20" x14ac:dyDescent="0.2">
      <c r="A34" s="5">
        <v>43</v>
      </c>
      <c r="B34" s="1">
        <f t="shared" si="8"/>
        <v>1.9478000182997122</v>
      </c>
      <c r="C34" s="5">
        <f t="shared" si="9"/>
        <v>29064.843042418015</v>
      </c>
      <c r="D34" s="5">
        <f t="shared" si="0"/>
        <v>27718.358738176215</v>
      </c>
      <c r="E34" s="5">
        <f t="shared" si="1"/>
        <v>18218.358738176215</v>
      </c>
      <c r="F34" s="5">
        <f t="shared" si="2"/>
        <v>6250.0441280145342</v>
      </c>
      <c r="G34" s="5">
        <f t="shared" si="3"/>
        <v>21468.31461016168</v>
      </c>
      <c r="H34" s="22">
        <f t="shared" si="10"/>
        <v>13370.047586590599</v>
      </c>
      <c r="I34" s="5">
        <f t="shared" si="4"/>
        <v>33501.357438093219</v>
      </c>
      <c r="J34" s="25">
        <f t="shared" si="5"/>
        <v>0.12280366615758417</v>
      </c>
      <c r="L34" s="22">
        <f t="shared" si="11"/>
        <v>38191.40156610775</v>
      </c>
      <c r="M34" s="5">
        <f>scrimecost*Meta!O31</f>
        <v>15330.815999999999</v>
      </c>
      <c r="N34" s="5">
        <f>L34-Grade9!L34</f>
        <v>1985.5767911274088</v>
      </c>
      <c r="O34" s="5">
        <f>Grade9!M34-M34</f>
        <v>319.10399999999936</v>
      </c>
      <c r="P34" s="22">
        <f t="shared" si="12"/>
        <v>78.708308896101798</v>
      </c>
      <c r="Q34" s="22"/>
      <c r="R34" s="22"/>
      <c r="S34" s="22">
        <f t="shared" si="6"/>
        <v>1299.3975575331531</v>
      </c>
      <c r="T34" s="22">
        <f t="shared" si="7"/>
        <v>431.93222317095905</v>
      </c>
    </row>
    <row r="35" spans="1:20" x14ac:dyDescent="0.2">
      <c r="A35" s="5">
        <v>44</v>
      </c>
      <c r="B35" s="1">
        <f t="shared" si="8"/>
        <v>1.9964950187572048</v>
      </c>
      <c r="C35" s="5">
        <f t="shared" si="9"/>
        <v>29791.464118478463</v>
      </c>
      <c r="D35" s="5">
        <f t="shared" si="0"/>
        <v>28372.317706630616</v>
      </c>
      <c r="E35" s="5">
        <f t="shared" si="1"/>
        <v>18872.317706630616</v>
      </c>
      <c r="F35" s="5">
        <f t="shared" si="2"/>
        <v>6463.5617312148961</v>
      </c>
      <c r="G35" s="5">
        <f t="shared" si="3"/>
        <v>21908.755975415719</v>
      </c>
      <c r="H35" s="22">
        <f t="shared" si="10"/>
        <v>13704.298776255362</v>
      </c>
      <c r="I35" s="5">
        <f t="shared" si="4"/>
        <v>34242.624874045548</v>
      </c>
      <c r="J35" s="25">
        <f t="shared" si="5"/>
        <v>0.12526282012245754</v>
      </c>
      <c r="L35" s="22">
        <f t="shared" si="11"/>
        <v>39146.186605260446</v>
      </c>
      <c r="M35" s="5">
        <f>scrimecost*Meta!O32</f>
        <v>15330.815999999999</v>
      </c>
      <c r="N35" s="5">
        <f>L35-Grade9!L35</f>
        <v>2035.2162109055935</v>
      </c>
      <c r="O35" s="5">
        <f>Grade9!M35-M35</f>
        <v>319.10399999999936</v>
      </c>
      <c r="P35" s="22">
        <f t="shared" si="12"/>
        <v>80.20293211850435</v>
      </c>
      <c r="Q35" s="22"/>
      <c r="R35" s="22"/>
      <c r="S35" s="22">
        <f t="shared" si="6"/>
        <v>1324.4627954804819</v>
      </c>
      <c r="T35" s="22">
        <f t="shared" si="7"/>
        <v>423.28242315582787</v>
      </c>
    </row>
    <row r="36" spans="1:20" x14ac:dyDescent="0.2">
      <c r="A36" s="5">
        <v>45</v>
      </c>
      <c r="B36" s="1">
        <f t="shared" si="8"/>
        <v>2.0464073942261352</v>
      </c>
      <c r="C36" s="5">
        <f t="shared" si="9"/>
        <v>30536.250721440429</v>
      </c>
      <c r="D36" s="5">
        <f t="shared" si="0"/>
        <v>29042.625649296388</v>
      </c>
      <c r="E36" s="5">
        <f t="shared" si="1"/>
        <v>19542.625649296388</v>
      </c>
      <c r="F36" s="5">
        <f t="shared" si="2"/>
        <v>6682.4172744952702</v>
      </c>
      <c r="G36" s="5">
        <f t="shared" si="3"/>
        <v>22360.208374801117</v>
      </c>
      <c r="H36" s="22">
        <f t="shared" si="10"/>
        <v>14046.906245661748</v>
      </c>
      <c r="I36" s="5">
        <f t="shared" si="4"/>
        <v>35002.423995896694</v>
      </c>
      <c r="J36" s="25">
        <f t="shared" si="5"/>
        <v>0.12766199472233405</v>
      </c>
      <c r="L36" s="22">
        <f t="shared" si="11"/>
        <v>40124.84127039196</v>
      </c>
      <c r="M36" s="5">
        <f>scrimecost*Meta!O33</f>
        <v>12389.748000000001</v>
      </c>
      <c r="N36" s="5">
        <f>L36-Grade9!L36</f>
        <v>2086.0966161782417</v>
      </c>
      <c r="O36" s="5">
        <f>Grade9!M36-M36</f>
        <v>257.88699999999881</v>
      </c>
      <c r="P36" s="22">
        <f t="shared" si="12"/>
        <v>81.734920921466966</v>
      </c>
      <c r="Q36" s="22"/>
      <c r="R36" s="22"/>
      <c r="S36" s="22">
        <f t="shared" si="6"/>
        <v>1296.4061383764974</v>
      </c>
      <c r="T36" s="22">
        <f t="shared" si="7"/>
        <v>398.33499559745161</v>
      </c>
    </row>
    <row r="37" spans="1:20" x14ac:dyDescent="0.2">
      <c r="A37" s="5">
        <v>46</v>
      </c>
      <c r="B37" s="1">
        <f t="shared" ref="B37:B56" si="13">(1+experiencepremium)^(A37-startage)</f>
        <v>2.097567579081788</v>
      </c>
      <c r="C37" s="5">
        <f t="shared" ref="C37:C56" si="14">pretaxincome*B37/expnorm</f>
        <v>31299.656989476429</v>
      </c>
      <c r="D37" s="5">
        <f t="shared" ref="D37:D56" si="15">IF(A37&lt;startage,1,0)*(C37*(1-initialunempprob))+IF(A37=startage,1,0)*(C37*(1-unempprob))+IF(A37&gt;startage,1,0)*(C37*(1-unempprob)+unempprob*300*52)</f>
        <v>29729.691290528786</v>
      </c>
      <c r="E37" s="5">
        <f t="shared" si="1"/>
        <v>20229.691290528786</v>
      </c>
      <c r="F37" s="5">
        <f t="shared" si="2"/>
        <v>6906.7442063576491</v>
      </c>
      <c r="G37" s="5">
        <f t="shared" si="3"/>
        <v>22822.947084171137</v>
      </c>
      <c r="H37" s="22">
        <f t="shared" ref="H37:H56" si="16">benefits*B37/expnorm</f>
        <v>14398.078901803288</v>
      </c>
      <c r="I37" s="5">
        <f t="shared" ref="I37:I56" si="17">G37+IF(A37&lt;startage,1,0)*(H37*(1-initialunempprob))+IF(A37&gt;=startage,1,0)*(H37*(1-unempprob))</f>
        <v>35781.218095794095</v>
      </c>
      <c r="J37" s="25">
        <f t="shared" si="5"/>
        <v>0.13000265286855497</v>
      </c>
      <c r="L37" s="22">
        <f t="shared" ref="L37:L56" si="18">(sincome+sbenefits)*(1-sunemp)*B37/expnorm</f>
        <v>41127.962302151755</v>
      </c>
      <c r="M37" s="5">
        <f>scrimecost*Meta!O34</f>
        <v>12389.748000000001</v>
      </c>
      <c r="N37" s="5">
        <f>L37-Grade9!L37</f>
        <v>2138.2490315826872</v>
      </c>
      <c r="O37" s="5">
        <f>Grade9!M37-M37</f>
        <v>257.88699999999881</v>
      </c>
      <c r="P37" s="22">
        <f t="shared" si="12"/>
        <v>83.305209444503618</v>
      </c>
      <c r="Q37" s="22"/>
      <c r="R37" s="22"/>
      <c r="S37" s="22">
        <f t="shared" si="6"/>
        <v>1322.7403039949049</v>
      </c>
      <c r="T37" s="22">
        <f t="shared" si="7"/>
        <v>390.74990735071526</v>
      </c>
    </row>
    <row r="38" spans="1:20" x14ac:dyDescent="0.2">
      <c r="A38" s="5">
        <v>47</v>
      </c>
      <c r="B38" s="1">
        <f t="shared" si="13"/>
        <v>2.1500067685588333</v>
      </c>
      <c r="C38" s="5">
        <f t="shared" si="14"/>
        <v>32082.148414213352</v>
      </c>
      <c r="D38" s="5">
        <f t="shared" si="15"/>
        <v>30433.933572792019</v>
      </c>
      <c r="E38" s="5">
        <f t="shared" si="1"/>
        <v>20933.933572792019</v>
      </c>
      <c r="F38" s="5">
        <f t="shared" si="2"/>
        <v>7136.6793115165947</v>
      </c>
      <c r="G38" s="5">
        <f t="shared" si="3"/>
        <v>23297.254261275426</v>
      </c>
      <c r="H38" s="22">
        <f t="shared" si="16"/>
        <v>14758.030874348375</v>
      </c>
      <c r="I38" s="5">
        <f t="shared" si="17"/>
        <v>36579.482048188962</v>
      </c>
      <c r="J38" s="25">
        <f t="shared" ref="J38:J56" si="19">(F38-(IF(A38&gt;startage,1,0)*(unempprob*300*52)))/(IF(A38&lt;startage,1,0)*((C38+H38)*(1-initialunempprob))+IF(A38&gt;=startage,1,0)*((C38+H38)*(1-unempprob)))</f>
        <v>0.13228622179169744</v>
      </c>
      <c r="L38" s="22">
        <f t="shared" si="18"/>
        <v>42156.161359705555</v>
      </c>
      <c r="M38" s="5">
        <f>scrimecost*Meta!O35</f>
        <v>12389.748000000001</v>
      </c>
      <c r="N38" s="5">
        <f>L38-Grade9!L38</f>
        <v>2191.7052573722685</v>
      </c>
      <c r="O38" s="5">
        <f>Grade9!M38-M38</f>
        <v>257.88699999999881</v>
      </c>
      <c r="P38" s="22">
        <f t="shared" si="12"/>
        <v>84.91475518061624</v>
      </c>
      <c r="Q38" s="22"/>
      <c r="R38" s="22"/>
      <c r="S38" s="22">
        <f t="shared" ref="S38:S69" si="20">IF(A38&lt;startage,1,0)*(N38-Q38-R38)+IF(A38&gt;=startage,1,0)*completionprob*(N38*spart+O38+P38)</f>
        <v>1349.7328237537843</v>
      </c>
      <c r="T38" s="22">
        <f t="shared" ref="T38:T69" si="21">S38/sreturn^(A38-startage+1)</f>
        <v>383.34430814592815</v>
      </c>
    </row>
    <row r="39" spans="1:20" x14ac:dyDescent="0.2">
      <c r="A39" s="5">
        <v>48</v>
      </c>
      <c r="B39" s="1">
        <f t="shared" si="13"/>
        <v>2.2037569377728037</v>
      </c>
      <c r="C39" s="5">
        <f t="shared" si="14"/>
        <v>32884.202124568677</v>
      </c>
      <c r="D39" s="5">
        <f t="shared" si="15"/>
        <v>31155.781912111812</v>
      </c>
      <c r="E39" s="5">
        <f t="shared" si="1"/>
        <v>21655.781912111812</v>
      </c>
      <c r="F39" s="5">
        <f t="shared" si="2"/>
        <v>7372.3627943045058</v>
      </c>
      <c r="G39" s="5">
        <f t="shared" si="3"/>
        <v>23783.419117807305</v>
      </c>
      <c r="H39" s="22">
        <f t="shared" si="16"/>
        <v>15126.981646207079</v>
      </c>
      <c r="I39" s="5">
        <f t="shared" si="17"/>
        <v>37397.702599393677</v>
      </c>
      <c r="J39" s="25">
        <f t="shared" si="19"/>
        <v>0.1345140939118363</v>
      </c>
      <c r="L39" s="22">
        <f t="shared" si="18"/>
        <v>43210.065393698183</v>
      </c>
      <c r="M39" s="5">
        <f>scrimecost*Meta!O36</f>
        <v>12389.748000000001</v>
      </c>
      <c r="N39" s="5">
        <f>L39-Grade9!L39</f>
        <v>2246.4978888065671</v>
      </c>
      <c r="O39" s="5">
        <f>Grade9!M39-M39</f>
        <v>257.88699999999881</v>
      </c>
      <c r="P39" s="22">
        <f t="shared" ref="P39:P56" si="22">(spart-initialspart)*(L39*J39+nptrans)</f>
        <v>86.564539560131607</v>
      </c>
      <c r="Q39" s="22"/>
      <c r="R39" s="22"/>
      <c r="S39" s="22">
        <f t="shared" si="20"/>
        <v>1377.4001565066249</v>
      </c>
      <c r="T39" s="22">
        <f t="shared" si="21"/>
        <v>376.11291852474676</v>
      </c>
    </row>
    <row r="40" spans="1:20" x14ac:dyDescent="0.2">
      <c r="A40" s="5">
        <v>49</v>
      </c>
      <c r="B40" s="1">
        <f t="shared" si="13"/>
        <v>2.2588508612171236</v>
      </c>
      <c r="C40" s="5">
        <f t="shared" si="14"/>
        <v>33706.307177682895</v>
      </c>
      <c r="D40" s="5">
        <f t="shared" si="15"/>
        <v>31895.676459914604</v>
      </c>
      <c r="E40" s="5">
        <f t="shared" si="1"/>
        <v>22395.676459914604</v>
      </c>
      <c r="F40" s="5">
        <f t="shared" si="2"/>
        <v>7613.9383641621189</v>
      </c>
      <c r="G40" s="5">
        <f t="shared" si="3"/>
        <v>24281.738095752487</v>
      </c>
      <c r="H40" s="22">
        <f t="shared" si="16"/>
        <v>15505.156187362258</v>
      </c>
      <c r="I40" s="5">
        <f t="shared" si="17"/>
        <v>38236.378664378521</v>
      </c>
      <c r="J40" s="25">
        <f t="shared" si="19"/>
        <v>0.13668762768758161</v>
      </c>
      <c r="L40" s="22">
        <f t="shared" si="18"/>
        <v>44290.31702854063</v>
      </c>
      <c r="M40" s="5">
        <f>scrimecost*Meta!O37</f>
        <v>12389.748000000001</v>
      </c>
      <c r="N40" s="5">
        <f>L40-Grade9!L40</f>
        <v>2302.6603360267181</v>
      </c>
      <c r="O40" s="5">
        <f>Grade9!M40-M40</f>
        <v>257.88699999999881</v>
      </c>
      <c r="P40" s="22">
        <f t="shared" si="22"/>
        <v>88.255568549134892</v>
      </c>
      <c r="Q40" s="22"/>
      <c r="R40" s="22"/>
      <c r="S40" s="22">
        <f t="shared" si="20"/>
        <v>1405.7591725782845</v>
      </c>
      <c r="T40" s="22">
        <f t="shared" si="21"/>
        <v>369.05063877311511</v>
      </c>
    </row>
    <row r="41" spans="1:20" x14ac:dyDescent="0.2">
      <c r="A41" s="5">
        <v>50</v>
      </c>
      <c r="B41" s="1">
        <f t="shared" si="13"/>
        <v>2.3153221327475517</v>
      </c>
      <c r="C41" s="5">
        <f t="shared" si="14"/>
        <v>34548.964857124971</v>
      </c>
      <c r="D41" s="5">
        <f t="shared" si="15"/>
        <v>32654.068371412475</v>
      </c>
      <c r="E41" s="5">
        <f t="shared" si="1"/>
        <v>23154.068371412475</v>
      </c>
      <c r="F41" s="5">
        <f t="shared" si="2"/>
        <v>7861.5533232661728</v>
      </c>
      <c r="G41" s="5">
        <f t="shared" si="3"/>
        <v>24792.515048146302</v>
      </c>
      <c r="H41" s="22">
        <f t="shared" si="16"/>
        <v>15892.785092046313</v>
      </c>
      <c r="I41" s="5">
        <f t="shared" si="17"/>
        <v>39096.021630987983</v>
      </c>
      <c r="J41" s="25">
        <f t="shared" si="19"/>
        <v>0.13880814844440631</v>
      </c>
      <c r="L41" s="22">
        <f t="shared" si="18"/>
        <v>45397.574954254153</v>
      </c>
      <c r="M41" s="5">
        <f>scrimecost*Meta!O38</f>
        <v>8277.5759999999991</v>
      </c>
      <c r="N41" s="5">
        <f>L41-Grade9!L41</f>
        <v>2360.2268444274014</v>
      </c>
      <c r="O41" s="5">
        <f>Grade9!M41-M41</f>
        <v>172.29400000000169</v>
      </c>
      <c r="P41" s="22">
        <f t="shared" si="22"/>
        <v>89.988873262863294</v>
      </c>
      <c r="Q41" s="22"/>
      <c r="R41" s="22"/>
      <c r="S41" s="22">
        <f t="shared" si="20"/>
        <v>1359.6765100517514</v>
      </c>
      <c r="T41" s="22">
        <f t="shared" si="21"/>
        <v>343.18440381254538</v>
      </c>
    </row>
    <row r="42" spans="1:20" x14ac:dyDescent="0.2">
      <c r="A42" s="5">
        <v>51</v>
      </c>
      <c r="B42" s="1">
        <f t="shared" si="13"/>
        <v>2.3732051860662402</v>
      </c>
      <c r="C42" s="5">
        <f t="shared" si="14"/>
        <v>35412.688978553088</v>
      </c>
      <c r="D42" s="5">
        <f t="shared" si="15"/>
        <v>33431.420080697775</v>
      </c>
      <c r="E42" s="5">
        <f t="shared" si="1"/>
        <v>23931.420080697775</v>
      </c>
      <c r="F42" s="5">
        <f t="shared" si="2"/>
        <v>8115.3586563478239</v>
      </c>
      <c r="G42" s="5">
        <f t="shared" si="3"/>
        <v>25316.061424349951</v>
      </c>
      <c r="H42" s="22">
        <f t="shared" si="16"/>
        <v>16290.10471934747</v>
      </c>
      <c r="I42" s="5">
        <f t="shared" si="17"/>
        <v>39977.155671762674</v>
      </c>
      <c r="J42" s="25">
        <f t="shared" si="19"/>
        <v>0.1408769491827718</v>
      </c>
      <c r="L42" s="22">
        <f t="shared" si="18"/>
        <v>46532.514328110497</v>
      </c>
      <c r="M42" s="5">
        <f>scrimecost*Meta!O39</f>
        <v>8277.5759999999991</v>
      </c>
      <c r="N42" s="5">
        <f>L42-Grade9!L42</f>
        <v>2419.2325155380749</v>
      </c>
      <c r="O42" s="5">
        <f>Grade9!M42-M42</f>
        <v>172.29400000000169</v>
      </c>
      <c r="P42" s="22">
        <f t="shared" si="22"/>
        <v>91.765510594434843</v>
      </c>
      <c r="Q42" s="22"/>
      <c r="R42" s="22"/>
      <c r="S42" s="22">
        <f t="shared" si="20"/>
        <v>1389.4712013120395</v>
      </c>
      <c r="T42" s="22">
        <f t="shared" si="21"/>
        <v>337.17736383343851</v>
      </c>
    </row>
    <row r="43" spans="1:20" x14ac:dyDescent="0.2">
      <c r="A43" s="5">
        <v>52</v>
      </c>
      <c r="B43" s="1">
        <f t="shared" si="13"/>
        <v>2.4325353157178964</v>
      </c>
      <c r="C43" s="5">
        <f t="shared" si="14"/>
        <v>36298.006203016914</v>
      </c>
      <c r="D43" s="5">
        <f t="shared" si="15"/>
        <v>34228.205582715222</v>
      </c>
      <c r="E43" s="5">
        <f t="shared" si="1"/>
        <v>24728.205582715222</v>
      </c>
      <c r="F43" s="5">
        <f t="shared" si="2"/>
        <v>8375.5091227565208</v>
      </c>
      <c r="G43" s="5">
        <f t="shared" si="3"/>
        <v>25852.696459958701</v>
      </c>
      <c r="H43" s="22">
        <f t="shared" si="16"/>
        <v>16697.357337331156</v>
      </c>
      <c r="I43" s="5">
        <f t="shared" si="17"/>
        <v>40880.318063556741</v>
      </c>
      <c r="J43" s="25">
        <f t="shared" si="19"/>
        <v>0.14289529136654308</v>
      </c>
      <c r="L43" s="22">
        <f t="shared" si="18"/>
        <v>47695.827186313269</v>
      </c>
      <c r="M43" s="5">
        <f>scrimecost*Meta!O40</f>
        <v>8277.5759999999991</v>
      </c>
      <c r="N43" s="5">
        <f>L43-Grade9!L43</f>
        <v>2479.7133284265365</v>
      </c>
      <c r="O43" s="5">
        <f>Grade9!M43-M43</f>
        <v>172.29400000000169</v>
      </c>
      <c r="P43" s="22">
        <f t="shared" si="22"/>
        <v>93.586563859295723</v>
      </c>
      <c r="Q43" s="22"/>
      <c r="R43" s="22"/>
      <c r="S43" s="22">
        <f t="shared" si="20"/>
        <v>1420.010759853845</v>
      </c>
      <c r="T43" s="22">
        <f t="shared" si="21"/>
        <v>331.29692811972456</v>
      </c>
    </row>
    <row r="44" spans="1:20" x14ac:dyDescent="0.2">
      <c r="A44" s="5">
        <v>53</v>
      </c>
      <c r="B44" s="1">
        <f t="shared" si="13"/>
        <v>2.4933486986108435</v>
      </c>
      <c r="C44" s="5">
        <f t="shared" si="14"/>
        <v>37205.456358092328</v>
      </c>
      <c r="D44" s="5">
        <f t="shared" si="15"/>
        <v>35044.910722283093</v>
      </c>
      <c r="E44" s="5">
        <f t="shared" si="1"/>
        <v>25544.910722283093</v>
      </c>
      <c r="F44" s="5">
        <f t="shared" si="2"/>
        <v>8642.1633508254308</v>
      </c>
      <c r="G44" s="5">
        <f t="shared" si="3"/>
        <v>26402.747371457663</v>
      </c>
      <c r="H44" s="22">
        <f t="shared" si="16"/>
        <v>17114.791270764435</v>
      </c>
      <c r="I44" s="5">
        <f t="shared" si="17"/>
        <v>41806.059515145651</v>
      </c>
      <c r="J44" s="25">
        <f t="shared" si="19"/>
        <v>0.14486440569217354</v>
      </c>
      <c r="L44" s="22">
        <f t="shared" si="18"/>
        <v>48888.222865971089</v>
      </c>
      <c r="M44" s="5">
        <f>scrimecost*Meta!O41</f>
        <v>8277.5759999999991</v>
      </c>
      <c r="N44" s="5">
        <f>L44-Grade9!L44</f>
        <v>2541.7061616372011</v>
      </c>
      <c r="O44" s="5">
        <f>Grade9!M44-M44</f>
        <v>172.29400000000169</v>
      </c>
      <c r="P44" s="22">
        <f t="shared" si="22"/>
        <v>95.453143455778104</v>
      </c>
      <c r="Q44" s="22"/>
      <c r="R44" s="22"/>
      <c r="S44" s="22">
        <f t="shared" si="20"/>
        <v>1451.3138073591917</v>
      </c>
      <c r="T44" s="22">
        <f t="shared" si="21"/>
        <v>325.53974102411928</v>
      </c>
    </row>
    <row r="45" spans="1:20" x14ac:dyDescent="0.2">
      <c r="A45" s="5">
        <v>54</v>
      </c>
      <c r="B45" s="1">
        <f t="shared" si="13"/>
        <v>2.555682416076114</v>
      </c>
      <c r="C45" s="5">
        <f t="shared" si="14"/>
        <v>38135.592767044633</v>
      </c>
      <c r="D45" s="5">
        <f t="shared" si="15"/>
        <v>35882.033490340167</v>
      </c>
      <c r="E45" s="5">
        <f t="shared" si="1"/>
        <v>26382.033490340167</v>
      </c>
      <c r="F45" s="5">
        <f t="shared" si="2"/>
        <v>8915.4839345960645</v>
      </c>
      <c r="G45" s="5">
        <f t="shared" si="3"/>
        <v>26966.549555744103</v>
      </c>
      <c r="H45" s="22">
        <f t="shared" si="16"/>
        <v>17542.661052533542</v>
      </c>
      <c r="I45" s="5">
        <f t="shared" si="17"/>
        <v>42754.944503024293</v>
      </c>
      <c r="J45" s="25">
        <f t="shared" si="19"/>
        <v>0.14678549283913012</v>
      </c>
      <c r="L45" s="22">
        <f t="shared" si="18"/>
        <v>50110.428437620358</v>
      </c>
      <c r="M45" s="5">
        <f>scrimecost*Meta!O42</f>
        <v>8277.5759999999991</v>
      </c>
      <c r="N45" s="5">
        <f>L45-Grade9!L45</f>
        <v>2605.2488156781183</v>
      </c>
      <c r="O45" s="5">
        <f>Grade9!M45-M45</f>
        <v>172.29400000000169</v>
      </c>
      <c r="P45" s="22">
        <f t="shared" si="22"/>
        <v>97.366387542172532</v>
      </c>
      <c r="Q45" s="22"/>
      <c r="R45" s="22"/>
      <c r="S45" s="22">
        <f t="shared" si="20"/>
        <v>1483.3994310521655</v>
      </c>
      <c r="T45" s="22">
        <f t="shared" si="21"/>
        <v>319.90255412580768</v>
      </c>
    </row>
    <row r="46" spans="1:20" x14ac:dyDescent="0.2">
      <c r="A46" s="5">
        <v>55</v>
      </c>
      <c r="B46" s="1">
        <f t="shared" si="13"/>
        <v>2.6195744764780171</v>
      </c>
      <c r="C46" s="5">
        <f t="shared" si="14"/>
        <v>39088.982586220751</v>
      </c>
      <c r="D46" s="5">
        <f t="shared" si="15"/>
        <v>36740.084327598677</v>
      </c>
      <c r="E46" s="5">
        <f t="shared" si="1"/>
        <v>27240.084327598677</v>
      </c>
      <c r="F46" s="5">
        <f t="shared" si="2"/>
        <v>9195.6375329609691</v>
      </c>
      <c r="G46" s="5">
        <f t="shared" si="3"/>
        <v>27544.446794637708</v>
      </c>
      <c r="H46" s="22">
        <f t="shared" si="16"/>
        <v>17981.22757884688</v>
      </c>
      <c r="I46" s="5">
        <f t="shared" si="17"/>
        <v>43727.551615599899</v>
      </c>
      <c r="J46" s="25">
        <f t="shared" si="19"/>
        <v>0.14865972420201462</v>
      </c>
      <c r="L46" s="22">
        <f t="shared" si="18"/>
        <v>51363.189148560872</v>
      </c>
      <c r="M46" s="5">
        <f>scrimecost*Meta!O43</f>
        <v>4591.2599999999993</v>
      </c>
      <c r="N46" s="5">
        <f>L46-Grade9!L46</f>
        <v>2670.3800360700843</v>
      </c>
      <c r="O46" s="5">
        <f>Grade9!M46-M46</f>
        <v>95.565000000000509</v>
      </c>
      <c r="P46" s="22">
        <f t="shared" si="22"/>
        <v>99.327462730726879</v>
      </c>
      <c r="Q46" s="22"/>
      <c r="R46" s="22"/>
      <c r="S46" s="22">
        <f t="shared" si="20"/>
        <v>1448.9191333374749</v>
      </c>
      <c r="T46" s="22">
        <f t="shared" si="21"/>
        <v>300.41434013445564</v>
      </c>
    </row>
    <row r="47" spans="1:20" x14ac:dyDescent="0.2">
      <c r="A47" s="5">
        <v>56</v>
      </c>
      <c r="B47" s="1">
        <f t="shared" si="13"/>
        <v>2.6850638383899672</v>
      </c>
      <c r="C47" s="5">
        <f t="shared" si="14"/>
        <v>40066.20715087626</v>
      </c>
      <c r="D47" s="5">
        <f t="shared" si="15"/>
        <v>37619.586435788638</v>
      </c>
      <c r="E47" s="5">
        <f t="shared" si="1"/>
        <v>28119.586435788638</v>
      </c>
      <c r="F47" s="5">
        <f t="shared" si="2"/>
        <v>9482.7949712849913</v>
      </c>
      <c r="G47" s="5">
        <f t="shared" si="3"/>
        <v>28136.791464503647</v>
      </c>
      <c r="H47" s="22">
        <f t="shared" si="16"/>
        <v>18430.758268318052</v>
      </c>
      <c r="I47" s="5">
        <f t="shared" si="17"/>
        <v>44724.473905989893</v>
      </c>
      <c r="J47" s="25">
        <f t="shared" si="19"/>
        <v>0.15048824260482874</v>
      </c>
      <c r="L47" s="22">
        <f t="shared" si="18"/>
        <v>52647.268877274888</v>
      </c>
      <c r="M47" s="5">
        <f>scrimecost*Meta!O44</f>
        <v>4591.2599999999993</v>
      </c>
      <c r="N47" s="5">
        <f>L47-Grade9!L47</f>
        <v>2737.1395369718375</v>
      </c>
      <c r="O47" s="5">
        <f>Grade9!M47-M47</f>
        <v>95.565000000000509</v>
      </c>
      <c r="P47" s="22">
        <f t="shared" si="22"/>
        <v>101.33756479899505</v>
      </c>
      <c r="Q47" s="22"/>
      <c r="R47" s="22"/>
      <c r="S47" s="22">
        <f t="shared" si="20"/>
        <v>1482.6290917299123</v>
      </c>
      <c r="T47" s="22">
        <f t="shared" si="21"/>
        <v>295.5465829695442</v>
      </c>
    </row>
    <row r="48" spans="1:20" x14ac:dyDescent="0.2">
      <c r="A48" s="5">
        <v>57</v>
      </c>
      <c r="B48" s="1">
        <f t="shared" si="13"/>
        <v>2.7521904343497163</v>
      </c>
      <c r="C48" s="5">
        <f t="shared" si="14"/>
        <v>41067.862329648167</v>
      </c>
      <c r="D48" s="5">
        <f t="shared" si="15"/>
        <v>38521.076096683355</v>
      </c>
      <c r="E48" s="5">
        <f t="shared" si="1"/>
        <v>29021.076096683355</v>
      </c>
      <c r="F48" s="5">
        <f t="shared" si="2"/>
        <v>9777.1313455671152</v>
      </c>
      <c r="G48" s="5">
        <f t="shared" si="3"/>
        <v>28743.94475111624</v>
      </c>
      <c r="H48" s="22">
        <f t="shared" si="16"/>
        <v>18891.527225026002</v>
      </c>
      <c r="I48" s="5">
        <f t="shared" si="17"/>
        <v>45746.319253639638</v>
      </c>
      <c r="J48" s="25">
        <f t="shared" si="19"/>
        <v>0.15227216299781809</v>
      </c>
      <c r="L48" s="22">
        <f t="shared" si="18"/>
        <v>53963.450599206757</v>
      </c>
      <c r="M48" s="5">
        <f>scrimecost*Meta!O45</f>
        <v>4591.2599999999993</v>
      </c>
      <c r="N48" s="5">
        <f>L48-Grade9!L48</f>
        <v>2805.5680253961327</v>
      </c>
      <c r="O48" s="5">
        <f>Grade9!M48-M48</f>
        <v>95.565000000000509</v>
      </c>
      <c r="P48" s="22">
        <f t="shared" si="22"/>
        <v>103.39791941896989</v>
      </c>
      <c r="Q48" s="22"/>
      <c r="R48" s="22"/>
      <c r="S48" s="22">
        <f t="shared" si="20"/>
        <v>1517.1817990821594</v>
      </c>
      <c r="T48" s="22">
        <f t="shared" si="21"/>
        <v>290.76890561979548</v>
      </c>
    </row>
    <row r="49" spans="1:20" x14ac:dyDescent="0.2">
      <c r="A49" s="5">
        <v>58</v>
      </c>
      <c r="B49" s="1">
        <f t="shared" si="13"/>
        <v>2.8209951952084591</v>
      </c>
      <c r="C49" s="5">
        <f t="shared" si="14"/>
        <v>42094.558887889369</v>
      </c>
      <c r="D49" s="5">
        <f t="shared" si="15"/>
        <v>39445.102999100432</v>
      </c>
      <c r="E49" s="5">
        <f t="shared" si="1"/>
        <v>29945.102999100432</v>
      </c>
      <c r="F49" s="5">
        <f t="shared" si="2"/>
        <v>10078.826129206291</v>
      </c>
      <c r="G49" s="5">
        <f t="shared" si="3"/>
        <v>29366.276869894144</v>
      </c>
      <c r="H49" s="22">
        <f t="shared" si="16"/>
        <v>19363.815405651651</v>
      </c>
      <c r="I49" s="5">
        <f t="shared" si="17"/>
        <v>46793.710734980632</v>
      </c>
      <c r="J49" s="25">
        <f t="shared" si="19"/>
        <v>0.15401257313731989</v>
      </c>
      <c r="L49" s="22">
        <f t="shared" si="18"/>
        <v>55312.536864186921</v>
      </c>
      <c r="M49" s="5">
        <f>scrimecost*Meta!O46</f>
        <v>4591.2599999999993</v>
      </c>
      <c r="N49" s="5">
        <f>L49-Grade9!L49</f>
        <v>2875.7072260310233</v>
      </c>
      <c r="O49" s="5">
        <f>Grade9!M49-M49</f>
        <v>95.565000000000509</v>
      </c>
      <c r="P49" s="22">
        <f t="shared" si="22"/>
        <v>105.50978290444412</v>
      </c>
      <c r="Q49" s="22"/>
      <c r="R49" s="22"/>
      <c r="S49" s="22">
        <f t="shared" si="20"/>
        <v>1552.5983241182075</v>
      </c>
      <c r="T49" s="22">
        <f t="shared" si="21"/>
        <v>286.07925339614934</v>
      </c>
    </row>
    <row r="50" spans="1:20" x14ac:dyDescent="0.2">
      <c r="A50" s="5">
        <v>59</v>
      </c>
      <c r="B50" s="1">
        <f t="shared" si="13"/>
        <v>2.8915200750886707</v>
      </c>
      <c r="C50" s="5">
        <f t="shared" si="14"/>
        <v>43146.922860086612</v>
      </c>
      <c r="D50" s="5">
        <f t="shared" si="15"/>
        <v>40392.230574077948</v>
      </c>
      <c r="E50" s="5">
        <f t="shared" si="1"/>
        <v>30892.230574077948</v>
      </c>
      <c r="F50" s="5">
        <f t="shared" si="2"/>
        <v>10388.063282436451</v>
      </c>
      <c r="G50" s="5">
        <f t="shared" si="3"/>
        <v>30004.167291641497</v>
      </c>
      <c r="H50" s="22">
        <f t="shared" si="16"/>
        <v>19847.910790792943</v>
      </c>
      <c r="I50" s="5">
        <f t="shared" si="17"/>
        <v>47867.287003355144</v>
      </c>
      <c r="J50" s="25">
        <f t="shared" si="19"/>
        <v>0.15571053424902903</v>
      </c>
      <c r="L50" s="22">
        <f t="shared" si="18"/>
        <v>56695.350285791603</v>
      </c>
      <c r="M50" s="5">
        <f>scrimecost*Meta!O47</f>
        <v>4591.2599999999993</v>
      </c>
      <c r="N50" s="5">
        <f>L50-Grade9!L50</f>
        <v>2947.5999066818185</v>
      </c>
      <c r="O50" s="5">
        <f>Grade9!M50-M50</f>
        <v>95.565000000000509</v>
      </c>
      <c r="P50" s="22">
        <f t="shared" si="22"/>
        <v>107.67444297705525</v>
      </c>
      <c r="Q50" s="22"/>
      <c r="R50" s="22"/>
      <c r="S50" s="22">
        <f t="shared" si="20"/>
        <v>1588.900262280172</v>
      </c>
      <c r="T50" s="22">
        <f t="shared" si="21"/>
        <v>281.47563022359685</v>
      </c>
    </row>
    <row r="51" spans="1:20" x14ac:dyDescent="0.2">
      <c r="A51" s="5">
        <v>60</v>
      </c>
      <c r="B51" s="1">
        <f t="shared" si="13"/>
        <v>2.9638080769658868</v>
      </c>
      <c r="C51" s="5">
        <f t="shared" si="14"/>
        <v>44225.595931588767</v>
      </c>
      <c r="D51" s="5">
        <f t="shared" si="15"/>
        <v>41363.036338429891</v>
      </c>
      <c r="E51" s="5">
        <f t="shared" si="1"/>
        <v>31863.036338429891</v>
      </c>
      <c r="F51" s="5">
        <f t="shared" si="2"/>
        <v>10705.031364497359</v>
      </c>
      <c r="G51" s="5">
        <f t="shared" si="3"/>
        <v>30658.004973932533</v>
      </c>
      <c r="H51" s="22">
        <f t="shared" si="16"/>
        <v>20344.108560562763</v>
      </c>
      <c r="I51" s="5">
        <f t="shared" si="17"/>
        <v>48967.702678439018</v>
      </c>
      <c r="J51" s="25">
        <f t="shared" si="19"/>
        <v>0.15736708167508667</v>
      </c>
      <c r="L51" s="22">
        <f t="shared" si="18"/>
        <v>58112.734042936376</v>
      </c>
      <c r="M51" s="5">
        <f>scrimecost*Meta!O48</f>
        <v>2422.056</v>
      </c>
      <c r="N51" s="5">
        <f>L51-Grade9!L51</f>
        <v>3021.2899043488433</v>
      </c>
      <c r="O51" s="5">
        <f>Grade9!M51-M51</f>
        <v>50.41399999999976</v>
      </c>
      <c r="P51" s="22">
        <f t="shared" si="22"/>
        <v>109.89321955148161</v>
      </c>
      <c r="Q51" s="22"/>
      <c r="R51" s="22"/>
      <c r="S51" s="22">
        <f t="shared" si="20"/>
        <v>1586.4671708961657</v>
      </c>
      <c r="T51" s="22">
        <f t="shared" si="21"/>
        <v>270.20424387784834</v>
      </c>
    </row>
    <row r="52" spans="1:20" x14ac:dyDescent="0.2">
      <c r="A52" s="5">
        <v>61</v>
      </c>
      <c r="B52" s="1">
        <f t="shared" si="13"/>
        <v>3.0379032788900342</v>
      </c>
      <c r="C52" s="5">
        <f t="shared" si="14"/>
        <v>45331.235829878489</v>
      </c>
      <c r="D52" s="5">
        <f t="shared" si="15"/>
        <v>42358.11224689064</v>
      </c>
      <c r="E52" s="5">
        <f t="shared" si="1"/>
        <v>32858.11224689064</v>
      </c>
      <c r="F52" s="5">
        <f t="shared" si="2"/>
        <v>11029.923648609794</v>
      </c>
      <c r="G52" s="5">
        <f t="shared" si="3"/>
        <v>31328.188598280845</v>
      </c>
      <c r="H52" s="22">
        <f t="shared" si="16"/>
        <v>20852.711274576832</v>
      </c>
      <c r="I52" s="5">
        <f t="shared" si="17"/>
        <v>50095.628745399998</v>
      </c>
      <c r="J52" s="25">
        <f t="shared" si="19"/>
        <v>0.15898322550538685</v>
      </c>
      <c r="L52" s="22">
        <f t="shared" si="18"/>
        <v>59565.552394009785</v>
      </c>
      <c r="M52" s="5">
        <f>scrimecost*Meta!O49</f>
        <v>2422.056</v>
      </c>
      <c r="N52" s="5">
        <f>L52-Grade9!L52</f>
        <v>3096.8221519575745</v>
      </c>
      <c r="O52" s="5">
        <f>Grade9!M52-M52</f>
        <v>50.41399999999976</v>
      </c>
      <c r="P52" s="22">
        <f t="shared" si="22"/>
        <v>112.16746554026865</v>
      </c>
      <c r="Q52" s="22"/>
      <c r="R52" s="22"/>
      <c r="S52" s="22">
        <f t="shared" si="20"/>
        <v>1624.6068946775747</v>
      </c>
      <c r="T52" s="22">
        <f t="shared" si="21"/>
        <v>266.02734557896463</v>
      </c>
    </row>
    <row r="53" spans="1:20" x14ac:dyDescent="0.2">
      <c r="A53" s="5">
        <v>62</v>
      </c>
      <c r="B53" s="1">
        <f t="shared" si="13"/>
        <v>3.1138508608622844</v>
      </c>
      <c r="C53" s="5">
        <f t="shared" si="14"/>
        <v>46464.516725625435</v>
      </c>
      <c r="D53" s="5">
        <f t="shared" si="15"/>
        <v>43378.065053062892</v>
      </c>
      <c r="E53" s="5">
        <f t="shared" si="1"/>
        <v>33878.065053062892</v>
      </c>
      <c r="F53" s="5">
        <f t="shared" si="2"/>
        <v>11362.938239825035</v>
      </c>
      <c r="G53" s="5">
        <f t="shared" si="3"/>
        <v>32015.126813237857</v>
      </c>
      <c r="H53" s="22">
        <f t="shared" si="16"/>
        <v>21374.029056441246</v>
      </c>
      <c r="I53" s="5">
        <f t="shared" si="17"/>
        <v>51251.752964034982</v>
      </c>
      <c r="J53" s="25">
        <f t="shared" si="19"/>
        <v>0.16055995119348457</v>
      </c>
      <c r="L53" s="22">
        <f t="shared" si="18"/>
        <v>61054.69120386002</v>
      </c>
      <c r="M53" s="5">
        <f>scrimecost*Meta!O50</f>
        <v>2422.056</v>
      </c>
      <c r="N53" s="5">
        <f>L53-Grade9!L53</f>
        <v>3174.2427057564928</v>
      </c>
      <c r="O53" s="5">
        <f>Grade9!M53-M53</f>
        <v>50.41399999999976</v>
      </c>
      <c r="P53" s="22">
        <f t="shared" si="22"/>
        <v>114.49856767877536</v>
      </c>
      <c r="Q53" s="22"/>
      <c r="R53" s="22"/>
      <c r="S53" s="22">
        <f t="shared" si="20"/>
        <v>1663.7001115535038</v>
      </c>
      <c r="T53" s="22">
        <f t="shared" si="21"/>
        <v>261.92077530379993</v>
      </c>
    </row>
    <row r="54" spans="1:20" x14ac:dyDescent="0.2">
      <c r="A54" s="5">
        <v>63</v>
      </c>
      <c r="B54" s="1">
        <f t="shared" si="13"/>
        <v>3.1916971323838421</v>
      </c>
      <c r="C54" s="5">
        <f t="shared" si="14"/>
        <v>47626.129643766086</v>
      </c>
      <c r="D54" s="5">
        <f t="shared" si="15"/>
        <v>44423.516679389475</v>
      </c>
      <c r="E54" s="5">
        <f t="shared" si="1"/>
        <v>34923.516679389475</v>
      </c>
      <c r="F54" s="5">
        <f t="shared" si="2"/>
        <v>11746.62986375961</v>
      </c>
      <c r="G54" s="5">
        <f t="shared" si="3"/>
        <v>32676.886815629863</v>
      </c>
      <c r="H54" s="22">
        <f t="shared" si="16"/>
        <v>21908.379782852284</v>
      </c>
      <c r="I54" s="5">
        <f t="shared" si="17"/>
        <v>52394.428620196923</v>
      </c>
      <c r="J54" s="25">
        <f t="shared" si="19"/>
        <v>0.16277496914455489</v>
      </c>
      <c r="L54" s="22">
        <f t="shared" si="18"/>
        <v>62581.058483956534</v>
      </c>
      <c r="M54" s="5">
        <f>scrimecost*Meta!O51</f>
        <v>2422.056</v>
      </c>
      <c r="N54" s="5">
        <f>L54-Grade9!L54</f>
        <v>3253.5987734004302</v>
      </c>
      <c r="O54" s="5">
        <f>Grade9!M54-M54</f>
        <v>50.41399999999976</v>
      </c>
      <c r="P54" s="22">
        <f t="shared" si="22"/>
        <v>117.18440904631738</v>
      </c>
      <c r="Q54" s="22"/>
      <c r="R54" s="22"/>
      <c r="S54" s="22">
        <f t="shared" si="20"/>
        <v>1704.0309522025063</v>
      </c>
      <c r="T54" s="22">
        <f t="shared" si="21"/>
        <v>257.92253805071016</v>
      </c>
    </row>
    <row r="55" spans="1:20" x14ac:dyDescent="0.2">
      <c r="A55" s="5">
        <v>64</v>
      </c>
      <c r="B55" s="1">
        <f t="shared" si="13"/>
        <v>3.2714895606934378</v>
      </c>
      <c r="C55" s="5">
        <f t="shared" si="14"/>
        <v>48816.782884860229</v>
      </c>
      <c r="D55" s="5">
        <f t="shared" si="15"/>
        <v>45495.104596374207</v>
      </c>
      <c r="E55" s="5">
        <f t="shared" si="1"/>
        <v>35995.104596374207</v>
      </c>
      <c r="F55" s="5">
        <f t="shared" si="2"/>
        <v>12203.662110353598</v>
      </c>
      <c r="G55" s="5">
        <f t="shared" si="3"/>
        <v>33291.442486020605</v>
      </c>
      <c r="H55" s="22">
        <f t="shared" si="16"/>
        <v>22456.089277423587</v>
      </c>
      <c r="I55" s="5">
        <f t="shared" si="17"/>
        <v>53501.922835701829</v>
      </c>
      <c r="J55" s="25">
        <f t="shared" si="19"/>
        <v>0.16592976927881486</v>
      </c>
      <c r="L55" s="22">
        <f t="shared" si="18"/>
        <v>64145.584946055445</v>
      </c>
      <c r="M55" s="5">
        <f>scrimecost*Meta!O52</f>
        <v>2422.056</v>
      </c>
      <c r="N55" s="5">
        <f>L55-Grade9!L55</f>
        <v>3334.938742735445</v>
      </c>
      <c r="O55" s="5">
        <f>Grade9!M55-M55</f>
        <v>50.41399999999976</v>
      </c>
      <c r="P55" s="22">
        <f t="shared" si="22"/>
        <v>120.38363477247532</v>
      </c>
      <c r="Q55" s="22"/>
      <c r="R55" s="22"/>
      <c r="S55" s="22">
        <f t="shared" si="20"/>
        <v>1745.761861116571</v>
      </c>
      <c r="T55" s="22">
        <f t="shared" si="21"/>
        <v>254.04680003021417</v>
      </c>
    </row>
    <row r="56" spans="1:20" x14ac:dyDescent="0.2">
      <c r="A56" s="5">
        <v>65</v>
      </c>
      <c r="B56" s="1">
        <f t="shared" si="13"/>
        <v>3.3532767997107733</v>
      </c>
      <c r="C56" s="5">
        <f t="shared" si="14"/>
        <v>50037.202456981729</v>
      </c>
      <c r="D56" s="5">
        <f t="shared" si="15"/>
        <v>46593.482211283561</v>
      </c>
      <c r="E56" s="5">
        <f t="shared" si="1"/>
        <v>37093.482211283561</v>
      </c>
      <c r="F56" s="5">
        <f t="shared" si="2"/>
        <v>12672.12016311244</v>
      </c>
      <c r="G56" s="5">
        <f t="shared" si="3"/>
        <v>33921.362048171119</v>
      </c>
      <c r="H56" s="22">
        <f t="shared" si="16"/>
        <v>23017.491509359177</v>
      </c>
      <c r="I56" s="5">
        <f t="shared" si="17"/>
        <v>54637.104406594379</v>
      </c>
      <c r="J56" s="25">
        <f t="shared" si="19"/>
        <v>0.1690076230683368</v>
      </c>
      <c r="L56" s="22">
        <f t="shared" si="18"/>
        <v>65749.224569706814</v>
      </c>
      <c r="M56" s="5">
        <f>scrimecost*Meta!O53</f>
        <v>731.94</v>
      </c>
      <c r="N56" s="5">
        <f>L56-Grade9!L56</f>
        <v>3418.3122113038116</v>
      </c>
      <c r="O56" s="5">
        <f>Grade9!M56-M56</f>
        <v>15.2349999999999</v>
      </c>
      <c r="P56" s="22">
        <f t="shared" si="22"/>
        <v>123.66284114178718</v>
      </c>
      <c r="Q56" s="22"/>
      <c r="R56" s="22"/>
      <c r="S56" s="22">
        <f t="shared" si="20"/>
        <v>1757.6488807534759</v>
      </c>
      <c r="T56" s="22">
        <f t="shared" si="21"/>
        <v>245.91089035914467</v>
      </c>
    </row>
    <row r="57" spans="1:20" x14ac:dyDescent="0.2">
      <c r="A57" s="5">
        <v>66</v>
      </c>
      <c r="C57" s="5"/>
      <c r="H57" s="21"/>
      <c r="I57" s="5"/>
      <c r="M57" s="5">
        <f>scrimecost*Meta!O54</f>
        <v>731.94</v>
      </c>
      <c r="N57" s="5">
        <f>L57-Grade9!L57</f>
        <v>0</v>
      </c>
      <c r="O57" s="5">
        <f>Grade9!M57-M57</f>
        <v>15.2349999999999</v>
      </c>
      <c r="Q57" s="22"/>
      <c r="R57" s="22"/>
      <c r="S57" s="22">
        <f t="shared" si="20"/>
        <v>13.376329999999912</v>
      </c>
      <c r="T57" s="22">
        <f t="shared" si="21"/>
        <v>1.7992832108693575</v>
      </c>
    </row>
    <row r="58" spans="1:20" x14ac:dyDescent="0.2">
      <c r="A58" s="5">
        <v>67</v>
      </c>
      <c r="C58" s="5"/>
      <c r="H58" s="21"/>
      <c r="I58" s="5"/>
      <c r="M58" s="5">
        <f>scrimecost*Meta!O55</f>
        <v>731.94</v>
      </c>
      <c r="N58" s="5">
        <f>L58-Grade9!L58</f>
        <v>0</v>
      </c>
      <c r="O58" s="5">
        <f>Grade9!M58-M58</f>
        <v>15.2349999999999</v>
      </c>
      <c r="Q58" s="22"/>
      <c r="R58" s="22"/>
      <c r="S58" s="22">
        <f t="shared" si="20"/>
        <v>13.376329999999912</v>
      </c>
      <c r="T58" s="22">
        <f t="shared" si="21"/>
        <v>1.7298818432779983</v>
      </c>
    </row>
    <row r="59" spans="1:20" x14ac:dyDescent="0.2">
      <c r="A59" s="5">
        <v>68</v>
      </c>
      <c r="H59" s="21"/>
      <c r="I59" s="5"/>
      <c r="M59" s="5">
        <f>scrimecost*Meta!O56</f>
        <v>731.94</v>
      </c>
      <c r="N59" s="5">
        <f>L59-Grade9!L59</f>
        <v>0</v>
      </c>
      <c r="O59" s="5">
        <f>Grade9!M59-M59</f>
        <v>15.2349999999999</v>
      </c>
      <c r="Q59" s="22"/>
      <c r="R59" s="22"/>
      <c r="S59" s="22">
        <f t="shared" si="20"/>
        <v>13.376329999999912</v>
      </c>
      <c r="T59" s="22">
        <f t="shared" si="21"/>
        <v>1.663157402695381</v>
      </c>
    </row>
    <row r="60" spans="1:20" x14ac:dyDescent="0.2">
      <c r="A60" s="5">
        <v>69</v>
      </c>
      <c r="H60" s="21"/>
      <c r="I60" s="5"/>
      <c r="M60" s="5">
        <f>scrimecost*Meta!O57</f>
        <v>731.94</v>
      </c>
      <c r="N60" s="5">
        <f>L60-Grade9!L60</f>
        <v>0</v>
      </c>
      <c r="O60" s="5">
        <f>Grade9!M60-M60</f>
        <v>15.2349999999999</v>
      </c>
      <c r="Q60" s="22"/>
      <c r="R60" s="22"/>
      <c r="S60" s="22">
        <f t="shared" si="20"/>
        <v>13.376329999999912</v>
      </c>
      <c r="T60" s="22">
        <f t="shared" si="21"/>
        <v>1.5990066355624057</v>
      </c>
    </row>
    <row r="61" spans="1:20" x14ac:dyDescent="0.2">
      <c r="A61" s="5">
        <v>70</v>
      </c>
      <c r="H61" s="21"/>
      <c r="I61" s="5"/>
      <c r="M61" s="5">
        <f>scrimecost*Meta!O58</f>
        <v>731.94</v>
      </c>
      <c r="N61" s="5">
        <f>L61-Grade9!L61</f>
        <v>0</v>
      </c>
      <c r="O61" s="5">
        <f>Grade9!M61-M61</f>
        <v>15.2349999999999</v>
      </c>
      <c r="Q61" s="22"/>
      <c r="R61" s="22"/>
      <c r="S61" s="22">
        <f t="shared" si="20"/>
        <v>13.376329999999912</v>
      </c>
      <c r="T61" s="22">
        <f t="shared" si="21"/>
        <v>1.5373302709827183</v>
      </c>
    </row>
    <row r="62" spans="1:20" x14ac:dyDescent="0.2">
      <c r="A62" s="5">
        <v>71</v>
      </c>
      <c r="H62" s="21"/>
      <c r="I62" s="5"/>
      <c r="M62" s="5">
        <f>scrimecost*Meta!O59</f>
        <v>731.94</v>
      </c>
      <c r="N62" s="5">
        <f>L62-Grade9!L62</f>
        <v>0</v>
      </c>
      <c r="O62" s="5">
        <f>Grade9!M62-M62</f>
        <v>15.2349999999999</v>
      </c>
      <c r="Q62" s="22"/>
      <c r="R62" s="22"/>
      <c r="S62" s="22">
        <f t="shared" si="20"/>
        <v>13.376329999999912</v>
      </c>
      <c r="T62" s="22">
        <f t="shared" si="21"/>
        <v>1.4780328671047347</v>
      </c>
    </row>
    <row r="63" spans="1:20" x14ac:dyDescent="0.2">
      <c r="A63" s="5">
        <v>72</v>
      </c>
      <c r="H63" s="21"/>
      <c r="M63" s="5">
        <f>scrimecost*Meta!O60</f>
        <v>731.94</v>
      </c>
      <c r="N63" s="5">
        <f>L63-Grade9!L63</f>
        <v>0</v>
      </c>
      <c r="O63" s="5">
        <f>Grade9!M63-M63</f>
        <v>15.2349999999999</v>
      </c>
      <c r="Q63" s="22"/>
      <c r="R63" s="22"/>
      <c r="S63" s="22">
        <f t="shared" si="20"/>
        <v>13.376329999999912</v>
      </c>
      <c r="T63" s="22">
        <f t="shared" si="21"/>
        <v>1.42102266342897</v>
      </c>
    </row>
    <row r="64" spans="1:20" x14ac:dyDescent="0.2">
      <c r="A64" s="5">
        <v>73</v>
      </c>
      <c r="H64" s="21"/>
      <c r="M64" s="5">
        <f>scrimecost*Meta!O61</f>
        <v>731.94</v>
      </c>
      <c r="N64" s="5">
        <f>L64-Grade9!L64</f>
        <v>0</v>
      </c>
      <c r="O64" s="5">
        <f>Grade9!M64-M64</f>
        <v>15.2349999999999</v>
      </c>
      <c r="Q64" s="22"/>
      <c r="R64" s="22"/>
      <c r="S64" s="22">
        <f t="shared" si="20"/>
        <v>13.376329999999912</v>
      </c>
      <c r="T64" s="22">
        <f t="shared" si="21"/>
        <v>1.3662114388121209</v>
      </c>
    </row>
    <row r="65" spans="1:20" x14ac:dyDescent="0.2">
      <c r="A65" s="5">
        <v>74</v>
      </c>
      <c r="H65" s="21"/>
      <c r="M65" s="5">
        <f>scrimecost*Meta!O62</f>
        <v>731.94</v>
      </c>
      <c r="N65" s="5">
        <f>L65-Grade9!L65</f>
        <v>0</v>
      </c>
      <c r="O65" s="5">
        <f>Grade9!M65-M65</f>
        <v>15.2349999999999</v>
      </c>
      <c r="Q65" s="22"/>
      <c r="R65" s="22"/>
      <c r="S65" s="22">
        <f t="shared" si="20"/>
        <v>13.376329999999912</v>
      </c>
      <c r="T65" s="22">
        <f t="shared" si="21"/>
        <v>1.3135143749481688</v>
      </c>
    </row>
    <row r="66" spans="1:20" x14ac:dyDescent="0.2">
      <c r="A66" s="5">
        <v>75</v>
      </c>
      <c r="H66" s="21"/>
      <c r="M66" s="5">
        <f>scrimecost*Meta!O63</f>
        <v>731.94</v>
      </c>
      <c r="N66" s="5">
        <f>L66-Grade9!L66</f>
        <v>0</v>
      </c>
      <c r="O66" s="5">
        <f>Grade9!M66-M66</f>
        <v>15.2349999999999</v>
      </c>
      <c r="Q66" s="22"/>
      <c r="R66" s="22"/>
      <c r="S66" s="22">
        <f t="shared" si="20"/>
        <v>13.376329999999912</v>
      </c>
      <c r="T66" s="22">
        <f t="shared" si="21"/>
        <v>1.2628499251152452</v>
      </c>
    </row>
    <row r="67" spans="1:20" x14ac:dyDescent="0.2">
      <c r="A67" s="5">
        <v>76</v>
      </c>
      <c r="H67" s="21"/>
      <c r="M67" s="5">
        <f>scrimecost*Meta!O64</f>
        <v>731.94</v>
      </c>
      <c r="N67" s="5">
        <f>L67-Grade9!L67</f>
        <v>0</v>
      </c>
      <c r="O67" s="5">
        <f>Grade9!M67-M67</f>
        <v>15.2349999999999</v>
      </c>
      <c r="Q67" s="22"/>
      <c r="R67" s="22"/>
      <c r="S67" s="22">
        <f t="shared" si="20"/>
        <v>13.376329999999912</v>
      </c>
      <c r="T67" s="22">
        <f t="shared" si="21"/>
        <v>1.2141396879851516</v>
      </c>
    </row>
    <row r="68" spans="1:20" x14ac:dyDescent="0.2">
      <c r="A68" s="5">
        <v>77</v>
      </c>
      <c r="H68" s="21"/>
      <c r="M68" s="5">
        <f>scrimecost*Meta!O65</f>
        <v>731.94</v>
      </c>
      <c r="N68" s="5">
        <f>L68-Grade9!L68</f>
        <v>0</v>
      </c>
      <c r="O68" s="5">
        <f>Grade9!M68-M68</f>
        <v>15.2349999999999</v>
      </c>
      <c r="Q68" s="22"/>
      <c r="R68" s="22"/>
      <c r="S68" s="22">
        <f t="shared" si="20"/>
        <v>13.376329999999912</v>
      </c>
      <c r="T68" s="22">
        <f t="shared" si="21"/>
        <v>1.1673082863002535</v>
      </c>
    </row>
    <row r="69" spans="1:20" x14ac:dyDescent="0.2">
      <c r="A69" s="5">
        <v>78</v>
      </c>
      <c r="H69" s="21"/>
      <c r="M69" s="5">
        <f>scrimecost*Meta!O66</f>
        <v>731.94</v>
      </c>
      <c r="N69" s="5">
        <f>L69-Grade9!L69</f>
        <v>0</v>
      </c>
      <c r="O69" s="5">
        <f>Grade9!M69-M69</f>
        <v>15.2349999999999</v>
      </c>
      <c r="Q69" s="22"/>
      <c r="R69" s="22"/>
      <c r="S69" s="22">
        <f t="shared" si="20"/>
        <v>13.376329999999912</v>
      </c>
      <c r="T69" s="22">
        <f t="shared" si="21"/>
        <v>1.1222832502300173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9.643328358066583E-10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8" sqref="P8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Meta!A5+6</f>
        <v>17</v>
      </c>
      <c r="C2" s="7">
        <f>Meta!B5</f>
        <v>30765</v>
      </c>
      <c r="D2" s="7">
        <f>Meta!C5</f>
        <v>14152</v>
      </c>
      <c r="E2" s="1">
        <f>Meta!D5</f>
        <v>9.5000000000000001E-2</v>
      </c>
      <c r="F2" s="1">
        <f>Meta!F5</f>
        <v>0.55900000000000005</v>
      </c>
      <c r="G2" s="1">
        <f>Meta!I5</f>
        <v>1.9210422854781857</v>
      </c>
      <c r="H2" s="1">
        <f>Meta!E5</f>
        <v>0.878</v>
      </c>
      <c r="I2" s="13"/>
      <c r="J2" s="1">
        <f>Meta!X4</f>
        <v>0.54500000000000004</v>
      </c>
      <c r="K2" s="1">
        <f>Meta!D4</f>
        <v>0.1</v>
      </c>
      <c r="L2" s="28"/>
      <c r="N2" s="22">
        <f>Meta!T5</f>
        <v>30923</v>
      </c>
      <c r="O2" s="22">
        <f>Meta!U5</f>
        <v>14225</v>
      </c>
      <c r="P2" s="1">
        <f>Meta!V5</f>
        <v>9.8000000000000004E-2</v>
      </c>
      <c r="Q2" s="1">
        <f>Meta!X5</f>
        <v>0.55100000000000005</v>
      </c>
      <c r="R2" s="22">
        <f>Meta!W5</f>
        <v>13037</v>
      </c>
      <c r="T2" s="12">
        <f>IRR(S5:S69)+1</f>
        <v>1.0390263415293439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B7" s="1">
        <v>1</v>
      </c>
      <c r="C7" s="5">
        <f>0.1*Grade10!C7</f>
        <v>1492.1882518406337</v>
      </c>
      <c r="D7" s="5">
        <f t="shared" ref="D7:D36" si="0">IF(A7&lt;startage,1,0)*(C7*(1-initialunempprob))+IF(A7=startage,1,0)*(C7*(1-unempprob))+IF(A7&gt;startage,1,0)*(C7*(1-unempprob)+unempprob*300*52)</f>
        <v>1342.9694266565705</v>
      </c>
      <c r="E7" s="5">
        <f t="shared" ref="E7:E56" si="1">IF(D7-9500&gt;0,1,0)*(D7-9500)</f>
        <v>0</v>
      </c>
      <c r="F7" s="5">
        <f t="shared" ref="F7:F56" si="2">IF(E7&lt;=8500,1,0)*(0.1*E7+0.1*E7+0.0765*D7)+IF(AND(E7&gt;8500,E7&lt;=34500),1,0)*(850+0.15*(E7-8500)+0.1*E7+0.0765*D7)+IF(AND(E7&gt;34500,E7&lt;=83600),1,0)*(4750+0.25*(E7-34500)+0.1*E7+0.0765*D7)+IF(AND(E7&gt;83600,E7&lt;=174400,D7&lt;=106800),1,0)*(17025+0.28*(E7-83600)+0.1*E7+0.0765*D7)+IF(AND(E7&gt;83600,E7&lt;=174400,D7&gt;106800),1,0)*(17025+0.28*(E7-83600)+0.1*E7+8170.2+0.0145*(D7-106800))+IF(AND(E7&gt;174400,E7&lt;=379150),1,0)*(42449+0.33*(E7-174400)+0.1*E7+8170.2+0.0145*(D7-106800))+IF(E7&gt;379150,1,0)*(110016.5+0.35*(E7-379150)+0.1*E7+8170.2+0.0145*(D7-106800))</f>
        <v>102.73716113922764</v>
      </c>
      <c r="G7" s="5">
        <f t="shared" ref="G7:G56" si="3">D7-F7</f>
        <v>1240.2322655173427</v>
      </c>
      <c r="H7" s="22">
        <f>0.1*Grade10!H7</f>
        <v>686.41787970931841</v>
      </c>
      <c r="I7" s="5">
        <f t="shared" ref="I7:I36" si="4">G7+IF(A7&lt;startage,1,0)*(H7*(1-initialunempprob))+IF(A7&gt;=startage,1,0)*(H7*(1-unempprob))</f>
        <v>1858.0083572557294</v>
      </c>
      <c r="J7" s="25">
        <f t="shared" ref="J7:J38" si="5">(F7-(IF(A7&gt;startage,1,0)*(unempprob*300*52)))/(IF(A7&lt;startage,1,0)*((C7+H7)*(1-initialunempprob))+IF(A7&gt;=startage,1,0)*((C7+H7)*(1-unempprob)))</f>
        <v>5.2396988887842555E-2</v>
      </c>
      <c r="L7" s="22">
        <f>0.1*Grade10!L7</f>
        <v>1960.7455183949569</v>
      </c>
      <c r="M7" s="5">
        <f>scrimecost*Meta!O4</f>
        <v>30610.875999999997</v>
      </c>
      <c r="N7" s="5">
        <f>L7-Grade10!L7</f>
        <v>-17646.709665554612</v>
      </c>
      <c r="O7" s="5"/>
      <c r="P7" s="22"/>
      <c r="Q7" s="22">
        <f>0.05*feel*Grade10!G7</f>
        <v>162.62937322604401</v>
      </c>
      <c r="R7" s="22">
        <f>hstuition</f>
        <v>11298</v>
      </c>
      <c r="S7" s="22">
        <f t="shared" ref="S7:S38" si="6">IF(A7&lt;startage,1,0)*(N7-Q7-R7)+IF(A7&gt;=startage,1,0)*completionprob*(N7*spart+O7+P7)</f>
        <v>-29107.339038780658</v>
      </c>
      <c r="T7" s="22">
        <f t="shared" ref="T7:T38" si="7">S7/sreturn^(A7-startage+1)</f>
        <v>-29107.339038780658</v>
      </c>
    </row>
    <row r="8" spans="1:20" x14ac:dyDescent="0.2">
      <c r="A8" s="5">
        <v>17</v>
      </c>
      <c r="B8" s="1">
        <f t="shared" ref="B8:B36" si="8">(1+experiencepremium)^(A8-startage)</f>
        <v>1</v>
      </c>
      <c r="C8" s="5">
        <f t="shared" ref="C8:C36" si="9">pretaxincome*B8/expnorm</f>
        <v>16014.743783915188</v>
      </c>
      <c r="D8" s="5">
        <f t="shared" si="0"/>
        <v>14493.343124443245</v>
      </c>
      <c r="E8" s="5">
        <f t="shared" si="1"/>
        <v>4993.343124443245</v>
      </c>
      <c r="F8" s="5">
        <f t="shared" si="2"/>
        <v>2107.4093739085574</v>
      </c>
      <c r="G8" s="5">
        <f t="shared" si="3"/>
        <v>12385.933750534688</v>
      </c>
      <c r="H8" s="22">
        <f t="shared" ref="H8:H36" si="10">benefits*B8/expnorm</f>
        <v>7366.8341956758568</v>
      </c>
      <c r="I8" s="5">
        <f t="shared" si="4"/>
        <v>19052.918697621339</v>
      </c>
      <c r="J8" s="25">
        <f t="shared" si="5"/>
        <v>9.9592471666068605E-2</v>
      </c>
      <c r="L8" s="22">
        <f t="shared" ref="L8:L36" si="11">(sincome+sbenefits)*(1-sunemp)*B8/expnorm</f>
        <v>21198.646332692831</v>
      </c>
      <c r="M8" s="5">
        <f>scrimecost*Meta!O5</f>
        <v>35356.344000000005</v>
      </c>
      <c r="N8" s="5">
        <f>L8-Grade10!L8</f>
        <v>1101.0047691445252</v>
      </c>
      <c r="O8" s="5">
        <f>Grade10!M8-M8</f>
        <v>734.9519999999975</v>
      </c>
      <c r="P8" s="22">
        <f t="shared" ref="P8:P39" si="12">(spart-initialspart)*(L8*J8+nptrans)</f>
        <v>51.991353505486373</v>
      </c>
      <c r="Q8" s="22"/>
      <c r="R8" s="22"/>
      <c r="S8" s="22">
        <f t="shared" si="6"/>
        <v>1223.5781495850149</v>
      </c>
      <c r="T8" s="22">
        <f t="shared" si="7"/>
        <v>1177.6199511785514</v>
      </c>
    </row>
    <row r="9" spans="1:20" x14ac:dyDescent="0.2">
      <c r="A9" s="5">
        <v>18</v>
      </c>
      <c r="B9" s="1">
        <f t="shared" si="8"/>
        <v>1.0249999999999999</v>
      </c>
      <c r="C9" s="5">
        <f t="shared" si="9"/>
        <v>16415.112378513066</v>
      </c>
      <c r="D9" s="5">
        <f t="shared" si="0"/>
        <v>16337.676702554325</v>
      </c>
      <c r="E9" s="5">
        <f t="shared" si="1"/>
        <v>6837.6767025543249</v>
      </c>
      <c r="F9" s="5">
        <f t="shared" si="2"/>
        <v>2617.3676082562711</v>
      </c>
      <c r="G9" s="5">
        <f t="shared" si="3"/>
        <v>13720.309094298054</v>
      </c>
      <c r="H9" s="22">
        <f t="shared" si="10"/>
        <v>7551.0050505677527</v>
      </c>
      <c r="I9" s="5">
        <f t="shared" si="4"/>
        <v>20553.968665061871</v>
      </c>
      <c r="J9" s="25">
        <f t="shared" si="5"/>
        <v>5.2346811997791801E-2</v>
      </c>
      <c r="L9" s="22">
        <f t="shared" si="11"/>
        <v>21728.612491010153</v>
      </c>
      <c r="M9" s="5">
        <f>scrimecost*Meta!O6</f>
        <v>42969.951999999997</v>
      </c>
      <c r="N9" s="5">
        <f>L9-Grade10!L9</f>
        <v>1128.5298883731411</v>
      </c>
      <c r="O9" s="5">
        <f>Grade10!M9-M9</f>
        <v>893.21600000000035</v>
      </c>
      <c r="P9" s="22">
        <f t="shared" si="12"/>
        <v>46.148541558238712</v>
      </c>
      <c r="Q9" s="22"/>
      <c r="R9" s="22"/>
      <c r="S9" s="22">
        <f t="shared" si="6"/>
        <v>1370.7199998255155</v>
      </c>
      <c r="T9" s="22">
        <f t="shared" si="7"/>
        <v>1269.6839610969344</v>
      </c>
    </row>
    <row r="10" spans="1:20" x14ac:dyDescent="0.2">
      <c r="A10" s="5">
        <v>19</v>
      </c>
      <c r="B10" s="1">
        <f t="shared" si="8"/>
        <v>1.0506249999999999</v>
      </c>
      <c r="C10" s="5">
        <f t="shared" si="9"/>
        <v>16825.490187975895</v>
      </c>
      <c r="D10" s="5">
        <f t="shared" si="0"/>
        <v>16709.068620118185</v>
      </c>
      <c r="E10" s="5">
        <f t="shared" si="1"/>
        <v>7209.0686201181852</v>
      </c>
      <c r="F10" s="5">
        <f t="shared" si="2"/>
        <v>2720.057473462678</v>
      </c>
      <c r="G10" s="5">
        <f t="shared" si="3"/>
        <v>13989.011146655506</v>
      </c>
      <c r="H10" s="22">
        <f t="shared" si="10"/>
        <v>7739.7801768319468</v>
      </c>
      <c r="I10" s="5">
        <f t="shared" si="4"/>
        <v>20993.512206688418</v>
      </c>
      <c r="J10" s="25">
        <f t="shared" si="5"/>
        <v>5.5689161461596963E-2</v>
      </c>
      <c r="L10" s="22">
        <f t="shared" si="11"/>
        <v>22271.827803285407</v>
      </c>
      <c r="M10" s="5">
        <f>scrimecost*Meta!O7</f>
        <v>45929.351000000002</v>
      </c>
      <c r="N10" s="5">
        <f>L10-Grade10!L10</f>
        <v>1156.7431355824701</v>
      </c>
      <c r="O10" s="5">
        <f>Grade10!M10-M10</f>
        <v>954.73300000000017</v>
      </c>
      <c r="P10" s="22">
        <f t="shared" si="12"/>
        <v>46.765796487492317</v>
      </c>
      <c r="Q10" s="22"/>
      <c r="R10" s="22"/>
      <c r="S10" s="22">
        <f t="shared" si="6"/>
        <v>1438.9228239618349</v>
      </c>
      <c r="T10" s="22">
        <f t="shared" si="7"/>
        <v>1282.7966803924205</v>
      </c>
    </row>
    <row r="11" spans="1:20" x14ac:dyDescent="0.2">
      <c r="A11" s="5">
        <v>20</v>
      </c>
      <c r="B11" s="1">
        <f t="shared" si="8"/>
        <v>1.0768906249999999</v>
      </c>
      <c r="C11" s="5">
        <f t="shared" si="9"/>
        <v>17246.12744267529</v>
      </c>
      <c r="D11" s="5">
        <f t="shared" si="0"/>
        <v>17089.745335621137</v>
      </c>
      <c r="E11" s="5">
        <f t="shared" si="1"/>
        <v>7589.7453356211372</v>
      </c>
      <c r="F11" s="5">
        <f t="shared" si="2"/>
        <v>2825.3145852992443</v>
      </c>
      <c r="G11" s="5">
        <f t="shared" si="3"/>
        <v>14264.430750321893</v>
      </c>
      <c r="H11" s="22">
        <f t="shared" si="10"/>
        <v>7933.2746812527448</v>
      </c>
      <c r="I11" s="5">
        <f t="shared" si="4"/>
        <v>21444.04433685563</v>
      </c>
      <c r="J11" s="25">
        <f t="shared" si="5"/>
        <v>5.8949990206772704E-2</v>
      </c>
      <c r="L11" s="22">
        <f t="shared" si="11"/>
        <v>22828.623498367539</v>
      </c>
      <c r="M11" s="5">
        <f>scrimecost*Meta!O8</f>
        <v>43986.838000000003</v>
      </c>
      <c r="N11" s="5">
        <f>L11-Grade10!L11</f>
        <v>1185.6617139720292</v>
      </c>
      <c r="O11" s="5">
        <f>Grade10!M11-M11</f>
        <v>914.35399999999936</v>
      </c>
      <c r="P11" s="22">
        <f t="shared" si="12"/>
        <v>47.398482789977244</v>
      </c>
      <c r="Q11" s="22"/>
      <c r="R11" s="22"/>
      <c r="S11" s="22">
        <f t="shared" si="6"/>
        <v>1418.0157325515597</v>
      </c>
      <c r="T11" s="22">
        <f t="shared" si="7"/>
        <v>1216.6756526864945</v>
      </c>
    </row>
    <row r="12" spans="1:20" x14ac:dyDescent="0.2">
      <c r="A12" s="5">
        <v>21</v>
      </c>
      <c r="B12" s="1">
        <f t="shared" si="8"/>
        <v>1.1038128906249998</v>
      </c>
      <c r="C12" s="5">
        <f t="shared" si="9"/>
        <v>17677.28062874217</v>
      </c>
      <c r="D12" s="5">
        <f t="shared" si="0"/>
        <v>17479.938969011666</v>
      </c>
      <c r="E12" s="5">
        <f t="shared" si="1"/>
        <v>7979.9389690116659</v>
      </c>
      <c r="F12" s="5">
        <f t="shared" si="2"/>
        <v>2933.2031249317256</v>
      </c>
      <c r="G12" s="5">
        <f t="shared" si="3"/>
        <v>14546.73584407994</v>
      </c>
      <c r="H12" s="22">
        <f t="shared" si="10"/>
        <v>8131.6065482840631</v>
      </c>
      <c r="I12" s="5">
        <f t="shared" si="4"/>
        <v>21905.839770277016</v>
      </c>
      <c r="J12" s="25">
        <f t="shared" si="5"/>
        <v>6.2131286543529556E-2</v>
      </c>
      <c r="L12" s="22">
        <f t="shared" si="11"/>
        <v>23399.339085826727</v>
      </c>
      <c r="M12" s="5">
        <f>scrimecost*Meta!O9</f>
        <v>39945.368000000002</v>
      </c>
      <c r="N12" s="5">
        <f>L12-Grade10!L12</f>
        <v>1215.3032568213348</v>
      </c>
      <c r="O12" s="5">
        <f>Grade10!M12-M12</f>
        <v>830.34399999999732</v>
      </c>
      <c r="P12" s="22">
        <f t="shared" si="12"/>
        <v>48.046986250024311</v>
      </c>
      <c r="Q12" s="22"/>
      <c r="R12" s="22"/>
      <c r="S12" s="22">
        <f t="shared" si="6"/>
        <v>1359.1642649060307</v>
      </c>
      <c r="T12" s="22">
        <f t="shared" si="7"/>
        <v>1122.3780316134855</v>
      </c>
    </row>
    <row r="13" spans="1:20" x14ac:dyDescent="0.2">
      <c r="A13" s="5">
        <v>22</v>
      </c>
      <c r="B13" s="1">
        <f t="shared" si="8"/>
        <v>1.1314082128906247</v>
      </c>
      <c r="C13" s="5">
        <f t="shared" si="9"/>
        <v>18119.212644460724</v>
      </c>
      <c r="D13" s="5">
        <f t="shared" si="0"/>
        <v>17879.887443236956</v>
      </c>
      <c r="E13" s="5">
        <f t="shared" si="1"/>
        <v>8379.8874432369557</v>
      </c>
      <c r="F13" s="5">
        <f t="shared" si="2"/>
        <v>3043.7888780550184</v>
      </c>
      <c r="G13" s="5">
        <f t="shared" si="3"/>
        <v>14836.098565181937</v>
      </c>
      <c r="H13" s="22">
        <f t="shared" si="10"/>
        <v>8334.8967119911631</v>
      </c>
      <c r="I13" s="5">
        <f t="shared" si="4"/>
        <v>22379.18008953394</v>
      </c>
      <c r="J13" s="25">
        <f t="shared" si="5"/>
        <v>6.5234990286706956E-2</v>
      </c>
      <c r="L13" s="22">
        <f t="shared" si="11"/>
        <v>23984.322562972389</v>
      </c>
      <c r="M13" s="5">
        <f>scrimecost*Meta!O10</f>
        <v>36607.896000000001</v>
      </c>
      <c r="N13" s="5">
        <f>L13-Grade10!L13</f>
        <v>1245.6858382418613</v>
      </c>
      <c r="O13" s="5">
        <f>Grade10!M13-M13</f>
        <v>760.96799999999348</v>
      </c>
      <c r="P13" s="22">
        <f t="shared" si="12"/>
        <v>48.711702296572547</v>
      </c>
      <c r="Q13" s="22"/>
      <c r="R13" s="22"/>
      <c r="S13" s="22">
        <f t="shared" si="6"/>
        <v>1313.5341820693563</v>
      </c>
      <c r="T13" s="22">
        <f t="shared" si="7"/>
        <v>1043.9556065105253</v>
      </c>
    </row>
    <row r="14" spans="1:20" x14ac:dyDescent="0.2">
      <c r="A14" s="5">
        <v>23</v>
      </c>
      <c r="B14" s="1">
        <f t="shared" si="8"/>
        <v>1.1596934182128902</v>
      </c>
      <c r="C14" s="5">
        <f t="shared" si="9"/>
        <v>18572.19296057224</v>
      </c>
      <c r="D14" s="5">
        <f t="shared" si="0"/>
        <v>18289.834629317877</v>
      </c>
      <c r="E14" s="5">
        <f t="shared" si="1"/>
        <v>8789.8346293178765</v>
      </c>
      <c r="F14" s="5">
        <f t="shared" si="2"/>
        <v>3171.6310064722866</v>
      </c>
      <c r="G14" s="5">
        <f t="shared" si="3"/>
        <v>15118.203622845591</v>
      </c>
      <c r="H14" s="22">
        <f t="shared" si="10"/>
        <v>8543.2691297909405</v>
      </c>
      <c r="I14" s="5">
        <f t="shared" si="4"/>
        <v>22849.862185306392</v>
      </c>
      <c r="J14" s="25">
        <f t="shared" si="5"/>
        <v>6.8853541239325744E-2</v>
      </c>
      <c r="L14" s="22">
        <f t="shared" si="11"/>
        <v>24583.930627046699</v>
      </c>
      <c r="M14" s="5">
        <f>scrimecost*Meta!O11</f>
        <v>34209.088000000003</v>
      </c>
      <c r="N14" s="5">
        <f>L14-Grade10!L14</f>
        <v>1276.8279841979092</v>
      </c>
      <c r="O14" s="5">
        <f>Grade10!M14-M14</f>
        <v>711.10399999999936</v>
      </c>
      <c r="P14" s="22">
        <f t="shared" si="12"/>
        <v>49.480144087524543</v>
      </c>
      <c r="Q14" s="22"/>
      <c r="R14" s="22"/>
      <c r="S14" s="22">
        <f t="shared" si="6"/>
        <v>1285.4941670481421</v>
      </c>
      <c r="T14" s="22">
        <f t="shared" si="7"/>
        <v>983.2958460029613</v>
      </c>
    </row>
    <row r="15" spans="1:20" x14ac:dyDescent="0.2">
      <c r="A15" s="5">
        <v>24</v>
      </c>
      <c r="B15" s="1">
        <f t="shared" si="8"/>
        <v>1.1886857536682125</v>
      </c>
      <c r="C15" s="5">
        <f t="shared" si="9"/>
        <v>19036.497784586547</v>
      </c>
      <c r="D15" s="5">
        <f t="shared" si="0"/>
        <v>18710.030495050825</v>
      </c>
      <c r="E15" s="5">
        <f t="shared" si="1"/>
        <v>9210.0304950508253</v>
      </c>
      <c r="F15" s="5">
        <f t="shared" si="2"/>
        <v>3308.8249566340946</v>
      </c>
      <c r="G15" s="5">
        <f t="shared" si="3"/>
        <v>15401.205538416731</v>
      </c>
      <c r="H15" s="22">
        <f t="shared" si="10"/>
        <v>8756.8508580357156</v>
      </c>
      <c r="I15" s="5">
        <f t="shared" si="4"/>
        <v>23326.155564939054</v>
      </c>
      <c r="J15" s="25">
        <f t="shared" si="5"/>
        <v>7.2628568016711498E-2</v>
      </c>
      <c r="L15" s="22">
        <f t="shared" si="11"/>
        <v>25198.528892722872</v>
      </c>
      <c r="M15" s="5">
        <f>scrimecost*Meta!O12</f>
        <v>32683.759000000002</v>
      </c>
      <c r="N15" s="5">
        <f>L15-Grade10!L15</f>
        <v>1308.7486838028599</v>
      </c>
      <c r="O15" s="5">
        <f>Grade10!M15-M15</f>
        <v>679.39700000000084</v>
      </c>
      <c r="P15" s="22">
        <f t="shared" si="12"/>
        <v>50.304798417637201</v>
      </c>
      <c r="Q15" s="22"/>
      <c r="R15" s="22"/>
      <c r="S15" s="22">
        <f t="shared" si="6"/>
        <v>1273.8219997634662</v>
      </c>
      <c r="T15" s="22">
        <f t="shared" si="7"/>
        <v>937.76988356952404</v>
      </c>
    </row>
    <row r="16" spans="1:20" x14ac:dyDescent="0.2">
      <c r="A16" s="5">
        <v>25</v>
      </c>
      <c r="B16" s="1">
        <f t="shared" si="8"/>
        <v>1.2184028975099177</v>
      </c>
      <c r="C16" s="5">
        <f t="shared" si="9"/>
        <v>19512.41022920121</v>
      </c>
      <c r="D16" s="5">
        <f t="shared" si="0"/>
        <v>19140.731257427095</v>
      </c>
      <c r="E16" s="5">
        <f t="shared" si="1"/>
        <v>9640.7312574270945</v>
      </c>
      <c r="F16" s="5">
        <f t="shared" si="2"/>
        <v>3449.4487555499463</v>
      </c>
      <c r="G16" s="5">
        <f t="shared" si="3"/>
        <v>15691.282501877147</v>
      </c>
      <c r="H16" s="22">
        <f t="shared" si="10"/>
        <v>8975.7721294866096</v>
      </c>
      <c r="I16" s="5">
        <f t="shared" si="4"/>
        <v>23814.356279062529</v>
      </c>
      <c r="J16" s="25">
        <f t="shared" si="5"/>
        <v>7.6311520970258506E-2</v>
      </c>
      <c r="L16" s="22">
        <f t="shared" si="11"/>
        <v>25828.492115040939</v>
      </c>
      <c r="M16" s="5">
        <f>scrimecost*Meta!O13</f>
        <v>27442.884999999998</v>
      </c>
      <c r="N16" s="5">
        <f>L16-Grade10!L16</f>
        <v>1341.4674008979309</v>
      </c>
      <c r="O16" s="5">
        <f>Grade10!M16-M16</f>
        <v>570.45500000000175</v>
      </c>
      <c r="P16" s="22">
        <f t="shared" si="12"/>
        <v>51.150069106002661</v>
      </c>
      <c r="Q16" s="22"/>
      <c r="R16" s="22"/>
      <c r="S16" s="22">
        <f t="shared" si="6"/>
        <v>1194.7416669466713</v>
      </c>
      <c r="T16" s="22">
        <f t="shared" si="7"/>
        <v>846.5156434919827</v>
      </c>
    </row>
    <row r="17" spans="1:20" x14ac:dyDescent="0.2">
      <c r="A17" s="5">
        <v>26</v>
      </c>
      <c r="B17" s="1">
        <f t="shared" si="8"/>
        <v>1.2488629699476654</v>
      </c>
      <c r="C17" s="5">
        <f t="shared" si="9"/>
        <v>20000.220484931237</v>
      </c>
      <c r="D17" s="5">
        <f t="shared" si="0"/>
        <v>19582.199538862769</v>
      </c>
      <c r="E17" s="5">
        <f t="shared" si="1"/>
        <v>10082.199538862769</v>
      </c>
      <c r="F17" s="5">
        <f t="shared" si="2"/>
        <v>3593.588149438694</v>
      </c>
      <c r="G17" s="5">
        <f t="shared" si="3"/>
        <v>15988.611389424075</v>
      </c>
      <c r="H17" s="22">
        <f t="shared" si="10"/>
        <v>9200.1664327237704</v>
      </c>
      <c r="I17" s="5">
        <f t="shared" si="4"/>
        <v>24314.762011039085</v>
      </c>
      <c r="J17" s="25">
        <f t="shared" si="5"/>
        <v>7.9904645802987312E-2</v>
      </c>
      <c r="L17" s="22">
        <f t="shared" si="11"/>
        <v>26474.204417916957</v>
      </c>
      <c r="M17" s="5">
        <f>scrimecost*Meta!O14</f>
        <v>27442.884999999998</v>
      </c>
      <c r="N17" s="5">
        <f>L17-Grade10!L17</f>
        <v>1375.0040859203764</v>
      </c>
      <c r="O17" s="5">
        <f>Grade10!M17-M17</f>
        <v>570.45500000000175</v>
      </c>
      <c r="P17" s="22">
        <f t="shared" si="12"/>
        <v>52.016471561577269</v>
      </c>
      <c r="Q17" s="22"/>
      <c r="R17" s="22"/>
      <c r="S17" s="22">
        <f t="shared" si="6"/>
        <v>1211.7266787094543</v>
      </c>
      <c r="T17" s="22">
        <f t="shared" si="7"/>
        <v>826.30254435065888</v>
      </c>
    </row>
    <row r="18" spans="1:20" x14ac:dyDescent="0.2">
      <c r="A18" s="5">
        <v>27</v>
      </c>
      <c r="B18" s="1">
        <f t="shared" si="8"/>
        <v>1.2800845441963571</v>
      </c>
      <c r="C18" s="5">
        <f t="shared" si="9"/>
        <v>20500.225997054516</v>
      </c>
      <c r="D18" s="5">
        <f t="shared" si="0"/>
        <v>20034.704527334339</v>
      </c>
      <c r="E18" s="5">
        <f t="shared" si="1"/>
        <v>10534.704527334339</v>
      </c>
      <c r="F18" s="5">
        <f t="shared" si="2"/>
        <v>3741.3310281746617</v>
      </c>
      <c r="G18" s="5">
        <f t="shared" si="3"/>
        <v>16293.373499159678</v>
      </c>
      <c r="H18" s="22">
        <f t="shared" si="10"/>
        <v>9430.1705935418668</v>
      </c>
      <c r="I18" s="5">
        <f t="shared" si="4"/>
        <v>24827.677886315068</v>
      </c>
      <c r="J18" s="25">
        <f t="shared" si="5"/>
        <v>8.3410133444673976E-2</v>
      </c>
      <c r="L18" s="22">
        <f t="shared" si="11"/>
        <v>27136.059528364884</v>
      </c>
      <c r="M18" s="5">
        <f>scrimecost*Meta!O15</f>
        <v>27442.884999999998</v>
      </c>
      <c r="N18" s="5">
        <f>L18-Grade10!L18</f>
        <v>1409.3791880683893</v>
      </c>
      <c r="O18" s="5">
        <f>Grade10!M18-M18</f>
        <v>570.45500000000175</v>
      </c>
      <c r="P18" s="22">
        <f t="shared" si="12"/>
        <v>52.904534078541232</v>
      </c>
      <c r="Q18" s="22"/>
      <c r="R18" s="22"/>
      <c r="S18" s="22">
        <f t="shared" si="6"/>
        <v>1229.1363157663102</v>
      </c>
      <c r="T18" s="22">
        <f t="shared" si="7"/>
        <v>806.69230189021619</v>
      </c>
    </row>
    <row r="19" spans="1:20" x14ac:dyDescent="0.2">
      <c r="A19" s="5">
        <v>28</v>
      </c>
      <c r="B19" s="1">
        <f t="shared" si="8"/>
        <v>1.312086657801266</v>
      </c>
      <c r="C19" s="5">
        <f t="shared" si="9"/>
        <v>21012.731646980879</v>
      </c>
      <c r="D19" s="5">
        <f t="shared" si="0"/>
        <v>20498.522140517696</v>
      </c>
      <c r="E19" s="5">
        <f t="shared" si="1"/>
        <v>10998.522140517696</v>
      </c>
      <c r="F19" s="5">
        <f t="shared" si="2"/>
        <v>3892.7674788790277</v>
      </c>
      <c r="G19" s="5">
        <f t="shared" si="3"/>
        <v>16605.754661638668</v>
      </c>
      <c r="H19" s="22">
        <f t="shared" si="10"/>
        <v>9665.9248583804128</v>
      </c>
      <c r="I19" s="5">
        <f t="shared" si="4"/>
        <v>25353.416658472943</v>
      </c>
      <c r="J19" s="25">
        <f t="shared" si="5"/>
        <v>8.6830121387782885E-2</v>
      </c>
      <c r="L19" s="22">
        <f t="shared" si="11"/>
        <v>27814.461016574001</v>
      </c>
      <c r="M19" s="5">
        <f>scrimecost*Meta!O16</f>
        <v>27442.884999999998</v>
      </c>
      <c r="N19" s="5">
        <f>L19-Grade10!L19</f>
        <v>1444.6136677700961</v>
      </c>
      <c r="O19" s="5">
        <f>Grade10!M19-M19</f>
        <v>570.45500000000175</v>
      </c>
      <c r="P19" s="22">
        <f t="shared" si="12"/>
        <v>53.814798158429305</v>
      </c>
      <c r="Q19" s="22"/>
      <c r="R19" s="22"/>
      <c r="S19" s="22">
        <f t="shared" si="6"/>
        <v>1246.981193749584</v>
      </c>
      <c r="T19" s="22">
        <f t="shared" si="7"/>
        <v>787.66438326256468</v>
      </c>
    </row>
    <row r="20" spans="1:20" x14ac:dyDescent="0.2">
      <c r="A20" s="5">
        <v>29</v>
      </c>
      <c r="B20" s="1">
        <f t="shared" si="8"/>
        <v>1.3448888242462975</v>
      </c>
      <c r="C20" s="5">
        <f t="shared" si="9"/>
        <v>21538.0499381554</v>
      </c>
      <c r="D20" s="5">
        <f t="shared" si="0"/>
        <v>20973.935194030637</v>
      </c>
      <c r="E20" s="5">
        <f t="shared" si="1"/>
        <v>11473.935194030637</v>
      </c>
      <c r="F20" s="5">
        <f t="shared" si="2"/>
        <v>4047.989840851003</v>
      </c>
      <c r="G20" s="5">
        <f t="shared" si="3"/>
        <v>16925.945353179635</v>
      </c>
      <c r="H20" s="22">
        <f t="shared" si="10"/>
        <v>9907.5729798399225</v>
      </c>
      <c r="I20" s="5">
        <f t="shared" si="4"/>
        <v>25892.298899934765</v>
      </c>
      <c r="J20" s="25">
        <f t="shared" si="5"/>
        <v>9.016669499081599E-2</v>
      </c>
      <c r="L20" s="22">
        <f t="shared" si="11"/>
        <v>28509.822541988349</v>
      </c>
      <c r="M20" s="5">
        <f>scrimecost*Meta!O17</f>
        <v>27442.884999999998</v>
      </c>
      <c r="N20" s="5">
        <f>L20-Grade10!L20</f>
        <v>1480.7290094643467</v>
      </c>
      <c r="O20" s="5">
        <f>Grade10!M20-M20</f>
        <v>570.45500000000175</v>
      </c>
      <c r="P20" s="22">
        <f t="shared" si="12"/>
        <v>54.747818840314572</v>
      </c>
      <c r="Q20" s="22"/>
      <c r="R20" s="22"/>
      <c r="S20" s="22">
        <f t="shared" si="6"/>
        <v>1265.2721936824405</v>
      </c>
      <c r="T20" s="22">
        <f t="shared" si="7"/>
        <v>769.19899834949092</v>
      </c>
    </row>
    <row r="21" spans="1:20" x14ac:dyDescent="0.2">
      <c r="A21" s="5">
        <v>30</v>
      </c>
      <c r="B21" s="1">
        <f t="shared" si="8"/>
        <v>1.3785110448524549</v>
      </c>
      <c r="C21" s="5">
        <f t="shared" si="9"/>
        <v>22076.501186609283</v>
      </c>
      <c r="D21" s="5">
        <f t="shared" si="0"/>
        <v>21461.2335738814</v>
      </c>
      <c r="E21" s="5">
        <f t="shared" si="1"/>
        <v>11961.2335738814</v>
      </c>
      <c r="F21" s="5">
        <f t="shared" si="2"/>
        <v>4207.0927618722772</v>
      </c>
      <c r="G21" s="5">
        <f t="shared" si="3"/>
        <v>17254.140812009122</v>
      </c>
      <c r="H21" s="22">
        <f t="shared" si="10"/>
        <v>10155.26230433592</v>
      </c>
      <c r="I21" s="5">
        <f t="shared" si="4"/>
        <v>26444.65319743313</v>
      </c>
      <c r="J21" s="25">
        <f t="shared" si="5"/>
        <v>9.3421888749872659E-2</v>
      </c>
      <c r="L21" s="22">
        <f t="shared" si="11"/>
        <v>29222.568105538059</v>
      </c>
      <c r="M21" s="5">
        <f>scrimecost*Meta!O18</f>
        <v>22123.789000000001</v>
      </c>
      <c r="N21" s="5">
        <f>L21-Grade10!L21</f>
        <v>1517.7472347009607</v>
      </c>
      <c r="O21" s="5">
        <f>Grade10!M21-M21</f>
        <v>459.88699999999881</v>
      </c>
      <c r="P21" s="22">
        <f t="shared" si="12"/>
        <v>55.704165039246966</v>
      </c>
      <c r="Q21" s="22"/>
      <c r="R21" s="22"/>
      <c r="S21" s="22">
        <f t="shared" si="6"/>
        <v>1186.9417646136194</v>
      </c>
      <c r="T21" s="22">
        <f t="shared" si="7"/>
        <v>694.47657233453481</v>
      </c>
    </row>
    <row r="22" spans="1:20" x14ac:dyDescent="0.2">
      <c r="A22" s="5">
        <v>31</v>
      </c>
      <c r="B22" s="1">
        <f t="shared" si="8"/>
        <v>1.4129738209737661</v>
      </c>
      <c r="C22" s="5">
        <f t="shared" si="9"/>
        <v>22628.413716274514</v>
      </c>
      <c r="D22" s="5">
        <f t="shared" si="0"/>
        <v>21960.714413228434</v>
      </c>
      <c r="E22" s="5">
        <f t="shared" si="1"/>
        <v>12460.714413228434</v>
      </c>
      <c r="F22" s="5">
        <f t="shared" si="2"/>
        <v>4370.1732559190841</v>
      </c>
      <c r="G22" s="5">
        <f t="shared" si="3"/>
        <v>17590.541157309352</v>
      </c>
      <c r="H22" s="22">
        <f t="shared" si="10"/>
        <v>10409.143861944316</v>
      </c>
      <c r="I22" s="5">
        <f t="shared" si="4"/>
        <v>27010.816352368958</v>
      </c>
      <c r="J22" s="25">
        <f t="shared" si="5"/>
        <v>9.6597687539196245E-2</v>
      </c>
      <c r="L22" s="22">
        <f t="shared" si="11"/>
        <v>29953.132308176504</v>
      </c>
      <c r="M22" s="5">
        <f>scrimecost*Meta!O19</f>
        <v>22123.789000000001</v>
      </c>
      <c r="N22" s="5">
        <f>L22-Grade10!L22</f>
        <v>1555.6909155684734</v>
      </c>
      <c r="O22" s="5">
        <f>Grade10!M22-M22</f>
        <v>459.88699999999881</v>
      </c>
      <c r="P22" s="22">
        <f t="shared" si="12"/>
        <v>56.684419893152679</v>
      </c>
      <c r="Q22" s="22"/>
      <c r="R22" s="22"/>
      <c r="S22" s="22">
        <f t="shared" si="6"/>
        <v>1206.158746418072</v>
      </c>
      <c r="T22" s="22">
        <f t="shared" si="7"/>
        <v>679.21317365449374</v>
      </c>
    </row>
    <row r="23" spans="1:20" x14ac:dyDescent="0.2">
      <c r="A23" s="5">
        <v>32</v>
      </c>
      <c r="B23" s="1">
        <f t="shared" si="8"/>
        <v>1.4482981664981105</v>
      </c>
      <c r="C23" s="5">
        <f t="shared" si="9"/>
        <v>23194.12405918138</v>
      </c>
      <c r="D23" s="5">
        <f t="shared" si="0"/>
        <v>22472.682273559149</v>
      </c>
      <c r="E23" s="5">
        <f t="shared" si="1"/>
        <v>12972.682273559149</v>
      </c>
      <c r="F23" s="5">
        <f t="shared" si="2"/>
        <v>4537.3307623170622</v>
      </c>
      <c r="G23" s="5">
        <f t="shared" si="3"/>
        <v>17935.351511242086</v>
      </c>
      <c r="H23" s="22">
        <f t="shared" si="10"/>
        <v>10669.372458492926</v>
      </c>
      <c r="I23" s="5">
        <f t="shared" si="4"/>
        <v>27591.133586178184</v>
      </c>
      <c r="J23" s="25">
        <f t="shared" si="5"/>
        <v>9.9696027821463196E-2</v>
      </c>
      <c r="L23" s="22">
        <f t="shared" si="11"/>
        <v>30701.960615880926</v>
      </c>
      <c r="M23" s="5">
        <f>scrimecost*Meta!O20</f>
        <v>22123.789000000001</v>
      </c>
      <c r="N23" s="5">
        <f>L23-Grade10!L23</f>
        <v>1594.5831884576983</v>
      </c>
      <c r="O23" s="5">
        <f>Grade10!M23-M23</f>
        <v>459.88699999999881</v>
      </c>
      <c r="P23" s="22">
        <f t="shared" si="12"/>
        <v>57.68918111840604</v>
      </c>
      <c r="Q23" s="22"/>
      <c r="R23" s="22"/>
      <c r="S23" s="22">
        <f t="shared" si="6"/>
        <v>1225.8561527676479</v>
      </c>
      <c r="T23" s="22">
        <f t="shared" si="7"/>
        <v>664.3769910766714</v>
      </c>
    </row>
    <row r="24" spans="1:20" x14ac:dyDescent="0.2">
      <c r="A24" s="5">
        <v>33</v>
      </c>
      <c r="B24" s="1">
        <f t="shared" si="8"/>
        <v>1.4845056206605631</v>
      </c>
      <c r="C24" s="5">
        <f t="shared" si="9"/>
        <v>23773.97716066091</v>
      </c>
      <c r="D24" s="5">
        <f t="shared" si="0"/>
        <v>22997.449330398125</v>
      </c>
      <c r="E24" s="5">
        <f t="shared" si="1"/>
        <v>13497.449330398125</v>
      </c>
      <c r="F24" s="5">
        <f t="shared" si="2"/>
        <v>4708.6672063749884</v>
      </c>
      <c r="G24" s="5">
        <f t="shared" si="3"/>
        <v>18288.782124023135</v>
      </c>
      <c r="H24" s="22">
        <f t="shared" si="10"/>
        <v>10936.10676995525</v>
      </c>
      <c r="I24" s="5">
        <f t="shared" si="4"/>
        <v>28185.958750832637</v>
      </c>
      <c r="J24" s="25">
        <f t="shared" si="5"/>
        <v>0.10271879882855288</v>
      </c>
      <c r="L24" s="22">
        <f t="shared" si="11"/>
        <v>31469.509631277942</v>
      </c>
      <c r="M24" s="5">
        <f>scrimecost*Meta!O21</f>
        <v>22123.789000000001</v>
      </c>
      <c r="N24" s="5">
        <f>L24-Grade10!L24</f>
        <v>1634.4477681691387</v>
      </c>
      <c r="O24" s="5">
        <f>Grade10!M24-M24</f>
        <v>459.88699999999881</v>
      </c>
      <c r="P24" s="22">
        <f t="shared" si="12"/>
        <v>58.719061374290732</v>
      </c>
      <c r="Q24" s="22"/>
      <c r="R24" s="22"/>
      <c r="S24" s="22">
        <f t="shared" si="6"/>
        <v>1246.0459942759558</v>
      </c>
      <c r="T24" s="22">
        <f t="shared" si="7"/>
        <v>649.9539502245234</v>
      </c>
    </row>
    <row r="25" spans="1:20" x14ac:dyDescent="0.2">
      <c r="A25" s="5">
        <v>34</v>
      </c>
      <c r="B25" s="1">
        <f t="shared" si="8"/>
        <v>1.521618261177077</v>
      </c>
      <c r="C25" s="5">
        <f t="shared" si="9"/>
        <v>24368.326589677432</v>
      </c>
      <c r="D25" s="5">
        <f t="shared" si="0"/>
        <v>23535.335563658078</v>
      </c>
      <c r="E25" s="5">
        <f t="shared" si="1"/>
        <v>14035.335563658078</v>
      </c>
      <c r="F25" s="5">
        <f t="shared" si="2"/>
        <v>4884.2870615343627</v>
      </c>
      <c r="G25" s="5">
        <f t="shared" si="3"/>
        <v>18651.048502123715</v>
      </c>
      <c r="H25" s="22">
        <f t="shared" si="10"/>
        <v>11209.509439204128</v>
      </c>
      <c r="I25" s="5">
        <f t="shared" si="4"/>
        <v>28795.654544603451</v>
      </c>
      <c r="J25" s="25">
        <f t="shared" si="5"/>
        <v>0.10566784371351842</v>
      </c>
      <c r="L25" s="22">
        <f t="shared" si="11"/>
        <v>32256.247372059886</v>
      </c>
      <c r="M25" s="5">
        <f>scrimecost*Meta!O22</f>
        <v>22123.789000000001</v>
      </c>
      <c r="N25" s="5">
        <f>L25-Grade10!L25</f>
        <v>1675.3089623733613</v>
      </c>
      <c r="O25" s="5">
        <f>Grade10!M25-M25</f>
        <v>459.88699999999881</v>
      </c>
      <c r="P25" s="22">
        <f t="shared" si="12"/>
        <v>59.774688636572535</v>
      </c>
      <c r="Q25" s="22"/>
      <c r="R25" s="22"/>
      <c r="S25" s="22">
        <f t="shared" si="6"/>
        <v>1266.7405818219697</v>
      </c>
      <c r="T25" s="22">
        <f t="shared" si="7"/>
        <v>635.93047874005822</v>
      </c>
    </row>
    <row r="26" spans="1:20" x14ac:dyDescent="0.2">
      <c r="A26" s="5">
        <v>35</v>
      </c>
      <c r="B26" s="1">
        <f t="shared" si="8"/>
        <v>1.559658717706504</v>
      </c>
      <c r="C26" s="5">
        <f t="shared" si="9"/>
        <v>24977.534754419368</v>
      </c>
      <c r="D26" s="5">
        <f t="shared" si="0"/>
        <v>24086.668952749529</v>
      </c>
      <c r="E26" s="5">
        <f t="shared" si="1"/>
        <v>14586.668952749529</v>
      </c>
      <c r="F26" s="5">
        <f t="shared" si="2"/>
        <v>5064.2974130727216</v>
      </c>
      <c r="G26" s="5">
        <f t="shared" si="3"/>
        <v>19022.371539676809</v>
      </c>
      <c r="H26" s="22">
        <f t="shared" si="10"/>
        <v>11489.747175184231</v>
      </c>
      <c r="I26" s="5">
        <f t="shared" si="4"/>
        <v>29420.592733218538</v>
      </c>
      <c r="J26" s="25">
        <f t="shared" si="5"/>
        <v>0.1085449606744604</v>
      </c>
      <c r="L26" s="22">
        <f t="shared" si="11"/>
        <v>33062.653556361387</v>
      </c>
      <c r="M26" s="5">
        <f>scrimecost*Meta!O23</f>
        <v>17169.728999999999</v>
      </c>
      <c r="N26" s="5">
        <f>L26-Grade10!L26</f>
        <v>1717.1916864326959</v>
      </c>
      <c r="O26" s="5">
        <f>Grade10!M26-M26</f>
        <v>356.90699999999924</v>
      </c>
      <c r="P26" s="22">
        <f t="shared" si="12"/>
        <v>60.856706580411391</v>
      </c>
      <c r="Q26" s="22"/>
      <c r="R26" s="22"/>
      <c r="S26" s="22">
        <f t="shared" si="6"/>
        <v>1197.5360940566372</v>
      </c>
      <c r="T26" s="22">
        <f t="shared" si="7"/>
        <v>578.60743545749813</v>
      </c>
    </row>
    <row r="27" spans="1:20" x14ac:dyDescent="0.2">
      <c r="A27" s="5">
        <v>36</v>
      </c>
      <c r="B27" s="1">
        <f t="shared" si="8"/>
        <v>1.5986501856491666</v>
      </c>
      <c r="C27" s="5">
        <f t="shared" si="9"/>
        <v>25601.973123279855</v>
      </c>
      <c r="D27" s="5">
        <f t="shared" si="0"/>
        <v>24651.78567656827</v>
      </c>
      <c r="E27" s="5">
        <f t="shared" si="1"/>
        <v>15151.78567656827</v>
      </c>
      <c r="F27" s="5">
        <f t="shared" si="2"/>
        <v>5248.8080233995406</v>
      </c>
      <c r="G27" s="5">
        <f t="shared" si="3"/>
        <v>19402.977653168731</v>
      </c>
      <c r="H27" s="22">
        <f t="shared" si="10"/>
        <v>11776.990854563837</v>
      </c>
      <c r="I27" s="5">
        <f t="shared" si="4"/>
        <v>30061.154376549006</v>
      </c>
      <c r="J27" s="25">
        <f t="shared" si="5"/>
        <v>0.11135190405098921</v>
      </c>
      <c r="L27" s="22">
        <f t="shared" si="11"/>
        <v>33889.219895270428</v>
      </c>
      <c r="M27" s="5">
        <f>scrimecost*Meta!O24</f>
        <v>17169.728999999999</v>
      </c>
      <c r="N27" s="5">
        <f>L27-Grade10!L27</f>
        <v>1760.1214785935263</v>
      </c>
      <c r="O27" s="5">
        <f>Grade10!M27-M27</f>
        <v>356.90699999999924</v>
      </c>
      <c r="P27" s="22">
        <f t="shared" si="12"/>
        <v>61.965774972846219</v>
      </c>
      <c r="Q27" s="22"/>
      <c r="R27" s="22"/>
      <c r="S27" s="22">
        <f t="shared" si="6"/>
        <v>1219.2783450971774</v>
      </c>
      <c r="T27" s="22">
        <f t="shared" si="7"/>
        <v>566.98517157365438</v>
      </c>
    </row>
    <row r="28" spans="1:20" x14ac:dyDescent="0.2">
      <c r="A28" s="5">
        <v>37</v>
      </c>
      <c r="B28" s="1">
        <f t="shared" si="8"/>
        <v>1.6386164402903955</v>
      </c>
      <c r="C28" s="5">
        <f t="shared" si="9"/>
        <v>26242.022451361845</v>
      </c>
      <c r="D28" s="5">
        <f t="shared" si="0"/>
        <v>25231.03031848247</v>
      </c>
      <c r="E28" s="5">
        <f t="shared" si="1"/>
        <v>15731.03031848247</v>
      </c>
      <c r="F28" s="5">
        <f t="shared" si="2"/>
        <v>5437.9313989845268</v>
      </c>
      <c r="G28" s="5">
        <f t="shared" si="3"/>
        <v>19793.098919497941</v>
      </c>
      <c r="H28" s="22">
        <f t="shared" si="10"/>
        <v>12071.415625927932</v>
      </c>
      <c r="I28" s="5">
        <f t="shared" si="4"/>
        <v>30717.73006096272</v>
      </c>
      <c r="J28" s="25">
        <f t="shared" si="5"/>
        <v>0.11409038539394405</v>
      </c>
      <c r="L28" s="22">
        <f t="shared" si="11"/>
        <v>34736.450392652179</v>
      </c>
      <c r="M28" s="5">
        <f>scrimecost*Meta!O25</f>
        <v>17169.728999999999</v>
      </c>
      <c r="N28" s="5">
        <f>L28-Grade10!L28</f>
        <v>1804.1245155583601</v>
      </c>
      <c r="O28" s="5">
        <f>Grade10!M28-M28</f>
        <v>356.90699999999924</v>
      </c>
      <c r="P28" s="22">
        <f t="shared" si="12"/>
        <v>63.102570075091897</v>
      </c>
      <c r="Q28" s="22"/>
      <c r="R28" s="22"/>
      <c r="S28" s="22">
        <f t="shared" si="6"/>
        <v>1241.5641524137225</v>
      </c>
      <c r="T28" s="22">
        <f t="shared" si="7"/>
        <v>555.66295867838812</v>
      </c>
    </row>
    <row r="29" spans="1:20" x14ac:dyDescent="0.2">
      <c r="A29" s="5">
        <v>38</v>
      </c>
      <c r="B29" s="1">
        <f t="shared" si="8"/>
        <v>1.6795818512976552</v>
      </c>
      <c r="C29" s="5">
        <f t="shared" si="9"/>
        <v>26898.073012645888</v>
      </c>
      <c r="D29" s="5">
        <f t="shared" si="0"/>
        <v>25824.75607644453</v>
      </c>
      <c r="E29" s="5">
        <f t="shared" si="1"/>
        <v>16324.75607644453</v>
      </c>
      <c r="F29" s="5">
        <f t="shared" si="2"/>
        <v>5631.782858959139</v>
      </c>
      <c r="G29" s="5">
        <f t="shared" si="3"/>
        <v>20192.973217485393</v>
      </c>
      <c r="H29" s="22">
        <f t="shared" si="10"/>
        <v>12373.201016576129</v>
      </c>
      <c r="I29" s="5">
        <f t="shared" si="4"/>
        <v>31390.720137486787</v>
      </c>
      <c r="J29" s="25">
        <f t="shared" si="5"/>
        <v>0.11676207450902201</v>
      </c>
      <c r="L29" s="22">
        <f t="shared" si="11"/>
        <v>35604.861652468477</v>
      </c>
      <c r="M29" s="5">
        <f>scrimecost*Meta!O26</f>
        <v>17169.728999999999</v>
      </c>
      <c r="N29" s="5">
        <f>L29-Grade10!L29</f>
        <v>1849.2276284473046</v>
      </c>
      <c r="O29" s="5">
        <f>Grade10!M29-M29</f>
        <v>356.90699999999924</v>
      </c>
      <c r="P29" s="22">
        <f t="shared" si="12"/>
        <v>64.267785054893736</v>
      </c>
      <c r="Q29" s="22"/>
      <c r="R29" s="22"/>
      <c r="S29" s="22">
        <f t="shared" si="6"/>
        <v>1264.4071049131762</v>
      </c>
      <c r="T29" s="22">
        <f t="shared" si="7"/>
        <v>544.63136921525938</v>
      </c>
    </row>
    <row r="30" spans="1:20" x14ac:dyDescent="0.2">
      <c r="A30" s="5">
        <v>39</v>
      </c>
      <c r="B30" s="1">
        <f t="shared" si="8"/>
        <v>1.7215713975800966</v>
      </c>
      <c r="C30" s="5">
        <f t="shared" si="9"/>
        <v>27570.524837962035</v>
      </c>
      <c r="D30" s="5">
        <f t="shared" si="0"/>
        <v>26433.324978355642</v>
      </c>
      <c r="E30" s="5">
        <f t="shared" si="1"/>
        <v>16933.324978355642</v>
      </c>
      <c r="F30" s="5">
        <f t="shared" si="2"/>
        <v>5830.4806054331166</v>
      </c>
      <c r="G30" s="5">
        <f t="shared" si="3"/>
        <v>20602.844372922526</v>
      </c>
      <c r="H30" s="22">
        <f t="shared" si="10"/>
        <v>12682.531041990531</v>
      </c>
      <c r="I30" s="5">
        <f t="shared" si="4"/>
        <v>32080.534965923958</v>
      </c>
      <c r="J30" s="25">
        <f t="shared" si="5"/>
        <v>0.11936860047495168</v>
      </c>
      <c r="L30" s="22">
        <f t="shared" si="11"/>
        <v>36494.983193780194</v>
      </c>
      <c r="M30" s="5">
        <f>scrimecost*Meta!O27</f>
        <v>17169.728999999999</v>
      </c>
      <c r="N30" s="5">
        <f>L30-Grade10!L30</f>
        <v>1895.458319158497</v>
      </c>
      <c r="O30" s="5">
        <f>Grade10!M30-M30</f>
        <v>356.90699999999924</v>
      </c>
      <c r="P30" s="22">
        <f t="shared" si="12"/>
        <v>65.462130409190593</v>
      </c>
      <c r="Q30" s="22"/>
      <c r="R30" s="22"/>
      <c r="S30" s="22">
        <f t="shared" si="6"/>
        <v>1287.8211312251281</v>
      </c>
      <c r="T30" s="22">
        <f t="shared" si="7"/>
        <v>533.88130485857334</v>
      </c>
    </row>
    <row r="31" spans="1:20" x14ac:dyDescent="0.2">
      <c r="A31" s="5">
        <v>40</v>
      </c>
      <c r="B31" s="1">
        <f t="shared" si="8"/>
        <v>1.7646106825195991</v>
      </c>
      <c r="C31" s="5">
        <f t="shared" si="9"/>
        <v>28259.787958911085</v>
      </c>
      <c r="D31" s="5">
        <f t="shared" si="0"/>
        <v>27057.108102814535</v>
      </c>
      <c r="E31" s="5">
        <f t="shared" si="1"/>
        <v>17557.108102814535</v>
      </c>
      <c r="F31" s="5">
        <f t="shared" si="2"/>
        <v>6034.1457955689457</v>
      </c>
      <c r="G31" s="5">
        <f t="shared" si="3"/>
        <v>21022.962307245587</v>
      </c>
      <c r="H31" s="22">
        <f t="shared" si="10"/>
        <v>12999.594318040296</v>
      </c>
      <c r="I31" s="5">
        <f t="shared" si="4"/>
        <v>32787.595165072053</v>
      </c>
      <c r="J31" s="25">
        <f t="shared" si="5"/>
        <v>0.12191155263683437</v>
      </c>
      <c r="L31" s="22">
        <f t="shared" si="11"/>
        <v>37407.357773624695</v>
      </c>
      <c r="M31" s="5">
        <f>scrimecost*Meta!O28</f>
        <v>15018.623999999998</v>
      </c>
      <c r="N31" s="5">
        <f>L31-Grade10!L31</f>
        <v>1942.8447771374631</v>
      </c>
      <c r="O31" s="5">
        <f>Grade10!M31-M31</f>
        <v>312.19200000000092</v>
      </c>
      <c r="P31" s="22">
        <f t="shared" si="12"/>
        <v>66.686334397344922</v>
      </c>
      <c r="Q31" s="22"/>
      <c r="R31" s="22"/>
      <c r="S31" s="22">
        <f t="shared" si="6"/>
        <v>1272.5607381948773</v>
      </c>
      <c r="T31" s="22">
        <f t="shared" si="7"/>
        <v>507.73970730526401</v>
      </c>
    </row>
    <row r="32" spans="1:20" x14ac:dyDescent="0.2">
      <c r="A32" s="5">
        <v>41</v>
      </c>
      <c r="B32" s="1">
        <f t="shared" si="8"/>
        <v>1.8087259495825889</v>
      </c>
      <c r="C32" s="5">
        <f t="shared" si="9"/>
        <v>28966.282657883861</v>
      </c>
      <c r="D32" s="5">
        <f t="shared" si="0"/>
        <v>27696.485805384895</v>
      </c>
      <c r="E32" s="5">
        <f t="shared" si="1"/>
        <v>18196.485805384895</v>
      </c>
      <c r="F32" s="5">
        <f t="shared" si="2"/>
        <v>6242.9026154581679</v>
      </c>
      <c r="G32" s="5">
        <f t="shared" si="3"/>
        <v>21453.583189926729</v>
      </c>
      <c r="H32" s="22">
        <f t="shared" si="10"/>
        <v>13324.584175991302</v>
      </c>
      <c r="I32" s="5">
        <f t="shared" si="4"/>
        <v>33512.331869198853</v>
      </c>
      <c r="J32" s="25">
        <f t="shared" si="5"/>
        <v>0.12439248157525645</v>
      </c>
      <c r="L32" s="22">
        <f t="shared" si="11"/>
        <v>38342.541717965309</v>
      </c>
      <c r="M32" s="5">
        <f>scrimecost*Meta!O29</f>
        <v>15018.623999999998</v>
      </c>
      <c r="N32" s="5">
        <f>L32-Grade10!L32</f>
        <v>1991.4158965658935</v>
      </c>
      <c r="O32" s="5">
        <f>Grade10!M32-M32</f>
        <v>312.19200000000092</v>
      </c>
      <c r="P32" s="22">
        <f t="shared" si="12"/>
        <v>67.941143485203071</v>
      </c>
      <c r="Q32" s="22"/>
      <c r="R32" s="22"/>
      <c r="S32" s="22">
        <f t="shared" si="6"/>
        <v>1297.1600995888641</v>
      </c>
      <c r="T32" s="22">
        <f t="shared" si="7"/>
        <v>498.11501337495247</v>
      </c>
    </row>
    <row r="33" spans="1:20" x14ac:dyDescent="0.2">
      <c r="A33" s="5">
        <v>42</v>
      </c>
      <c r="B33" s="1">
        <f t="shared" si="8"/>
        <v>1.8539440983221533</v>
      </c>
      <c r="C33" s="5">
        <f t="shared" si="9"/>
        <v>29690.439724330954</v>
      </c>
      <c r="D33" s="5">
        <f t="shared" si="0"/>
        <v>28351.847950519514</v>
      </c>
      <c r="E33" s="5">
        <f t="shared" si="1"/>
        <v>18851.847950519514</v>
      </c>
      <c r="F33" s="5">
        <f t="shared" si="2"/>
        <v>6456.8783558446212</v>
      </c>
      <c r="G33" s="5">
        <f t="shared" si="3"/>
        <v>21894.969594674891</v>
      </c>
      <c r="H33" s="22">
        <f t="shared" si="10"/>
        <v>13657.698780391082</v>
      </c>
      <c r="I33" s="5">
        <f t="shared" si="4"/>
        <v>34255.186990928822</v>
      </c>
      <c r="J33" s="25">
        <f t="shared" si="5"/>
        <v>0.12681290005176579</v>
      </c>
      <c r="L33" s="22">
        <f t="shared" si="11"/>
        <v>39301.105260914432</v>
      </c>
      <c r="M33" s="5">
        <f>scrimecost*Meta!O30</f>
        <v>15018.623999999998</v>
      </c>
      <c r="N33" s="5">
        <f>L33-Grade10!L33</f>
        <v>2041.2012939800406</v>
      </c>
      <c r="O33" s="5">
        <f>Grade10!M33-M33</f>
        <v>312.19200000000092</v>
      </c>
      <c r="P33" s="22">
        <f t="shared" si="12"/>
        <v>69.227322800257681</v>
      </c>
      <c r="Q33" s="22"/>
      <c r="R33" s="22"/>
      <c r="S33" s="22">
        <f t="shared" si="6"/>
        <v>1322.3744450177035</v>
      </c>
      <c r="T33" s="22">
        <f t="shared" si="7"/>
        <v>488.72430785993373</v>
      </c>
    </row>
    <row r="34" spans="1:20" x14ac:dyDescent="0.2">
      <c r="A34" s="5">
        <v>43</v>
      </c>
      <c r="B34" s="1">
        <f t="shared" si="8"/>
        <v>1.9002927007802071</v>
      </c>
      <c r="C34" s="5">
        <f t="shared" si="9"/>
        <v>30432.700717439227</v>
      </c>
      <c r="D34" s="5">
        <f t="shared" si="0"/>
        <v>29023.5941492825</v>
      </c>
      <c r="E34" s="5">
        <f t="shared" si="1"/>
        <v>19523.5941492825</v>
      </c>
      <c r="F34" s="5">
        <f t="shared" si="2"/>
        <v>6676.2034897407357</v>
      </c>
      <c r="G34" s="5">
        <f t="shared" si="3"/>
        <v>22347.390659541765</v>
      </c>
      <c r="H34" s="22">
        <f t="shared" si="10"/>
        <v>13999.141249900858</v>
      </c>
      <c r="I34" s="5">
        <f t="shared" si="4"/>
        <v>35016.613490702046</v>
      </c>
      <c r="J34" s="25">
        <f t="shared" si="5"/>
        <v>0.12917428393128708</v>
      </c>
      <c r="L34" s="22">
        <f t="shared" si="11"/>
        <v>40283.632892437294</v>
      </c>
      <c r="M34" s="5">
        <f>scrimecost*Meta!O31</f>
        <v>15018.623999999998</v>
      </c>
      <c r="N34" s="5">
        <f>L34-Grade10!L34</f>
        <v>2092.2313263295437</v>
      </c>
      <c r="O34" s="5">
        <f>Grade10!M34-M34</f>
        <v>312.19200000000092</v>
      </c>
      <c r="P34" s="22">
        <f t="shared" si="12"/>
        <v>70.545656598188643</v>
      </c>
      <c r="Q34" s="22"/>
      <c r="R34" s="22"/>
      <c r="S34" s="22">
        <f t="shared" si="6"/>
        <v>1348.2191490822645</v>
      </c>
      <c r="T34" s="22">
        <f t="shared" si="7"/>
        <v>479.56052349464386</v>
      </c>
    </row>
    <row r="35" spans="1:20" x14ac:dyDescent="0.2">
      <c r="A35" s="5">
        <v>44</v>
      </c>
      <c r="B35" s="1">
        <f t="shared" si="8"/>
        <v>1.9478000182997122</v>
      </c>
      <c r="C35" s="5">
        <f t="shared" si="9"/>
        <v>31193.518235375206</v>
      </c>
      <c r="D35" s="5">
        <f t="shared" si="0"/>
        <v>29712.134003014562</v>
      </c>
      <c r="E35" s="5">
        <f t="shared" si="1"/>
        <v>20212.134003014562</v>
      </c>
      <c r="F35" s="5">
        <f t="shared" si="2"/>
        <v>6901.0117519842543</v>
      </c>
      <c r="G35" s="5">
        <f t="shared" si="3"/>
        <v>22811.122251030309</v>
      </c>
      <c r="H35" s="22">
        <f t="shared" si="10"/>
        <v>14349.11978114838</v>
      </c>
      <c r="I35" s="5">
        <f t="shared" si="4"/>
        <v>35797.075652969594</v>
      </c>
      <c r="J35" s="25">
        <f t="shared" si="5"/>
        <v>0.1314780730820396</v>
      </c>
      <c r="L35" s="22">
        <f t="shared" si="11"/>
        <v>41290.723714748223</v>
      </c>
      <c r="M35" s="5">
        <f>scrimecost*Meta!O32</f>
        <v>15018.623999999998</v>
      </c>
      <c r="N35" s="5">
        <f>L35-Grade10!L35</f>
        <v>2144.5371094877773</v>
      </c>
      <c r="O35" s="5">
        <f>Grade10!M35-M35</f>
        <v>312.19200000000092</v>
      </c>
      <c r="P35" s="22">
        <f t="shared" si="12"/>
        <v>71.896948741067902</v>
      </c>
      <c r="Q35" s="22"/>
      <c r="R35" s="22"/>
      <c r="S35" s="22">
        <f t="shared" si="6"/>
        <v>1374.7099707484365</v>
      </c>
      <c r="T35" s="22">
        <f t="shared" si="7"/>
        <v>470.61683522471043</v>
      </c>
    </row>
    <row r="36" spans="1:20" x14ac:dyDescent="0.2">
      <c r="A36" s="5">
        <v>45</v>
      </c>
      <c r="B36" s="1">
        <f t="shared" si="8"/>
        <v>1.9964950187572048</v>
      </c>
      <c r="C36" s="5">
        <f t="shared" si="9"/>
        <v>31973.35619125958</v>
      </c>
      <c r="D36" s="5">
        <f t="shared" si="0"/>
        <v>30417.887353089922</v>
      </c>
      <c r="E36" s="5">
        <f t="shared" si="1"/>
        <v>20917.887353089922</v>
      </c>
      <c r="F36" s="5">
        <f t="shared" si="2"/>
        <v>7131.4402207838593</v>
      </c>
      <c r="G36" s="5">
        <f t="shared" si="3"/>
        <v>23286.447132306064</v>
      </c>
      <c r="H36" s="22">
        <f t="shared" si="10"/>
        <v>14707.847775677088</v>
      </c>
      <c r="I36" s="5">
        <f t="shared" si="4"/>
        <v>36597.049369293833</v>
      </c>
      <c r="J36" s="25">
        <f t="shared" si="5"/>
        <v>0.13372567225350548</v>
      </c>
      <c r="L36" s="22">
        <f t="shared" si="11"/>
        <v>42322.991807616934</v>
      </c>
      <c r="M36" s="5">
        <f>scrimecost*Meta!O33</f>
        <v>12137.447</v>
      </c>
      <c r="N36" s="5">
        <f>L36-Grade10!L36</f>
        <v>2198.150537224974</v>
      </c>
      <c r="O36" s="5">
        <f>Grade10!M36-M36</f>
        <v>252.3010000000013</v>
      </c>
      <c r="P36" s="22">
        <f t="shared" si="12"/>
        <v>73.282023187519144</v>
      </c>
      <c r="Q36" s="22"/>
      <c r="R36" s="22"/>
      <c r="S36" s="22">
        <f t="shared" si="6"/>
        <v>1349.2787649562665</v>
      </c>
      <c r="T36" s="22">
        <f t="shared" si="7"/>
        <v>444.56114655571355</v>
      </c>
    </row>
    <row r="37" spans="1:20" x14ac:dyDescent="0.2">
      <c r="A37" s="5">
        <v>46</v>
      </c>
      <c r="B37" s="1">
        <f t="shared" ref="B37:B56" si="13">(1+experiencepremium)^(A37-startage)</f>
        <v>2.0464073942261352</v>
      </c>
      <c r="C37" s="5">
        <f t="shared" ref="C37:C56" si="14">pretaxincome*B37/expnorm</f>
        <v>32772.690096041071</v>
      </c>
      <c r="D37" s="5">
        <f t="shared" ref="D37:D56" si="15">IF(A37&lt;startage,1,0)*(C37*(1-initialunempprob))+IF(A37=startage,1,0)*(C37*(1-unempprob))+IF(A37&gt;startage,1,0)*(C37*(1-unempprob)+unempprob*300*52)</f>
        <v>31141.28453691717</v>
      </c>
      <c r="E37" s="5">
        <f t="shared" si="1"/>
        <v>21641.28453691717</v>
      </c>
      <c r="F37" s="5">
        <f t="shared" si="2"/>
        <v>7367.6294013034558</v>
      </c>
      <c r="G37" s="5">
        <f t="shared" si="3"/>
        <v>23773.655135613713</v>
      </c>
      <c r="H37" s="22">
        <f t="shared" ref="H37:H56" si="16">benefits*B37/expnorm</f>
        <v>15075.543970069017</v>
      </c>
      <c r="I37" s="5">
        <f t="shared" ref="I37:I56" si="17">G37+IF(A37&lt;startage,1,0)*(H37*(1-initialunempprob))+IF(A37&gt;=startage,1,0)*(H37*(1-unempprob))</f>
        <v>37417.022428526172</v>
      </c>
      <c r="J37" s="25">
        <f t="shared" si="5"/>
        <v>0.13591845193298435</v>
      </c>
      <c r="L37" s="22">
        <f t="shared" ref="L37:L56" si="18">(sincome+sbenefits)*(1-sunemp)*B37/expnorm</f>
        <v>43381.066602807354</v>
      </c>
      <c r="M37" s="5">
        <f>scrimecost*Meta!O34</f>
        <v>12137.447</v>
      </c>
      <c r="N37" s="5">
        <f>L37-Grade10!L37</f>
        <v>2253.1043006555992</v>
      </c>
      <c r="O37" s="5">
        <f>Grade10!M37-M37</f>
        <v>252.3010000000013</v>
      </c>
      <c r="P37" s="22">
        <f t="shared" si="12"/>
        <v>74.701724495131657</v>
      </c>
      <c r="Q37" s="22"/>
      <c r="R37" s="22"/>
      <c r="S37" s="22">
        <f t="shared" si="6"/>
        <v>1377.1106844692913</v>
      </c>
      <c r="T37" s="22">
        <f t="shared" si="7"/>
        <v>436.68885506719477</v>
      </c>
    </row>
    <row r="38" spans="1:20" x14ac:dyDescent="0.2">
      <c r="A38" s="5">
        <v>47</v>
      </c>
      <c r="B38" s="1">
        <f t="shared" si="13"/>
        <v>2.097567579081788</v>
      </c>
      <c r="C38" s="5">
        <f t="shared" si="14"/>
        <v>33592.007348442094</v>
      </c>
      <c r="D38" s="5">
        <f t="shared" si="15"/>
        <v>31882.766650340094</v>
      </c>
      <c r="E38" s="5">
        <f t="shared" si="1"/>
        <v>22382.766650340094</v>
      </c>
      <c r="F38" s="5">
        <f t="shared" si="2"/>
        <v>7609.7233113360408</v>
      </c>
      <c r="G38" s="5">
        <f t="shared" si="3"/>
        <v>24273.043339004053</v>
      </c>
      <c r="H38" s="22">
        <f t="shared" si="16"/>
        <v>15452.432569320739</v>
      </c>
      <c r="I38" s="5">
        <f t="shared" si="17"/>
        <v>38257.494814239326</v>
      </c>
      <c r="J38" s="25">
        <f t="shared" si="5"/>
        <v>0.13805774918125643</v>
      </c>
      <c r="L38" s="22">
        <f t="shared" si="18"/>
        <v>44465.593267877528</v>
      </c>
      <c r="M38" s="5">
        <f>scrimecost*Meta!O35</f>
        <v>12137.447</v>
      </c>
      <c r="N38" s="5">
        <f>L38-Grade10!L38</f>
        <v>2309.4319081719732</v>
      </c>
      <c r="O38" s="5">
        <f>Grade10!M38-M38</f>
        <v>252.3010000000013</v>
      </c>
      <c r="P38" s="22">
        <f t="shared" si="12"/>
        <v>76.156918335434469</v>
      </c>
      <c r="Q38" s="22"/>
      <c r="R38" s="22"/>
      <c r="S38" s="22">
        <f t="shared" si="6"/>
        <v>1405.6384019701336</v>
      </c>
      <c r="T38" s="22">
        <f t="shared" si="7"/>
        <v>428.99310889587349</v>
      </c>
    </row>
    <row r="39" spans="1:20" x14ac:dyDescent="0.2">
      <c r="A39" s="5">
        <v>48</v>
      </c>
      <c r="B39" s="1">
        <f t="shared" si="13"/>
        <v>2.1500067685588333</v>
      </c>
      <c r="C39" s="5">
        <f t="shared" si="14"/>
        <v>34431.807532153158</v>
      </c>
      <c r="D39" s="5">
        <f t="shared" si="15"/>
        <v>32642.785816598607</v>
      </c>
      <c r="E39" s="5">
        <f t="shared" si="1"/>
        <v>23142.785816598607</v>
      </c>
      <c r="F39" s="5">
        <f t="shared" si="2"/>
        <v>7857.8695691194453</v>
      </c>
      <c r="G39" s="5">
        <f t="shared" si="3"/>
        <v>24784.916247479163</v>
      </c>
      <c r="H39" s="22">
        <f t="shared" si="16"/>
        <v>15838.743383553761</v>
      </c>
      <c r="I39" s="5">
        <f t="shared" si="17"/>
        <v>39118.979009595321</v>
      </c>
      <c r="J39" s="25">
        <f t="shared" ref="J39:J56" si="19">(F39-(IF(A39&gt;startage,1,0)*(unempprob*300*52)))/(IF(A39&lt;startage,1,0)*((C39+H39)*(1-initialunempprob))+IF(A39&gt;=startage,1,0)*((C39+H39)*(1-unempprob)))</f>
        <v>0.14014486844786342</v>
      </c>
      <c r="L39" s="22">
        <f t="shared" si="18"/>
        <v>45577.233099574485</v>
      </c>
      <c r="M39" s="5">
        <f>scrimecost*Meta!O36</f>
        <v>12137.447</v>
      </c>
      <c r="N39" s="5">
        <f>L39-Grade10!L39</f>
        <v>2367.1677058763016</v>
      </c>
      <c r="O39" s="5">
        <f>Grade10!M39-M39</f>
        <v>252.3010000000013</v>
      </c>
      <c r="P39" s="22">
        <f t="shared" si="12"/>
        <v>77.6484920217449</v>
      </c>
      <c r="Q39" s="22"/>
      <c r="R39" s="22"/>
      <c r="S39" s="22">
        <f t="shared" ref="S39:S69" si="20">IF(A39&lt;startage,1,0)*(N39-Q39-R39)+IF(A39&gt;=startage,1,0)*completionprob*(N39*spart+O39+P39)</f>
        <v>1434.8793124085187</v>
      </c>
      <c r="T39" s="22">
        <f t="shared" ref="T39:T69" si="21">S39/sreturn^(A39-startage+1)</f>
        <v>421.46888526840036</v>
      </c>
    </row>
    <row r="40" spans="1:20" x14ac:dyDescent="0.2">
      <c r="A40" s="5">
        <v>49</v>
      </c>
      <c r="B40" s="1">
        <f t="shared" si="13"/>
        <v>2.2037569377728037</v>
      </c>
      <c r="C40" s="5">
        <f t="shared" si="14"/>
        <v>35292.602720456976</v>
      </c>
      <c r="D40" s="5">
        <f t="shared" si="15"/>
        <v>33421.805462013566</v>
      </c>
      <c r="E40" s="5">
        <f t="shared" si="1"/>
        <v>23921.805462013566</v>
      </c>
      <c r="F40" s="5">
        <f t="shared" si="2"/>
        <v>8112.2194833474296</v>
      </c>
      <c r="G40" s="5">
        <f t="shared" si="3"/>
        <v>25309.585978666139</v>
      </c>
      <c r="H40" s="22">
        <f t="shared" si="16"/>
        <v>16234.711968142601</v>
      </c>
      <c r="I40" s="5">
        <f t="shared" si="17"/>
        <v>40002.000309835195</v>
      </c>
      <c r="J40" s="25">
        <f t="shared" si="19"/>
        <v>0.14218108236650429</v>
      </c>
      <c r="L40" s="22">
        <f t="shared" si="18"/>
        <v>46716.663927063833</v>
      </c>
      <c r="M40" s="5">
        <f>scrimecost*Meta!O37</f>
        <v>12137.447</v>
      </c>
      <c r="N40" s="5">
        <f>L40-Grade10!L40</f>
        <v>2426.346898523203</v>
      </c>
      <c r="O40" s="5">
        <f>Grade10!M40-M40</f>
        <v>252.3010000000013</v>
      </c>
      <c r="P40" s="22">
        <f t="shared" ref="P40:P56" si="22">(spart-initialspart)*(L40*J40+nptrans)</f>
        <v>79.177355050213038</v>
      </c>
      <c r="Q40" s="22"/>
      <c r="R40" s="22"/>
      <c r="S40" s="22">
        <f t="shared" si="20"/>
        <v>1464.8512456078465</v>
      </c>
      <c r="T40" s="22">
        <f t="shared" si="21"/>
        <v>414.11132835724163</v>
      </c>
    </row>
    <row r="41" spans="1:20" x14ac:dyDescent="0.2">
      <c r="A41" s="5">
        <v>50</v>
      </c>
      <c r="B41" s="1">
        <f t="shared" si="13"/>
        <v>2.2588508612171236</v>
      </c>
      <c r="C41" s="5">
        <f t="shared" si="14"/>
        <v>36174.917788468396</v>
      </c>
      <c r="D41" s="5">
        <f t="shared" si="15"/>
        <v>34220.300598563903</v>
      </c>
      <c r="E41" s="5">
        <f t="shared" si="1"/>
        <v>24720.300598563903</v>
      </c>
      <c r="F41" s="5">
        <f t="shared" si="2"/>
        <v>8372.9281454311149</v>
      </c>
      <c r="G41" s="5">
        <f t="shared" si="3"/>
        <v>25847.37245313279</v>
      </c>
      <c r="H41" s="22">
        <f t="shared" si="16"/>
        <v>16640.579767346168</v>
      </c>
      <c r="I41" s="5">
        <f t="shared" si="17"/>
        <v>40907.097142581071</v>
      </c>
      <c r="J41" s="25">
        <f t="shared" si="19"/>
        <v>0.14416763253103199</v>
      </c>
      <c r="L41" s="22">
        <f t="shared" si="18"/>
        <v>47884.580525240432</v>
      </c>
      <c r="M41" s="5">
        <f>scrimecost*Meta!O38</f>
        <v>8109.0140000000001</v>
      </c>
      <c r="N41" s="5">
        <f>L41-Grade10!L41</f>
        <v>2487.0055709862791</v>
      </c>
      <c r="O41" s="5">
        <f>Grade10!M41-M41</f>
        <v>168.56199999999899</v>
      </c>
      <c r="P41" s="22">
        <f t="shared" si="22"/>
        <v>80.74443965439292</v>
      </c>
      <c r="Q41" s="22"/>
      <c r="R41" s="22"/>
      <c r="S41" s="22">
        <f t="shared" si="20"/>
        <v>1422.0496351371562</v>
      </c>
      <c r="T41" s="22">
        <f t="shared" si="21"/>
        <v>386.91162958790017</v>
      </c>
    </row>
    <row r="42" spans="1:20" x14ac:dyDescent="0.2">
      <c r="A42" s="5">
        <v>51</v>
      </c>
      <c r="B42" s="1">
        <f t="shared" si="13"/>
        <v>2.3153221327475517</v>
      </c>
      <c r="C42" s="5">
        <f t="shared" si="14"/>
        <v>37079.290733180103</v>
      </c>
      <c r="D42" s="5">
        <f t="shared" si="15"/>
        <v>35038.758113527998</v>
      </c>
      <c r="E42" s="5">
        <f t="shared" si="1"/>
        <v>25538.758113527998</v>
      </c>
      <c r="F42" s="5">
        <f t="shared" si="2"/>
        <v>8640.1545240668911</v>
      </c>
      <c r="G42" s="5">
        <f t="shared" si="3"/>
        <v>26398.603589461105</v>
      </c>
      <c r="H42" s="22">
        <f t="shared" si="16"/>
        <v>17056.594261529819</v>
      </c>
      <c r="I42" s="5">
        <f t="shared" si="17"/>
        <v>41834.821396145591</v>
      </c>
      <c r="J42" s="25">
        <f t="shared" si="19"/>
        <v>0.14610573025252241</v>
      </c>
      <c r="L42" s="22">
        <f t="shared" si="18"/>
        <v>49081.695038371436</v>
      </c>
      <c r="M42" s="5">
        <f>scrimecost*Meta!O39</f>
        <v>8109.0140000000001</v>
      </c>
      <c r="N42" s="5">
        <f>L42-Grade10!L42</f>
        <v>2549.1807102609382</v>
      </c>
      <c r="O42" s="5">
        <f>Grade10!M42-M42</f>
        <v>168.56199999999899</v>
      </c>
      <c r="P42" s="22">
        <f t="shared" si="22"/>
        <v>82.350701373677254</v>
      </c>
      <c r="Q42" s="22"/>
      <c r="R42" s="22"/>
      <c r="S42" s="22">
        <f t="shared" si="20"/>
        <v>1453.5388974547041</v>
      </c>
      <c r="T42" s="22">
        <f t="shared" si="21"/>
        <v>380.62484111466523</v>
      </c>
    </row>
    <row r="43" spans="1:20" x14ac:dyDescent="0.2">
      <c r="A43" s="5">
        <v>52</v>
      </c>
      <c r="B43" s="1">
        <f t="shared" si="13"/>
        <v>2.3732051860662402</v>
      </c>
      <c r="C43" s="5">
        <f t="shared" si="14"/>
        <v>38006.273001509609</v>
      </c>
      <c r="D43" s="5">
        <f t="shared" si="15"/>
        <v>35877.677066366196</v>
      </c>
      <c r="E43" s="5">
        <f t="shared" si="1"/>
        <v>26377.677066366196</v>
      </c>
      <c r="F43" s="5">
        <f t="shared" si="2"/>
        <v>8914.0615621685629</v>
      </c>
      <c r="G43" s="5">
        <f t="shared" si="3"/>
        <v>26963.615504197631</v>
      </c>
      <c r="H43" s="22">
        <f t="shared" si="16"/>
        <v>17483.009118068065</v>
      </c>
      <c r="I43" s="5">
        <f t="shared" si="17"/>
        <v>42785.738756049228</v>
      </c>
      <c r="J43" s="25">
        <f t="shared" si="19"/>
        <v>0.14799655729787892</v>
      </c>
      <c r="L43" s="22">
        <f t="shared" si="18"/>
        <v>50308.737414330717</v>
      </c>
      <c r="M43" s="5">
        <f>scrimecost*Meta!O40</f>
        <v>8109.0140000000001</v>
      </c>
      <c r="N43" s="5">
        <f>L43-Grade10!L43</f>
        <v>2612.9102280174484</v>
      </c>
      <c r="O43" s="5">
        <f>Grade10!M43-M43</f>
        <v>168.56199999999899</v>
      </c>
      <c r="P43" s="22">
        <f t="shared" si="22"/>
        <v>83.997119635943719</v>
      </c>
      <c r="Q43" s="22"/>
      <c r="R43" s="22"/>
      <c r="S43" s="22">
        <f t="shared" si="20"/>
        <v>1485.815391330183</v>
      </c>
      <c r="T43" s="22">
        <f t="shared" si="21"/>
        <v>374.46287325396219</v>
      </c>
    </row>
    <row r="44" spans="1:20" x14ac:dyDescent="0.2">
      <c r="A44" s="5">
        <v>53</v>
      </c>
      <c r="B44" s="1">
        <f t="shared" si="13"/>
        <v>2.4325353157178964</v>
      </c>
      <c r="C44" s="5">
        <f t="shared" si="14"/>
        <v>38956.429826547348</v>
      </c>
      <c r="D44" s="5">
        <f t="shared" si="15"/>
        <v>36737.56899302535</v>
      </c>
      <c r="E44" s="5">
        <f t="shared" si="1"/>
        <v>27237.56899302535</v>
      </c>
      <c r="F44" s="5">
        <f t="shared" si="2"/>
        <v>9194.8162762227767</v>
      </c>
      <c r="G44" s="5">
        <f t="shared" si="3"/>
        <v>27542.752716802574</v>
      </c>
      <c r="H44" s="22">
        <f t="shared" si="16"/>
        <v>17920.084346019765</v>
      </c>
      <c r="I44" s="5">
        <f t="shared" si="17"/>
        <v>43760.429049950457</v>
      </c>
      <c r="J44" s="25">
        <f t="shared" si="19"/>
        <v>0.14984126661042188</v>
      </c>
      <c r="L44" s="22">
        <f t="shared" si="18"/>
        <v>51566.455849688988</v>
      </c>
      <c r="M44" s="5">
        <f>scrimecost*Meta!O41</f>
        <v>8109.0140000000001</v>
      </c>
      <c r="N44" s="5">
        <f>L44-Grade10!L44</f>
        <v>2678.2329837178986</v>
      </c>
      <c r="O44" s="5">
        <f>Grade10!M44-M44</f>
        <v>168.56199999999899</v>
      </c>
      <c r="P44" s="22">
        <f t="shared" si="22"/>
        <v>85.684698354766851</v>
      </c>
      <c r="Q44" s="22"/>
      <c r="R44" s="22"/>
      <c r="S44" s="22">
        <f t="shared" si="20"/>
        <v>1518.8987975525622</v>
      </c>
      <c r="T44" s="22">
        <f t="shared" si="21"/>
        <v>368.42254036951738</v>
      </c>
    </row>
    <row r="45" spans="1:20" x14ac:dyDescent="0.2">
      <c r="A45" s="5">
        <v>54</v>
      </c>
      <c r="B45" s="1">
        <f t="shared" si="13"/>
        <v>2.4933486986108435</v>
      </c>
      <c r="C45" s="5">
        <f t="shared" si="14"/>
        <v>39930.340572211033</v>
      </c>
      <c r="D45" s="5">
        <f t="shared" si="15"/>
        <v>37618.958217850988</v>
      </c>
      <c r="E45" s="5">
        <f t="shared" si="1"/>
        <v>28118.958217850988</v>
      </c>
      <c r="F45" s="5">
        <f t="shared" si="2"/>
        <v>9482.5898581283473</v>
      </c>
      <c r="G45" s="5">
        <f t="shared" si="3"/>
        <v>28136.368359722641</v>
      </c>
      <c r="H45" s="22">
        <f t="shared" si="16"/>
        <v>18368.086454670258</v>
      </c>
      <c r="I45" s="5">
        <f t="shared" si="17"/>
        <v>44759.486601199227</v>
      </c>
      <c r="J45" s="25">
        <f t="shared" si="19"/>
        <v>0.15164098301290285</v>
      </c>
      <c r="L45" s="22">
        <f t="shared" si="18"/>
        <v>52855.617245931207</v>
      </c>
      <c r="M45" s="5">
        <f>scrimecost*Meta!O42</f>
        <v>8109.0140000000001</v>
      </c>
      <c r="N45" s="5">
        <f>L45-Grade10!L45</f>
        <v>2745.1888083108497</v>
      </c>
      <c r="O45" s="5">
        <f>Grade10!M45-M45</f>
        <v>168.56199999999899</v>
      </c>
      <c r="P45" s="22">
        <f t="shared" si="22"/>
        <v>87.414466541560571</v>
      </c>
      <c r="Q45" s="22"/>
      <c r="R45" s="22"/>
      <c r="S45" s="22">
        <f t="shared" si="20"/>
        <v>1552.8092889304958</v>
      </c>
      <c r="T45" s="22">
        <f t="shared" si="21"/>
        <v>362.50075619357881</v>
      </c>
    </row>
    <row r="46" spans="1:20" x14ac:dyDescent="0.2">
      <c r="A46" s="5">
        <v>55</v>
      </c>
      <c r="B46" s="1">
        <f t="shared" si="13"/>
        <v>2.555682416076114</v>
      </c>
      <c r="C46" s="5">
        <f t="shared" si="14"/>
        <v>40928.599086516297</v>
      </c>
      <c r="D46" s="5">
        <f t="shared" si="15"/>
        <v>38522.38217329725</v>
      </c>
      <c r="E46" s="5">
        <f t="shared" si="1"/>
        <v>29022.38217329725</v>
      </c>
      <c r="F46" s="5">
        <f t="shared" si="2"/>
        <v>9777.5577795815516</v>
      </c>
      <c r="G46" s="5">
        <f t="shared" si="3"/>
        <v>28744.824393715699</v>
      </c>
      <c r="H46" s="22">
        <f t="shared" si="16"/>
        <v>18827.288616037011</v>
      </c>
      <c r="I46" s="5">
        <f t="shared" si="17"/>
        <v>45783.520591229193</v>
      </c>
      <c r="J46" s="25">
        <f t="shared" si="19"/>
        <v>0.15339680389337199</v>
      </c>
      <c r="L46" s="22">
        <f t="shared" si="18"/>
        <v>54177.007677079469</v>
      </c>
      <c r="M46" s="5">
        <f>scrimecost*Meta!O43</f>
        <v>4497.7649999999994</v>
      </c>
      <c r="N46" s="5">
        <f>L46-Grade10!L46</f>
        <v>2813.8185285185973</v>
      </c>
      <c r="O46" s="5">
        <f>Grade10!M46-M46</f>
        <v>93.494999999999891</v>
      </c>
      <c r="P46" s="22">
        <f t="shared" si="22"/>
        <v>89.187478933024082</v>
      </c>
      <c r="Q46" s="22"/>
      <c r="R46" s="22"/>
      <c r="S46" s="22">
        <f t="shared" si="20"/>
        <v>1521.6587165928652</v>
      </c>
      <c r="T46" s="22">
        <f t="shared" si="21"/>
        <v>341.88614136673237</v>
      </c>
    </row>
    <row r="47" spans="1:20" x14ac:dyDescent="0.2">
      <c r="A47" s="5">
        <v>56</v>
      </c>
      <c r="B47" s="1">
        <f t="shared" si="13"/>
        <v>2.6195744764780171</v>
      </c>
      <c r="C47" s="5">
        <f t="shared" si="14"/>
        <v>41951.814063679201</v>
      </c>
      <c r="D47" s="5">
        <f t="shared" si="15"/>
        <v>39448.391727629678</v>
      </c>
      <c r="E47" s="5">
        <f t="shared" si="1"/>
        <v>29948.391727629678</v>
      </c>
      <c r="F47" s="5">
        <f t="shared" si="2"/>
        <v>10079.89989907109</v>
      </c>
      <c r="G47" s="5">
        <f t="shared" si="3"/>
        <v>29368.491828558588</v>
      </c>
      <c r="H47" s="22">
        <f t="shared" si="16"/>
        <v>19297.970831437939</v>
      </c>
      <c r="I47" s="5">
        <f t="shared" si="17"/>
        <v>46833.155431009924</v>
      </c>
      <c r="J47" s="25">
        <f t="shared" si="19"/>
        <v>0.15510979987431756</v>
      </c>
      <c r="L47" s="22">
        <f t="shared" si="18"/>
        <v>55531.432869006465</v>
      </c>
      <c r="M47" s="5">
        <f>scrimecost*Meta!O44</f>
        <v>4497.7649999999994</v>
      </c>
      <c r="N47" s="5">
        <f>L47-Grade10!L47</f>
        <v>2884.163991731577</v>
      </c>
      <c r="O47" s="5">
        <f>Grade10!M47-M47</f>
        <v>93.494999999999891</v>
      </c>
      <c r="P47" s="22">
        <f t="shared" si="22"/>
        <v>91.004816634274235</v>
      </c>
      <c r="Q47" s="22"/>
      <c r="R47" s="22"/>
      <c r="S47" s="22">
        <f t="shared" si="20"/>
        <v>1557.2859265968116</v>
      </c>
      <c r="T47" s="22">
        <f t="shared" si="21"/>
        <v>336.74878650250582</v>
      </c>
    </row>
    <row r="48" spans="1:20" x14ac:dyDescent="0.2">
      <c r="A48" s="5">
        <v>57</v>
      </c>
      <c r="B48" s="1">
        <f t="shared" si="13"/>
        <v>2.6850638383899672</v>
      </c>
      <c r="C48" s="5">
        <f t="shared" si="14"/>
        <v>43000.609415271181</v>
      </c>
      <c r="D48" s="5">
        <f t="shared" si="15"/>
        <v>40397.551520820423</v>
      </c>
      <c r="E48" s="5">
        <f t="shared" si="1"/>
        <v>30897.551520820423</v>
      </c>
      <c r="F48" s="5">
        <f t="shared" si="2"/>
        <v>10389.800571547868</v>
      </c>
      <c r="G48" s="5">
        <f t="shared" si="3"/>
        <v>30007.750949272555</v>
      </c>
      <c r="H48" s="22">
        <f t="shared" si="16"/>
        <v>19780.420102223885</v>
      </c>
      <c r="I48" s="5">
        <f t="shared" si="17"/>
        <v>47909.03114178517</v>
      </c>
      <c r="J48" s="25">
        <f t="shared" si="19"/>
        <v>0.15678101546548401</v>
      </c>
      <c r="L48" s="22">
        <f t="shared" si="18"/>
        <v>56919.718690731621</v>
      </c>
      <c r="M48" s="5">
        <f>scrimecost*Meta!O45</f>
        <v>4497.7649999999994</v>
      </c>
      <c r="N48" s="5">
        <f>L48-Grade10!L48</f>
        <v>2956.2680915248638</v>
      </c>
      <c r="O48" s="5">
        <f>Grade10!M48-M48</f>
        <v>93.494999999999891</v>
      </c>
      <c r="P48" s="22">
        <f t="shared" si="22"/>
        <v>92.867587778055636</v>
      </c>
      <c r="Q48" s="22"/>
      <c r="R48" s="22"/>
      <c r="S48" s="22">
        <f t="shared" si="20"/>
        <v>1593.8038168508485</v>
      </c>
      <c r="T48" s="22">
        <f t="shared" si="21"/>
        <v>331.70039225979986</v>
      </c>
    </row>
    <row r="49" spans="1:20" x14ac:dyDescent="0.2">
      <c r="A49" s="5">
        <v>58</v>
      </c>
      <c r="B49" s="1">
        <f t="shared" si="13"/>
        <v>2.7521904343497163</v>
      </c>
      <c r="C49" s="5">
        <f t="shared" si="14"/>
        <v>44075.624650652964</v>
      </c>
      <c r="D49" s="5">
        <f t="shared" si="15"/>
        <v>41370.440308840931</v>
      </c>
      <c r="E49" s="5">
        <f t="shared" si="1"/>
        <v>31870.440308840931</v>
      </c>
      <c r="F49" s="5">
        <f t="shared" si="2"/>
        <v>10707.448760836563</v>
      </c>
      <c r="G49" s="5">
        <f t="shared" si="3"/>
        <v>30662.991548004367</v>
      </c>
      <c r="H49" s="22">
        <f t="shared" si="16"/>
        <v>20274.930604779478</v>
      </c>
      <c r="I49" s="5">
        <f t="shared" si="17"/>
        <v>49011.803745329795</v>
      </c>
      <c r="J49" s="25">
        <f t="shared" si="19"/>
        <v>0.15841146970076828</v>
      </c>
      <c r="L49" s="22">
        <f t="shared" si="18"/>
        <v>58342.711657999906</v>
      </c>
      <c r="M49" s="5">
        <f>scrimecost*Meta!O46</f>
        <v>4497.7649999999994</v>
      </c>
      <c r="N49" s="5">
        <f>L49-Grade10!L49</f>
        <v>3030.1747938129847</v>
      </c>
      <c r="O49" s="5">
        <f>Grade10!M49-M49</f>
        <v>93.494999999999891</v>
      </c>
      <c r="P49" s="22">
        <f t="shared" si="22"/>
        <v>94.776928200431556</v>
      </c>
      <c r="Q49" s="22"/>
      <c r="R49" s="22"/>
      <c r="S49" s="22">
        <f t="shared" si="20"/>
        <v>1631.2346543612371</v>
      </c>
      <c r="T49" s="22">
        <f t="shared" si="21"/>
        <v>326.739021195318</v>
      </c>
    </row>
    <row r="50" spans="1:20" x14ac:dyDescent="0.2">
      <c r="A50" s="5">
        <v>59</v>
      </c>
      <c r="B50" s="1">
        <f t="shared" si="13"/>
        <v>2.8209951952084591</v>
      </c>
      <c r="C50" s="5">
        <f t="shared" si="14"/>
        <v>45177.515266919283</v>
      </c>
      <c r="D50" s="5">
        <f t="shared" si="15"/>
        <v>42367.651316561954</v>
      </c>
      <c r="E50" s="5">
        <f t="shared" si="1"/>
        <v>32867.651316561954</v>
      </c>
      <c r="F50" s="5">
        <f t="shared" si="2"/>
        <v>11033.038154857479</v>
      </c>
      <c r="G50" s="5">
        <f t="shared" si="3"/>
        <v>31334.613161704474</v>
      </c>
      <c r="H50" s="22">
        <f t="shared" si="16"/>
        <v>20781.803869898966</v>
      </c>
      <c r="I50" s="5">
        <f t="shared" si="17"/>
        <v>50142.145663963034</v>
      </c>
      <c r="J50" s="25">
        <f t="shared" si="19"/>
        <v>0.16000215675958226</v>
      </c>
      <c r="L50" s="22">
        <f t="shared" si="18"/>
        <v>59801.279449449903</v>
      </c>
      <c r="M50" s="5">
        <f>scrimecost*Meta!O47</f>
        <v>4497.7649999999994</v>
      </c>
      <c r="N50" s="5">
        <f>L50-Grade10!L50</f>
        <v>3105.9291636583002</v>
      </c>
      <c r="O50" s="5">
        <f>Grade10!M50-M50</f>
        <v>93.494999999999891</v>
      </c>
      <c r="P50" s="22">
        <f t="shared" si="22"/>
        <v>96.7340021333669</v>
      </c>
      <c r="Q50" s="22"/>
      <c r="R50" s="22"/>
      <c r="S50" s="22">
        <f t="shared" si="20"/>
        <v>1669.6012628093813</v>
      </c>
      <c r="T50" s="22">
        <f t="shared" si="21"/>
        <v>321.86278968430076</v>
      </c>
    </row>
    <row r="51" spans="1:20" x14ac:dyDescent="0.2">
      <c r="A51" s="5">
        <v>60</v>
      </c>
      <c r="B51" s="1">
        <f t="shared" si="13"/>
        <v>2.8915200750886707</v>
      </c>
      <c r="C51" s="5">
        <f t="shared" si="14"/>
        <v>46306.953148592263</v>
      </c>
      <c r="D51" s="5">
        <f t="shared" si="15"/>
        <v>43389.792599476001</v>
      </c>
      <c r="E51" s="5">
        <f t="shared" si="1"/>
        <v>33889.792599476001</v>
      </c>
      <c r="F51" s="5">
        <f t="shared" si="2"/>
        <v>11366.767283728914</v>
      </c>
      <c r="G51" s="5">
        <f t="shared" si="3"/>
        <v>32023.025315747087</v>
      </c>
      <c r="H51" s="22">
        <f t="shared" si="16"/>
        <v>21301.348966646441</v>
      </c>
      <c r="I51" s="5">
        <f t="shared" si="17"/>
        <v>51300.746130562118</v>
      </c>
      <c r="J51" s="25">
        <f t="shared" si="19"/>
        <v>0.16155404657305925</v>
      </c>
      <c r="L51" s="22">
        <f t="shared" si="18"/>
        <v>61296.311435686155</v>
      </c>
      <c r="M51" s="5">
        <f>scrimecost*Meta!O48</f>
        <v>2372.7339999999999</v>
      </c>
      <c r="N51" s="5">
        <f>L51-Grade10!L51</f>
        <v>3183.5773927497794</v>
      </c>
      <c r="O51" s="5">
        <f>Grade10!M51-M51</f>
        <v>49.322000000000116</v>
      </c>
      <c r="P51" s="22">
        <f t="shared" si="22"/>
        <v>98.740002914625592</v>
      </c>
      <c r="Q51" s="22"/>
      <c r="R51" s="22"/>
      <c r="S51" s="22">
        <f t="shared" si="20"/>
        <v>1670.1431424687444</v>
      </c>
      <c r="T51" s="22">
        <f t="shared" si="21"/>
        <v>309.8740035949059</v>
      </c>
    </row>
    <row r="52" spans="1:20" x14ac:dyDescent="0.2">
      <c r="A52" s="5">
        <v>61</v>
      </c>
      <c r="B52" s="1">
        <f t="shared" si="13"/>
        <v>2.9638080769658868</v>
      </c>
      <c r="C52" s="5">
        <f t="shared" si="14"/>
        <v>47464.626977307067</v>
      </c>
      <c r="D52" s="5">
        <f t="shared" si="15"/>
        <v>44437.487414462899</v>
      </c>
      <c r="E52" s="5">
        <f t="shared" si="1"/>
        <v>34937.487414462899</v>
      </c>
      <c r="F52" s="5">
        <f t="shared" si="2"/>
        <v>11752.588382268426</v>
      </c>
      <c r="G52" s="5">
        <f t="shared" si="3"/>
        <v>32684.899032194473</v>
      </c>
      <c r="H52" s="22">
        <f t="shared" si="16"/>
        <v>21833.882690812596</v>
      </c>
      <c r="I52" s="5">
        <f t="shared" si="17"/>
        <v>52444.562867379871</v>
      </c>
      <c r="J52" s="25">
        <f t="shared" si="19"/>
        <v>0.16376566392042344</v>
      </c>
      <c r="L52" s="22">
        <f t="shared" si="18"/>
        <v>62828.7192215783</v>
      </c>
      <c r="M52" s="5">
        <f>scrimecost*Meta!O49</f>
        <v>2372.7339999999999</v>
      </c>
      <c r="N52" s="5">
        <f>L52-Grade10!L52</f>
        <v>3263.1668275685151</v>
      </c>
      <c r="O52" s="5">
        <f>Grade10!M52-M52</f>
        <v>49.322000000000116</v>
      </c>
      <c r="P52" s="22">
        <f t="shared" si="22"/>
        <v>101.05912149954993</v>
      </c>
      <c r="Q52" s="22"/>
      <c r="R52" s="22"/>
      <c r="S52" s="22">
        <f t="shared" si="20"/>
        <v>1710.6829461840462</v>
      </c>
      <c r="T52" s="22">
        <f t="shared" si="21"/>
        <v>305.47411588972233</v>
      </c>
    </row>
    <row r="53" spans="1:20" x14ac:dyDescent="0.2">
      <c r="A53" s="5">
        <v>62</v>
      </c>
      <c r="B53" s="1">
        <f t="shared" si="13"/>
        <v>3.0379032788900342</v>
      </c>
      <c r="C53" s="5">
        <f t="shared" si="14"/>
        <v>48651.242651739747</v>
      </c>
      <c r="D53" s="5">
        <f t="shared" si="15"/>
        <v>45511.37459982447</v>
      </c>
      <c r="E53" s="5">
        <f t="shared" si="1"/>
        <v>36011.37459982447</v>
      </c>
      <c r="F53" s="5">
        <f t="shared" si="2"/>
        <v>12210.601266825135</v>
      </c>
      <c r="G53" s="5">
        <f t="shared" si="3"/>
        <v>33300.773332999335</v>
      </c>
      <c r="H53" s="22">
        <f t="shared" si="16"/>
        <v>22379.729758082914</v>
      </c>
      <c r="I53" s="5">
        <f t="shared" si="17"/>
        <v>53554.428764064374</v>
      </c>
      <c r="J53" s="25">
        <f t="shared" si="19"/>
        <v>0.16689632180794511</v>
      </c>
      <c r="L53" s="22">
        <f t="shared" si="18"/>
        <v>64399.437202117755</v>
      </c>
      <c r="M53" s="5">
        <f>scrimecost*Meta!O50</f>
        <v>2372.7339999999999</v>
      </c>
      <c r="N53" s="5">
        <f>L53-Grade10!L53</f>
        <v>3344.7459982577348</v>
      </c>
      <c r="O53" s="5">
        <f>Grade10!M53-M53</f>
        <v>49.322000000000116</v>
      </c>
      <c r="P53" s="22">
        <f t="shared" si="22"/>
        <v>103.81217517321127</v>
      </c>
      <c r="Q53" s="22"/>
      <c r="R53" s="22"/>
      <c r="S53" s="22">
        <f t="shared" si="20"/>
        <v>1752.56633534721</v>
      </c>
      <c r="T53" s="22">
        <f t="shared" si="21"/>
        <v>301.19849521586286</v>
      </c>
    </row>
    <row r="54" spans="1:20" x14ac:dyDescent="0.2">
      <c r="A54" s="5">
        <v>63</v>
      </c>
      <c r="B54" s="1">
        <f t="shared" si="13"/>
        <v>3.1138508608622844</v>
      </c>
      <c r="C54" s="5">
        <f t="shared" si="14"/>
        <v>49867.523718033226</v>
      </c>
      <c r="D54" s="5">
        <f t="shared" si="15"/>
        <v>46612.108964820072</v>
      </c>
      <c r="E54" s="5">
        <f t="shared" si="1"/>
        <v>37112.108964820072</v>
      </c>
      <c r="F54" s="5">
        <f t="shared" si="2"/>
        <v>12680.06447349576</v>
      </c>
      <c r="G54" s="5">
        <f t="shared" si="3"/>
        <v>33932.044491324312</v>
      </c>
      <c r="H54" s="22">
        <f t="shared" si="16"/>
        <v>22939.223002034982</v>
      </c>
      <c r="I54" s="5">
        <f t="shared" si="17"/>
        <v>54692.041308165972</v>
      </c>
      <c r="J54" s="25">
        <f t="shared" si="19"/>
        <v>0.16995062218601506</v>
      </c>
      <c r="L54" s="22">
        <f t="shared" si="18"/>
        <v>66009.423132170676</v>
      </c>
      <c r="M54" s="5">
        <f>scrimecost*Meta!O51</f>
        <v>2372.7339999999999</v>
      </c>
      <c r="N54" s="5">
        <f>L54-Grade10!L54</f>
        <v>3428.3646482141412</v>
      </c>
      <c r="O54" s="5">
        <f>Grade10!M54-M54</f>
        <v>49.322000000000116</v>
      </c>
      <c r="P54" s="22">
        <f t="shared" si="22"/>
        <v>106.63405518871414</v>
      </c>
      <c r="Q54" s="22"/>
      <c r="R54" s="22"/>
      <c r="S54" s="22">
        <f t="shared" si="20"/>
        <v>1795.4968092394322</v>
      </c>
      <c r="T54" s="22">
        <f t="shared" si="21"/>
        <v>296.98629766462602</v>
      </c>
    </row>
    <row r="55" spans="1:20" x14ac:dyDescent="0.2">
      <c r="A55" s="5">
        <v>64</v>
      </c>
      <c r="B55" s="1">
        <f t="shared" si="13"/>
        <v>3.1916971323838421</v>
      </c>
      <c r="C55" s="5">
        <f t="shared" si="14"/>
        <v>51114.211810984067</v>
      </c>
      <c r="D55" s="5">
        <f t="shared" si="15"/>
        <v>47740.361688940582</v>
      </c>
      <c r="E55" s="5">
        <f t="shared" si="1"/>
        <v>38240.361688940582</v>
      </c>
      <c r="F55" s="5">
        <f t="shared" si="2"/>
        <v>13161.264260333157</v>
      </c>
      <c r="G55" s="5">
        <f t="shared" si="3"/>
        <v>34579.097428607427</v>
      </c>
      <c r="H55" s="22">
        <f t="shared" si="16"/>
        <v>23512.70357708586</v>
      </c>
      <c r="I55" s="5">
        <f t="shared" si="17"/>
        <v>55858.094165870134</v>
      </c>
      <c r="J55" s="25">
        <f t="shared" si="19"/>
        <v>0.17293042743291262</v>
      </c>
      <c r="L55" s="22">
        <f t="shared" si="18"/>
        <v>67659.658710474963</v>
      </c>
      <c r="M55" s="5">
        <f>scrimecost*Meta!O52</f>
        <v>2372.7339999999999</v>
      </c>
      <c r="N55" s="5">
        <f>L55-Grade10!L55</f>
        <v>3514.0737644195178</v>
      </c>
      <c r="O55" s="5">
        <f>Grade10!M55-M55</f>
        <v>49.322000000000116</v>
      </c>
      <c r="P55" s="22">
        <f t="shared" si="22"/>
        <v>109.52648220460465</v>
      </c>
      <c r="Q55" s="22"/>
      <c r="R55" s="22"/>
      <c r="S55" s="22">
        <f t="shared" si="20"/>
        <v>1839.5005449789887</v>
      </c>
      <c r="T55" s="22">
        <f t="shared" si="21"/>
        <v>292.83645279670907</v>
      </c>
    </row>
    <row r="56" spans="1:20" x14ac:dyDescent="0.2">
      <c r="A56" s="5">
        <v>65</v>
      </c>
      <c r="B56" s="1">
        <f t="shared" si="13"/>
        <v>3.2714895606934378</v>
      </c>
      <c r="C56" s="5">
        <f t="shared" si="14"/>
        <v>52392.067106258655</v>
      </c>
      <c r="D56" s="5">
        <f t="shared" si="15"/>
        <v>48896.820731164087</v>
      </c>
      <c r="E56" s="5">
        <f t="shared" si="1"/>
        <v>39396.820731164087</v>
      </c>
      <c r="F56" s="5">
        <f t="shared" si="2"/>
        <v>13654.494041841483</v>
      </c>
      <c r="G56" s="5">
        <f t="shared" si="3"/>
        <v>35242.326689322603</v>
      </c>
      <c r="H56" s="22">
        <f t="shared" si="16"/>
        <v>24100.521166513005</v>
      </c>
      <c r="I56" s="5">
        <f t="shared" si="17"/>
        <v>57053.298345016869</v>
      </c>
      <c r="J56" s="25">
        <f t="shared" si="19"/>
        <v>0.17583755450305658</v>
      </c>
      <c r="L56" s="22">
        <f t="shared" si="18"/>
        <v>69351.150178236843</v>
      </c>
      <c r="M56" s="5">
        <f>scrimecost*Meta!O53</f>
        <v>717.03499999999997</v>
      </c>
      <c r="N56" s="5">
        <f>L56-Grade10!L56</f>
        <v>3601.9256085300294</v>
      </c>
      <c r="O56" s="5">
        <f>Grade10!M56-M56</f>
        <v>14.905000000000086</v>
      </c>
      <c r="P56" s="22">
        <f t="shared" si="22"/>
        <v>112.49121989589241</v>
      </c>
      <c r="Q56" s="22"/>
      <c r="R56" s="22"/>
      <c r="S56" s="22">
        <f t="shared" si="20"/>
        <v>1854.3862481120341</v>
      </c>
      <c r="T56" s="22">
        <f t="shared" si="21"/>
        <v>284.11807049963642</v>
      </c>
    </row>
    <row r="57" spans="1:20" x14ac:dyDescent="0.2">
      <c r="A57" s="5">
        <v>66</v>
      </c>
      <c r="C57" s="5"/>
      <c r="H57" s="21"/>
      <c r="I57" s="5"/>
      <c r="M57" s="5">
        <f>scrimecost*Meta!O54</f>
        <v>717.03499999999997</v>
      </c>
      <c r="N57" s="5">
        <f>L57-Grade10!L57</f>
        <v>0</v>
      </c>
      <c r="O57" s="5">
        <f>Grade10!M57-M57</f>
        <v>14.905000000000086</v>
      </c>
      <c r="Q57" s="22"/>
      <c r="R57" s="22"/>
      <c r="S57" s="22">
        <f t="shared" si="20"/>
        <v>13.086590000000076</v>
      </c>
      <c r="T57" s="22">
        <f t="shared" si="21"/>
        <v>1.9297391019340844</v>
      </c>
    </row>
    <row r="58" spans="1:20" x14ac:dyDescent="0.2">
      <c r="A58" s="5">
        <v>67</v>
      </c>
      <c r="C58" s="5"/>
      <c r="H58" s="21"/>
      <c r="I58" s="5"/>
      <c r="M58" s="5">
        <f>scrimecost*Meta!O55</f>
        <v>717.03499999999997</v>
      </c>
      <c r="N58" s="5">
        <f>L58-Grade10!L58</f>
        <v>0</v>
      </c>
      <c r="O58" s="5">
        <f>Grade10!M58-M58</f>
        <v>14.905000000000086</v>
      </c>
      <c r="Q58" s="22"/>
      <c r="R58" s="22"/>
      <c r="S58" s="22">
        <f t="shared" si="20"/>
        <v>13.086590000000076</v>
      </c>
      <c r="T58" s="22">
        <f t="shared" si="21"/>
        <v>1.8572571500869741</v>
      </c>
    </row>
    <row r="59" spans="1:20" x14ac:dyDescent="0.2">
      <c r="A59" s="5">
        <v>68</v>
      </c>
      <c r="H59" s="21"/>
      <c r="I59" s="5"/>
      <c r="M59" s="5">
        <f>scrimecost*Meta!O56</f>
        <v>717.03499999999997</v>
      </c>
      <c r="N59" s="5">
        <f>L59-Grade10!L59</f>
        <v>0</v>
      </c>
      <c r="O59" s="5">
        <f>Grade10!M59-M59</f>
        <v>14.905000000000086</v>
      </c>
      <c r="Q59" s="22"/>
      <c r="R59" s="22"/>
      <c r="S59" s="22">
        <f t="shared" si="20"/>
        <v>13.086590000000076</v>
      </c>
      <c r="T59" s="22">
        <f t="shared" si="21"/>
        <v>1.787497656077973</v>
      </c>
    </row>
    <row r="60" spans="1:20" x14ac:dyDescent="0.2">
      <c r="A60" s="5">
        <v>69</v>
      </c>
      <c r="H60" s="21"/>
      <c r="I60" s="5"/>
      <c r="M60" s="5">
        <f>scrimecost*Meta!O57</f>
        <v>717.03499999999997</v>
      </c>
      <c r="N60" s="5">
        <f>L60-Grade10!L60</f>
        <v>0</v>
      </c>
      <c r="O60" s="5">
        <f>Grade10!M60-M60</f>
        <v>14.905000000000086</v>
      </c>
      <c r="Q60" s="22"/>
      <c r="R60" s="22"/>
      <c r="S60" s="22">
        <f t="shared" si="20"/>
        <v>13.086590000000076</v>
      </c>
      <c r="T60" s="22">
        <f t="shared" si="21"/>
        <v>1.7203583630487689</v>
      </c>
    </row>
    <row r="61" spans="1:20" x14ac:dyDescent="0.2">
      <c r="A61" s="5">
        <v>70</v>
      </c>
      <c r="H61" s="21"/>
      <c r="I61" s="5"/>
      <c r="M61" s="5">
        <f>scrimecost*Meta!O58</f>
        <v>717.03499999999997</v>
      </c>
      <c r="N61" s="5">
        <f>L61-Grade10!L61</f>
        <v>0</v>
      </c>
      <c r="O61" s="5">
        <f>Grade10!M61-M61</f>
        <v>14.905000000000086</v>
      </c>
      <c r="Q61" s="22"/>
      <c r="R61" s="22"/>
      <c r="S61" s="22">
        <f t="shared" si="20"/>
        <v>13.086590000000076</v>
      </c>
      <c r="T61" s="22">
        <f t="shared" si="21"/>
        <v>1.6557408549590489</v>
      </c>
    </row>
    <row r="62" spans="1:20" x14ac:dyDescent="0.2">
      <c r="A62" s="5">
        <v>71</v>
      </c>
      <c r="H62" s="21"/>
      <c r="I62" s="5"/>
      <c r="M62" s="5">
        <f>scrimecost*Meta!O59</f>
        <v>717.03499999999997</v>
      </c>
      <c r="N62" s="5">
        <f>L62-Grade10!L62</f>
        <v>0</v>
      </c>
      <c r="O62" s="5">
        <f>Grade10!M62-M62</f>
        <v>14.905000000000086</v>
      </c>
      <c r="Q62" s="22"/>
      <c r="R62" s="22"/>
      <c r="S62" s="22">
        <f t="shared" si="20"/>
        <v>13.086590000000076</v>
      </c>
      <c r="T62" s="22">
        <f t="shared" si="21"/>
        <v>1.5935504123234856</v>
      </c>
    </row>
    <row r="63" spans="1:20" x14ac:dyDescent="0.2">
      <c r="A63" s="5">
        <v>72</v>
      </c>
      <c r="H63" s="21"/>
      <c r="M63" s="5">
        <f>scrimecost*Meta!O60</f>
        <v>717.03499999999997</v>
      </c>
      <c r="N63" s="5">
        <f>L63-Grade10!L63</f>
        <v>0</v>
      </c>
      <c r="O63" s="5">
        <f>Grade10!M63-M63</f>
        <v>14.905000000000086</v>
      </c>
      <c r="Q63" s="22"/>
      <c r="R63" s="22"/>
      <c r="S63" s="22">
        <f t="shared" si="20"/>
        <v>13.086590000000076</v>
      </c>
      <c r="T63" s="22">
        <f t="shared" si="21"/>
        <v>1.5336958733673076</v>
      </c>
    </row>
    <row r="64" spans="1:20" x14ac:dyDescent="0.2">
      <c r="A64" s="5">
        <v>73</v>
      </c>
      <c r="H64" s="21"/>
      <c r="M64" s="5">
        <f>scrimecost*Meta!O61</f>
        <v>717.03499999999997</v>
      </c>
      <c r="N64" s="5">
        <f>L64-Grade10!L64</f>
        <v>0</v>
      </c>
      <c r="O64" s="5">
        <f>Grade10!M64-M64</f>
        <v>14.905000000000086</v>
      </c>
      <c r="Q64" s="22"/>
      <c r="R64" s="22"/>
      <c r="S64" s="22">
        <f t="shared" si="20"/>
        <v>13.086590000000076</v>
      </c>
      <c r="T64" s="22">
        <f t="shared" si="21"/>
        <v>1.4760895003969376</v>
      </c>
    </row>
    <row r="65" spans="1:20" x14ac:dyDescent="0.2">
      <c r="A65" s="5">
        <v>74</v>
      </c>
      <c r="H65" s="21"/>
      <c r="M65" s="5">
        <f>scrimecost*Meta!O62</f>
        <v>717.03499999999997</v>
      </c>
      <c r="N65" s="5">
        <f>L65-Grade10!L65</f>
        <v>0</v>
      </c>
      <c r="O65" s="5">
        <f>Grade10!M65-M65</f>
        <v>14.905000000000086</v>
      </c>
      <c r="Q65" s="22"/>
      <c r="R65" s="22"/>
      <c r="S65" s="22">
        <f t="shared" si="20"/>
        <v>13.086590000000076</v>
      </c>
      <c r="T65" s="22">
        <f t="shared" si="21"/>
        <v>1.4206468511898172</v>
      </c>
    </row>
    <row r="66" spans="1:20" x14ac:dyDescent="0.2">
      <c r="A66" s="5">
        <v>75</v>
      </c>
      <c r="H66" s="21"/>
      <c r="M66" s="5">
        <f>scrimecost*Meta!O63</f>
        <v>717.03499999999997</v>
      </c>
      <c r="N66" s="5">
        <f>L66-Grade10!L66</f>
        <v>0</v>
      </c>
      <c r="O66" s="5">
        <f>Grade10!M66-M66</f>
        <v>14.905000000000086</v>
      </c>
      <c r="Q66" s="22"/>
      <c r="R66" s="22"/>
      <c r="S66" s="22">
        <f t="shared" si="20"/>
        <v>13.086590000000076</v>
      </c>
      <c r="T66" s="22">
        <f t="shared" si="21"/>
        <v>1.3672866552148866</v>
      </c>
    </row>
    <row r="67" spans="1:20" x14ac:dyDescent="0.2">
      <c r="A67" s="5">
        <v>76</v>
      </c>
      <c r="H67" s="21"/>
      <c r="M67" s="5">
        <f>scrimecost*Meta!O64</f>
        <v>717.03499999999997</v>
      </c>
      <c r="N67" s="5">
        <f>L67-Grade10!L67</f>
        <v>0</v>
      </c>
      <c r="O67" s="5">
        <f>Grade10!M67-M67</f>
        <v>14.905000000000086</v>
      </c>
      <c r="Q67" s="22"/>
      <c r="R67" s="22"/>
      <c r="S67" s="22">
        <f t="shared" si="20"/>
        <v>13.086590000000076</v>
      </c>
      <c r="T67" s="22">
        <f t="shared" si="21"/>
        <v>1.3159306945022931</v>
      </c>
    </row>
    <row r="68" spans="1:20" x14ac:dyDescent="0.2">
      <c r="A68" s="5">
        <v>77</v>
      </c>
      <c r="H68" s="21"/>
      <c r="M68" s="5">
        <f>scrimecost*Meta!O65</f>
        <v>717.03499999999997</v>
      </c>
      <c r="N68" s="5">
        <f>L68-Grade10!L68</f>
        <v>0</v>
      </c>
      <c r="O68" s="5">
        <f>Grade10!M68-M68</f>
        <v>14.905000000000086</v>
      </c>
      <c r="Q68" s="22"/>
      <c r="R68" s="22"/>
      <c r="S68" s="22">
        <f t="shared" si="20"/>
        <v>13.086590000000076</v>
      </c>
      <c r="T68" s="22">
        <f t="shared" si="21"/>
        <v>1.2665036889876857</v>
      </c>
    </row>
    <row r="69" spans="1:20" x14ac:dyDescent="0.2">
      <c r="A69" s="5">
        <v>78</v>
      </c>
      <c r="H69" s="21"/>
      <c r="M69" s="5">
        <f>scrimecost*Meta!O66</f>
        <v>717.03499999999997</v>
      </c>
      <c r="N69" s="5">
        <f>L69-Grade10!L69</f>
        <v>0</v>
      </c>
      <c r="O69" s="5">
        <f>Grade10!M69-M69</f>
        <v>14.905000000000086</v>
      </c>
      <c r="Q69" s="22"/>
      <c r="R69" s="22"/>
      <c r="S69" s="22">
        <f t="shared" si="20"/>
        <v>13.086590000000076</v>
      </c>
      <c r="T69" s="22">
        <f t="shared" si="21"/>
        <v>1.2189331861630355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1.0731409094688615E-8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9" sqref="P9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Meta!A6+6</f>
        <v>18</v>
      </c>
      <c r="C2" s="7">
        <f>Meta!B6</f>
        <v>36777</v>
      </c>
      <c r="D2" s="7">
        <f>Meta!C6</f>
        <v>16917</v>
      </c>
      <c r="E2" s="1">
        <f>Meta!D6</f>
        <v>7.9000000000000001E-2</v>
      </c>
      <c r="F2" s="1">
        <f>Meta!F6</f>
        <v>0.60899999999999999</v>
      </c>
      <c r="G2" s="1">
        <f>Meta!I6</f>
        <v>1.8929079672445346</v>
      </c>
      <c r="H2" s="1">
        <f>Meta!E6</f>
        <v>0.878</v>
      </c>
      <c r="I2" s="13"/>
      <c r="J2" s="1">
        <f>Meta!X5</f>
        <v>0.55100000000000005</v>
      </c>
      <c r="K2" s="1">
        <f>Meta!D5</f>
        <v>9.5000000000000001E-2</v>
      </c>
      <c r="L2" s="28"/>
      <c r="N2" s="22">
        <f>Meta!T6</f>
        <v>32868</v>
      </c>
      <c r="O2" s="22">
        <f>Meta!U6</f>
        <v>15119</v>
      </c>
      <c r="P2" s="1">
        <f>Meta!V6</f>
        <v>9.6000000000000002E-2</v>
      </c>
      <c r="Q2" s="1">
        <f>Meta!X6</f>
        <v>0.55700000000000005</v>
      </c>
      <c r="R2" s="22">
        <f>Meta!W6</f>
        <v>12771</v>
      </c>
      <c r="T2" s="12">
        <f>IRR(S5:S69)+1</f>
        <v>1.0383572456636854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B8" s="1">
        <v>1</v>
      </c>
      <c r="C8" s="5">
        <f>0.1*Grade11!C8</f>
        <v>1601.4743783915189</v>
      </c>
      <c r="D8" s="5">
        <f t="shared" ref="D8:D36" si="0">IF(A8&lt;startage,1,0)*(C8*(1-initialunempprob))+IF(A8=startage,1,0)*(C8*(1-unempprob))+IF(A8&gt;startage,1,0)*(C8*(1-unempprob)+unempprob*300*52)</f>
        <v>1449.3343124443247</v>
      </c>
      <c r="E8" s="5">
        <f t="shared" ref="E8:E56" si="1">IF(D8-9500&gt;0,1,0)*(D8-9500)</f>
        <v>0</v>
      </c>
      <c r="F8" s="5">
        <f t="shared" ref="F8:F56" si="2">IF(E8&lt;=8500,1,0)*(0.1*E8+0.1*E8+0.0765*D8)+IF(AND(E8&gt;8500,E8&lt;=34500),1,0)*(850+0.15*(E8-8500)+0.1*E8+0.0765*D8)+IF(AND(E8&gt;34500,E8&lt;=83600),1,0)*(4750+0.25*(E8-34500)+0.1*E8+0.0765*D8)+IF(AND(E8&gt;83600,E8&lt;=174400,D8&lt;=106800),1,0)*(17025+0.28*(E8-83600)+0.1*E8+0.0765*D8)+IF(AND(E8&gt;83600,E8&lt;=174400,D8&gt;106800),1,0)*(17025+0.28*(E8-83600)+0.1*E8+8170.2+0.0145*(D8-106800))+IF(AND(E8&gt;174400,E8&lt;=379150),1,0)*(42449+0.33*(E8-174400)+0.1*E8+8170.2+0.0145*(D8-106800))+IF(E8&gt;379150,1,0)*(110016.5+0.35*(E8-379150)+0.1*E8+8170.2+0.0145*(D8-106800))</f>
        <v>110.87407490199084</v>
      </c>
      <c r="G8" s="5">
        <f t="shared" ref="G8:G56" si="3">D8-F8</f>
        <v>1338.460237542334</v>
      </c>
      <c r="H8" s="22">
        <f>0.1*Grade11!H8</f>
        <v>736.6834195675857</v>
      </c>
      <c r="I8" s="5">
        <f t="shared" ref="I8:I36" si="4">G8+IF(A8&lt;startage,1,0)*(H8*(1-initialunempprob))+IF(A8&gt;=startage,1,0)*(H8*(1-unempprob))</f>
        <v>2005.158732250999</v>
      </c>
      <c r="J8" s="25">
        <f t="shared" ref="J8:J39" si="5">(F8-(IF(A8&gt;startage,1,0)*(unempprob*300*52)))/(IF(A8&lt;startage,1,0)*((C8+H8)*(1-initialunempprob))+IF(A8&gt;=startage,1,0)*((C8+H8)*(1-unempprob)))</f>
        <v>5.2397143620455507E-2</v>
      </c>
      <c r="L8" s="22">
        <f>0.1*Grade11!L8</f>
        <v>2119.8646332692833</v>
      </c>
      <c r="M8" s="5">
        <f>scrimecost*Meta!O5</f>
        <v>34634.952000000005</v>
      </c>
      <c r="N8" s="5">
        <f>L8-Grade11!L8</f>
        <v>-19078.781699423547</v>
      </c>
      <c r="O8" s="5"/>
      <c r="P8" s="22"/>
      <c r="Q8" s="22">
        <f>0.05*feel*Grade11!G8</f>
        <v>173.40307250748566</v>
      </c>
      <c r="R8" s="22">
        <f>hstuition</f>
        <v>11298</v>
      </c>
      <c r="S8" s="22">
        <f t="shared" ref="S8:S39" si="6">IF(A8&lt;startage,1,0)*(N8-Q8-R8)+IF(A8&gt;=startage,1,0)*completionprob*(N8*spart+O8+P8)</f>
        <v>-30550.184771931032</v>
      </c>
      <c r="T8" s="22">
        <f t="shared" ref="T8:T39" si="7">S8/sreturn^(A8-startage+1)</f>
        <v>-30550.184771931032</v>
      </c>
    </row>
    <row r="9" spans="1:20" x14ac:dyDescent="0.2">
      <c r="A9" s="5">
        <v>18</v>
      </c>
      <c r="B9" s="1">
        <f t="shared" ref="B9:B36" si="8">(1+experiencepremium)^(A9-startage)</f>
        <v>1</v>
      </c>
      <c r="C9" s="5">
        <f t="shared" ref="C9:C36" si="9">pretaxincome*B9/expnorm</f>
        <v>19428.836814256472</v>
      </c>
      <c r="D9" s="5">
        <f t="shared" si="0"/>
        <v>17893.95870593021</v>
      </c>
      <c r="E9" s="5">
        <f t="shared" si="1"/>
        <v>8393.9587059302103</v>
      </c>
      <c r="F9" s="5">
        <f t="shared" si="2"/>
        <v>3047.6795821897031</v>
      </c>
      <c r="G9" s="5">
        <f t="shared" si="3"/>
        <v>14846.279123740507</v>
      </c>
      <c r="H9" s="22">
        <f t="shared" ref="H9:H36" si="10">benefits*B9/expnorm</f>
        <v>8937.0430537231623</v>
      </c>
      <c r="I9" s="5">
        <f t="shared" si="4"/>
        <v>23077.29577621954</v>
      </c>
      <c r="J9" s="25">
        <f t="shared" si="5"/>
        <v>0.1166577016964994</v>
      </c>
      <c r="L9" s="22">
        <f t="shared" ref="L9:L36" si="11">(sincome+sbenefits)*(1-sunemp)*B9/expnorm</f>
        <v>22917.251525518008</v>
      </c>
      <c r="M9" s="5">
        <f>scrimecost*Meta!O6</f>
        <v>42093.216</v>
      </c>
      <c r="N9" s="5">
        <f>L9-Grade11!L9</f>
        <v>1188.6390345078544</v>
      </c>
      <c r="O9" s="5">
        <f>Grade11!M9-M9</f>
        <v>876.73599999999715</v>
      </c>
      <c r="P9" s="22">
        <f t="shared" ref="P9:P56" si="12">(spart-initialspart)*(L9*J9+nptrans)</f>
        <v>55.364843353005199</v>
      </c>
      <c r="Q9" s="22"/>
      <c r="R9" s="22"/>
      <c r="S9" s="22">
        <f t="shared" si="6"/>
        <v>1399.6837057338641</v>
      </c>
      <c r="T9" s="22">
        <f t="shared" si="7"/>
        <v>1347.9789461470268</v>
      </c>
    </row>
    <row r="10" spans="1:20" x14ac:dyDescent="0.2">
      <c r="A10" s="5">
        <v>19</v>
      </c>
      <c r="B10" s="1">
        <f t="shared" si="8"/>
        <v>1.0249999999999999</v>
      </c>
      <c r="C10" s="5">
        <f t="shared" si="9"/>
        <v>19914.557734612881</v>
      </c>
      <c r="D10" s="5">
        <f t="shared" si="0"/>
        <v>19573.707673578465</v>
      </c>
      <c r="E10" s="5">
        <f t="shared" si="1"/>
        <v>10073.707673578465</v>
      </c>
      <c r="F10" s="5">
        <f t="shared" si="2"/>
        <v>3590.815555423369</v>
      </c>
      <c r="G10" s="5">
        <f t="shared" si="3"/>
        <v>15982.892118155096</v>
      </c>
      <c r="H10" s="22">
        <f t="shared" si="10"/>
        <v>9160.4691300662416</v>
      </c>
      <c r="I10" s="5">
        <f t="shared" si="4"/>
        <v>24419.684186946106</v>
      </c>
      <c r="J10" s="25">
        <f t="shared" si="5"/>
        <v>8.8072551006738609E-2</v>
      </c>
      <c r="L10" s="22">
        <f t="shared" si="11"/>
        <v>23490.182813655956</v>
      </c>
      <c r="M10" s="5">
        <f>scrimecost*Meta!O7</f>
        <v>44992.233</v>
      </c>
      <c r="N10" s="5">
        <f>L10-Grade11!L10</f>
        <v>1218.3550103705493</v>
      </c>
      <c r="O10" s="5">
        <f>Grade11!M10-M10</f>
        <v>937.11800000000221</v>
      </c>
      <c r="P10" s="22">
        <f t="shared" si="12"/>
        <v>51.737041944080019</v>
      </c>
      <c r="Q10" s="22"/>
      <c r="R10" s="22"/>
      <c r="S10" s="22">
        <f t="shared" si="6"/>
        <v>1464.0463712285798</v>
      </c>
      <c r="T10" s="22">
        <f t="shared" si="7"/>
        <v>1357.8795162001488</v>
      </c>
    </row>
    <row r="11" spans="1:20" x14ac:dyDescent="0.2">
      <c r="A11" s="5">
        <v>20</v>
      </c>
      <c r="B11" s="1">
        <f t="shared" si="8"/>
        <v>1.0506249999999999</v>
      </c>
      <c r="C11" s="5">
        <f t="shared" si="9"/>
        <v>20412.421677978207</v>
      </c>
      <c r="D11" s="5">
        <f t="shared" si="0"/>
        <v>20032.240365417932</v>
      </c>
      <c r="E11" s="5">
        <f t="shared" si="1"/>
        <v>10532.240365417932</v>
      </c>
      <c r="F11" s="5">
        <f t="shared" si="2"/>
        <v>3740.526479308955</v>
      </c>
      <c r="G11" s="5">
        <f t="shared" si="3"/>
        <v>16291.713886108977</v>
      </c>
      <c r="H11" s="22">
        <f t="shared" si="10"/>
        <v>9389.4808583178965</v>
      </c>
      <c r="I11" s="5">
        <f t="shared" si="4"/>
        <v>24939.425756619759</v>
      </c>
      <c r="J11" s="25">
        <f t="shared" si="5"/>
        <v>9.1378876256434607E-2</v>
      </c>
      <c r="L11" s="22">
        <f t="shared" si="11"/>
        <v>24077.437383997356</v>
      </c>
      <c r="M11" s="5">
        <f>scrimecost*Meta!O8</f>
        <v>43089.353999999999</v>
      </c>
      <c r="N11" s="5">
        <f>L11-Grade11!L11</f>
        <v>1248.8138856298174</v>
      </c>
      <c r="O11" s="5">
        <f>Grade11!M11-M11</f>
        <v>897.48400000000402</v>
      </c>
      <c r="P11" s="22">
        <f t="shared" si="12"/>
        <v>52.525015027706132</v>
      </c>
      <c r="Q11" s="22"/>
      <c r="R11" s="22"/>
      <c r="S11" s="22">
        <f t="shared" si="6"/>
        <v>1444.8353507060492</v>
      </c>
      <c r="T11" s="22">
        <f t="shared" si="7"/>
        <v>1290.5593027209807</v>
      </c>
    </row>
    <row r="12" spans="1:20" x14ac:dyDescent="0.2">
      <c r="A12" s="5">
        <v>21</v>
      </c>
      <c r="B12" s="1">
        <f t="shared" si="8"/>
        <v>1.0768906249999999</v>
      </c>
      <c r="C12" s="5">
        <f t="shared" si="9"/>
        <v>20922.73221992766</v>
      </c>
      <c r="D12" s="5">
        <f t="shared" si="0"/>
        <v>20502.236374553377</v>
      </c>
      <c r="E12" s="5">
        <f t="shared" si="1"/>
        <v>11002.236374553377</v>
      </c>
      <c r="F12" s="5">
        <f t="shared" si="2"/>
        <v>3893.9801762916777</v>
      </c>
      <c r="G12" s="5">
        <f t="shared" si="3"/>
        <v>16608.256198261697</v>
      </c>
      <c r="H12" s="22">
        <f t="shared" si="10"/>
        <v>9624.2178797758443</v>
      </c>
      <c r="I12" s="5">
        <f t="shared" si="4"/>
        <v>25472.16086553525</v>
      </c>
      <c r="J12" s="25">
        <f t="shared" si="5"/>
        <v>9.4604559426869669E-2</v>
      </c>
      <c r="L12" s="22">
        <f t="shared" si="11"/>
        <v>24679.373318597285</v>
      </c>
      <c r="M12" s="5">
        <f>scrimecost*Meta!O9</f>
        <v>39130.343999999997</v>
      </c>
      <c r="N12" s="5">
        <f>L12-Grade11!L12</f>
        <v>1280.0342327705584</v>
      </c>
      <c r="O12" s="5">
        <f>Grade11!M12-M12</f>
        <v>815.02400000000489</v>
      </c>
      <c r="P12" s="22">
        <f t="shared" si="12"/>
        <v>53.332687438422873</v>
      </c>
      <c r="Q12" s="22"/>
      <c r="R12" s="22"/>
      <c r="S12" s="22">
        <f t="shared" si="6"/>
        <v>1388.4127929704503</v>
      </c>
      <c r="T12" s="22">
        <f t="shared" si="7"/>
        <v>1194.3494547199271</v>
      </c>
    </row>
    <row r="13" spans="1:20" x14ac:dyDescent="0.2">
      <c r="A13" s="5">
        <v>22</v>
      </c>
      <c r="B13" s="1">
        <f t="shared" si="8"/>
        <v>1.1038128906249998</v>
      </c>
      <c r="C13" s="5">
        <f t="shared" si="9"/>
        <v>21445.80052542585</v>
      </c>
      <c r="D13" s="5">
        <f t="shared" si="0"/>
        <v>20983.982283917208</v>
      </c>
      <c r="E13" s="5">
        <f t="shared" si="1"/>
        <v>11483.982283917208</v>
      </c>
      <c r="F13" s="5">
        <f t="shared" si="2"/>
        <v>4051.2702156989685</v>
      </c>
      <c r="G13" s="5">
        <f t="shared" si="3"/>
        <v>16932.712068218239</v>
      </c>
      <c r="H13" s="22">
        <f t="shared" si="10"/>
        <v>9864.8233267702399</v>
      </c>
      <c r="I13" s="5">
        <f t="shared" si="4"/>
        <v>26018.214352173629</v>
      </c>
      <c r="J13" s="25">
        <f t="shared" si="5"/>
        <v>9.7751567398025804E-2</v>
      </c>
      <c r="L13" s="22">
        <f t="shared" si="11"/>
        <v>25296.357651562215</v>
      </c>
      <c r="M13" s="5">
        <f>scrimecost*Meta!O10</f>
        <v>35860.968000000001</v>
      </c>
      <c r="N13" s="5">
        <f>L13-Grade11!L13</f>
        <v>1312.035088589826</v>
      </c>
      <c r="O13" s="5">
        <f>Grade11!M13-M13</f>
        <v>746.92799999999988</v>
      </c>
      <c r="P13" s="22">
        <f t="shared" si="12"/>
        <v>54.160551659407545</v>
      </c>
      <c r="Q13" s="22"/>
      <c r="R13" s="22"/>
      <c r="S13" s="22">
        <f t="shared" si="6"/>
        <v>1345.0012602914599</v>
      </c>
      <c r="T13" s="22">
        <f t="shared" si="7"/>
        <v>1114.2655472829026</v>
      </c>
    </row>
    <row r="14" spans="1:20" x14ac:dyDescent="0.2">
      <c r="A14" s="5">
        <v>23</v>
      </c>
      <c r="B14" s="1">
        <f t="shared" si="8"/>
        <v>1.1314082128906247</v>
      </c>
      <c r="C14" s="5">
        <f t="shared" si="9"/>
        <v>21981.945538561493</v>
      </c>
      <c r="D14" s="5">
        <f t="shared" si="0"/>
        <v>21477.771841015136</v>
      </c>
      <c r="E14" s="5">
        <f t="shared" si="1"/>
        <v>11977.771841015136</v>
      </c>
      <c r="F14" s="5">
        <f t="shared" si="2"/>
        <v>4212.492506091442</v>
      </c>
      <c r="G14" s="5">
        <f t="shared" si="3"/>
        <v>17265.279334923693</v>
      </c>
      <c r="H14" s="22">
        <f t="shared" si="10"/>
        <v>10111.443909939495</v>
      </c>
      <c r="I14" s="5">
        <f t="shared" si="4"/>
        <v>26577.919175977968</v>
      </c>
      <c r="J14" s="25">
        <f t="shared" si="5"/>
        <v>0.10082181907720258</v>
      </c>
      <c r="L14" s="22">
        <f t="shared" si="11"/>
        <v>25928.766592851269</v>
      </c>
      <c r="M14" s="5">
        <f>scrimecost*Meta!O11</f>
        <v>33511.103999999999</v>
      </c>
      <c r="N14" s="5">
        <f>L14-Grade11!L14</f>
        <v>1344.8359658045702</v>
      </c>
      <c r="O14" s="5">
        <f>Grade11!M14-M14</f>
        <v>697.98400000000402</v>
      </c>
      <c r="P14" s="22">
        <f t="shared" si="12"/>
        <v>55.009112485916837</v>
      </c>
      <c r="Q14" s="22"/>
      <c r="R14" s="22"/>
      <c r="S14" s="22">
        <f t="shared" si="6"/>
        <v>1318.8146024955004</v>
      </c>
      <c r="T14" s="22">
        <f t="shared" si="7"/>
        <v>1052.2112979271601</v>
      </c>
    </row>
    <row r="15" spans="1:20" x14ac:dyDescent="0.2">
      <c r="A15" s="5">
        <v>24</v>
      </c>
      <c r="B15" s="1">
        <f t="shared" si="8"/>
        <v>1.1596934182128902</v>
      </c>
      <c r="C15" s="5">
        <f t="shared" si="9"/>
        <v>22531.494177025528</v>
      </c>
      <c r="D15" s="5">
        <f t="shared" si="0"/>
        <v>21983.906137040514</v>
      </c>
      <c r="E15" s="5">
        <f t="shared" si="1"/>
        <v>12483.906137040514</v>
      </c>
      <c r="F15" s="5">
        <f t="shared" si="2"/>
        <v>4377.7453537437277</v>
      </c>
      <c r="G15" s="5">
        <f t="shared" si="3"/>
        <v>17606.160783296786</v>
      </c>
      <c r="H15" s="22">
        <f t="shared" si="10"/>
        <v>10364.23000768798</v>
      </c>
      <c r="I15" s="5">
        <f t="shared" si="4"/>
        <v>27151.616620377416</v>
      </c>
      <c r="J15" s="25">
        <f t="shared" si="5"/>
        <v>0.10381718656908234</v>
      </c>
      <c r="L15" s="22">
        <f t="shared" si="11"/>
        <v>26576.985757672548</v>
      </c>
      <c r="M15" s="5">
        <f>scrimecost*Meta!O12</f>
        <v>32016.897000000001</v>
      </c>
      <c r="N15" s="5">
        <f>L15-Grade11!L15</f>
        <v>1378.4568649496759</v>
      </c>
      <c r="O15" s="5">
        <f>Grade11!M15-M15</f>
        <v>666.86200000000099</v>
      </c>
      <c r="P15" s="22">
        <f t="shared" si="12"/>
        <v>55.878887333088869</v>
      </c>
      <c r="Q15" s="22"/>
      <c r="R15" s="22"/>
      <c r="S15" s="22">
        <f t="shared" si="6"/>
        <v>1308.6953150546324</v>
      </c>
      <c r="T15" s="22">
        <f t="shared" si="7"/>
        <v>1005.5668862055046</v>
      </c>
    </row>
    <row r="16" spans="1:20" x14ac:dyDescent="0.2">
      <c r="A16" s="5">
        <v>25</v>
      </c>
      <c r="B16" s="1">
        <f t="shared" si="8"/>
        <v>1.1886857536682125</v>
      </c>
      <c r="C16" s="5">
        <f t="shared" si="9"/>
        <v>23094.781531451168</v>
      </c>
      <c r="D16" s="5">
        <f t="shared" si="0"/>
        <v>22502.693790466528</v>
      </c>
      <c r="E16" s="5">
        <f t="shared" si="1"/>
        <v>13002.693790466528</v>
      </c>
      <c r="F16" s="5">
        <f t="shared" si="2"/>
        <v>4547.1295225873218</v>
      </c>
      <c r="G16" s="5">
        <f t="shared" si="3"/>
        <v>17955.564267879206</v>
      </c>
      <c r="H16" s="22">
        <f t="shared" si="10"/>
        <v>10623.335757880181</v>
      </c>
      <c r="I16" s="5">
        <f t="shared" si="4"/>
        <v>27739.656500886853</v>
      </c>
      <c r="J16" s="25">
        <f t="shared" si="5"/>
        <v>0.10673949631725775</v>
      </c>
      <c r="L16" s="22">
        <f t="shared" si="11"/>
        <v>27241.410401614365</v>
      </c>
      <c r="M16" s="5">
        <f>scrimecost*Meta!O13</f>
        <v>26882.954999999998</v>
      </c>
      <c r="N16" s="5">
        <f>L16-Grade11!L16</f>
        <v>1412.9182865734256</v>
      </c>
      <c r="O16" s="5">
        <f>Grade11!M16-M16</f>
        <v>559.93000000000029</v>
      </c>
      <c r="P16" s="22">
        <f t="shared" si="12"/>
        <v>56.770406551440189</v>
      </c>
      <c r="Q16" s="22"/>
      <c r="R16" s="22"/>
      <c r="S16" s="22">
        <f t="shared" si="6"/>
        <v>1232.4449933277522</v>
      </c>
      <c r="T16" s="22">
        <f t="shared" si="7"/>
        <v>911.9964814965208</v>
      </c>
    </row>
    <row r="17" spans="1:20" x14ac:dyDescent="0.2">
      <c r="A17" s="5">
        <v>26</v>
      </c>
      <c r="B17" s="1">
        <f t="shared" si="8"/>
        <v>1.2184028975099177</v>
      </c>
      <c r="C17" s="5">
        <f t="shared" si="9"/>
        <v>23672.151069737443</v>
      </c>
      <c r="D17" s="5">
        <f t="shared" si="0"/>
        <v>23034.451135228188</v>
      </c>
      <c r="E17" s="5">
        <f t="shared" si="1"/>
        <v>13534.451135228188</v>
      </c>
      <c r="F17" s="5">
        <f t="shared" si="2"/>
        <v>4720.7482956520034</v>
      </c>
      <c r="G17" s="5">
        <f t="shared" si="3"/>
        <v>18313.702839576184</v>
      </c>
      <c r="H17" s="22">
        <f t="shared" si="10"/>
        <v>10888.919151827185</v>
      </c>
      <c r="I17" s="5">
        <f t="shared" si="4"/>
        <v>28342.397378409023</v>
      </c>
      <c r="J17" s="25">
        <f t="shared" si="5"/>
        <v>0.10959053021791663</v>
      </c>
      <c r="L17" s="22">
        <f t="shared" si="11"/>
        <v>27922.445661654721</v>
      </c>
      <c r="M17" s="5">
        <f>scrimecost*Meta!O14</f>
        <v>26882.954999999998</v>
      </c>
      <c r="N17" s="5">
        <f>L17-Grade11!L17</f>
        <v>1448.2412437377643</v>
      </c>
      <c r="O17" s="5">
        <f>Grade11!M17-M17</f>
        <v>559.93000000000029</v>
      </c>
      <c r="P17" s="22">
        <f t="shared" si="12"/>
        <v>57.684213750250287</v>
      </c>
      <c r="Q17" s="22"/>
      <c r="R17" s="22"/>
      <c r="S17" s="22">
        <f t="shared" si="6"/>
        <v>1250.5218669576986</v>
      </c>
      <c r="T17" s="22">
        <f t="shared" si="7"/>
        <v>891.18960155988566</v>
      </c>
    </row>
    <row r="18" spans="1:20" x14ac:dyDescent="0.2">
      <c r="A18" s="5">
        <v>27</v>
      </c>
      <c r="B18" s="1">
        <f t="shared" si="8"/>
        <v>1.2488629699476654</v>
      </c>
      <c r="C18" s="5">
        <f t="shared" si="9"/>
        <v>24263.954846480879</v>
      </c>
      <c r="D18" s="5">
        <f t="shared" si="0"/>
        <v>23579.502413608894</v>
      </c>
      <c r="E18" s="5">
        <f t="shared" si="1"/>
        <v>14079.502413608894</v>
      </c>
      <c r="F18" s="5">
        <f t="shared" si="2"/>
        <v>4898.7075380433034</v>
      </c>
      <c r="G18" s="5">
        <f t="shared" si="3"/>
        <v>18680.794875565589</v>
      </c>
      <c r="H18" s="22">
        <f t="shared" si="10"/>
        <v>11161.142130622864</v>
      </c>
      <c r="I18" s="5">
        <f t="shared" si="4"/>
        <v>28960.206777869247</v>
      </c>
      <c r="J18" s="25">
        <f t="shared" si="5"/>
        <v>0.11237202670636436</v>
      </c>
      <c r="L18" s="22">
        <f t="shared" si="11"/>
        <v>28620.506803196084</v>
      </c>
      <c r="M18" s="5">
        <f>scrimecost*Meta!O15</f>
        <v>26882.954999999998</v>
      </c>
      <c r="N18" s="5">
        <f>L18-Grade11!L18</f>
        <v>1484.4472748312</v>
      </c>
      <c r="O18" s="5">
        <f>Grade11!M18-M18</f>
        <v>559.93000000000029</v>
      </c>
      <c r="P18" s="22">
        <f t="shared" si="12"/>
        <v>58.620866129030659</v>
      </c>
      <c r="Q18" s="22"/>
      <c r="R18" s="22"/>
      <c r="S18" s="22">
        <f t="shared" si="6"/>
        <v>1269.0506624283883</v>
      </c>
      <c r="T18" s="22">
        <f t="shared" si="7"/>
        <v>870.98561537844375</v>
      </c>
    </row>
    <row r="19" spans="1:20" x14ac:dyDescent="0.2">
      <c r="A19" s="5">
        <v>28</v>
      </c>
      <c r="B19" s="1">
        <f t="shared" si="8"/>
        <v>1.2800845441963571</v>
      </c>
      <c r="C19" s="5">
        <f t="shared" si="9"/>
        <v>24870.553717642899</v>
      </c>
      <c r="D19" s="5">
        <f t="shared" si="0"/>
        <v>24138.179973949111</v>
      </c>
      <c r="E19" s="5">
        <f t="shared" si="1"/>
        <v>14638.179973949111</v>
      </c>
      <c r="F19" s="5">
        <f t="shared" si="2"/>
        <v>5081.1157614943841</v>
      </c>
      <c r="G19" s="5">
        <f t="shared" si="3"/>
        <v>19057.064212454727</v>
      </c>
      <c r="H19" s="22">
        <f t="shared" si="10"/>
        <v>11440.170683888433</v>
      </c>
      <c r="I19" s="5">
        <f t="shared" si="4"/>
        <v>29593.461412315974</v>
      </c>
      <c r="J19" s="25">
        <f t="shared" si="5"/>
        <v>0.11508568181704501</v>
      </c>
      <c r="L19" s="22">
        <f t="shared" si="11"/>
        <v>29336.019473275988</v>
      </c>
      <c r="M19" s="5">
        <f>scrimecost*Meta!O16</f>
        <v>26882.954999999998</v>
      </c>
      <c r="N19" s="5">
        <f>L19-Grade11!L19</f>
        <v>1521.5584567019869</v>
      </c>
      <c r="O19" s="5">
        <f>Grade11!M19-M19</f>
        <v>559.93000000000029</v>
      </c>
      <c r="P19" s="22">
        <f t="shared" si="12"/>
        <v>59.580934817280514</v>
      </c>
      <c r="Q19" s="22"/>
      <c r="R19" s="22"/>
      <c r="S19" s="22">
        <f t="shared" si="6"/>
        <v>1288.0426777858524</v>
      </c>
      <c r="T19" s="22">
        <f t="shared" si="7"/>
        <v>851.3643836458092</v>
      </c>
    </row>
    <row r="20" spans="1:20" x14ac:dyDescent="0.2">
      <c r="A20" s="5">
        <v>29</v>
      </c>
      <c r="B20" s="1">
        <f t="shared" si="8"/>
        <v>1.312086657801266</v>
      </c>
      <c r="C20" s="5">
        <f t="shared" si="9"/>
        <v>25492.317560583971</v>
      </c>
      <c r="D20" s="5">
        <f t="shared" si="0"/>
        <v>24710.824473297842</v>
      </c>
      <c r="E20" s="5">
        <f t="shared" si="1"/>
        <v>15210.824473297842</v>
      </c>
      <c r="F20" s="5">
        <f t="shared" si="2"/>
        <v>5268.0841905317457</v>
      </c>
      <c r="G20" s="5">
        <f t="shared" si="3"/>
        <v>19442.740282766095</v>
      </c>
      <c r="H20" s="22">
        <f t="shared" si="10"/>
        <v>11726.174950985645</v>
      </c>
      <c r="I20" s="5">
        <f t="shared" si="4"/>
        <v>30242.547412623877</v>
      </c>
      <c r="J20" s="25">
        <f t="shared" si="5"/>
        <v>0.11773315021770916</v>
      </c>
      <c r="L20" s="22">
        <f t="shared" si="11"/>
        <v>30069.419960107884</v>
      </c>
      <c r="M20" s="5">
        <f>scrimecost*Meta!O17</f>
        <v>26882.954999999998</v>
      </c>
      <c r="N20" s="5">
        <f>L20-Grade11!L20</f>
        <v>1559.5974181195343</v>
      </c>
      <c r="O20" s="5">
        <f>Grade11!M20-M20</f>
        <v>559.93000000000029</v>
      </c>
      <c r="P20" s="22">
        <f t="shared" si="12"/>
        <v>60.565005222736644</v>
      </c>
      <c r="Q20" s="22"/>
      <c r="R20" s="22"/>
      <c r="S20" s="22">
        <f t="shared" si="6"/>
        <v>1307.5094935272489</v>
      </c>
      <c r="T20" s="22">
        <f t="shared" si="7"/>
        <v>832.30648358509461</v>
      </c>
    </row>
    <row r="21" spans="1:20" x14ac:dyDescent="0.2">
      <c r="A21" s="5">
        <v>30</v>
      </c>
      <c r="B21" s="1">
        <f t="shared" si="8"/>
        <v>1.3448888242462975</v>
      </c>
      <c r="C21" s="5">
        <f t="shared" si="9"/>
        <v>26129.625499598569</v>
      </c>
      <c r="D21" s="5">
        <f t="shared" si="0"/>
        <v>25297.785085130286</v>
      </c>
      <c r="E21" s="5">
        <f t="shared" si="1"/>
        <v>15797.785085130286</v>
      </c>
      <c r="F21" s="5">
        <f t="shared" si="2"/>
        <v>5459.7268302950388</v>
      </c>
      <c r="G21" s="5">
        <f t="shared" si="3"/>
        <v>19838.058254835247</v>
      </c>
      <c r="H21" s="22">
        <f t="shared" si="10"/>
        <v>12019.329324760285</v>
      </c>
      <c r="I21" s="5">
        <f t="shared" si="4"/>
        <v>30907.86056293947</v>
      </c>
      <c r="J21" s="25">
        <f t="shared" si="5"/>
        <v>0.12031604621835706</v>
      </c>
      <c r="L21" s="22">
        <f t="shared" si="11"/>
        <v>30821.155459110581</v>
      </c>
      <c r="M21" s="5">
        <f>scrimecost*Meta!O18</f>
        <v>21672.387000000002</v>
      </c>
      <c r="N21" s="5">
        <f>L21-Grade11!L21</f>
        <v>1598.5873535725223</v>
      </c>
      <c r="O21" s="5">
        <f>Grade11!M21-M21</f>
        <v>451.40199999999822</v>
      </c>
      <c r="P21" s="22">
        <f t="shared" si="12"/>
        <v>61.573677388329159</v>
      </c>
      <c r="Q21" s="22"/>
      <c r="R21" s="22"/>
      <c r="S21" s="22">
        <f t="shared" si="6"/>
        <v>1232.1753956621792</v>
      </c>
      <c r="T21" s="22">
        <f t="shared" si="7"/>
        <v>755.37770348930076</v>
      </c>
    </row>
    <row r="22" spans="1:20" x14ac:dyDescent="0.2">
      <c r="A22" s="5">
        <v>31</v>
      </c>
      <c r="B22" s="1">
        <f t="shared" si="8"/>
        <v>1.3785110448524549</v>
      </c>
      <c r="C22" s="5">
        <f t="shared" si="9"/>
        <v>26782.866137088535</v>
      </c>
      <c r="D22" s="5">
        <f t="shared" si="0"/>
        <v>25899.419712258543</v>
      </c>
      <c r="E22" s="5">
        <f t="shared" si="1"/>
        <v>16399.419712258543</v>
      </c>
      <c r="F22" s="5">
        <f t="shared" si="2"/>
        <v>5656.1605360524145</v>
      </c>
      <c r="G22" s="5">
        <f t="shared" si="3"/>
        <v>20243.259176206127</v>
      </c>
      <c r="H22" s="22">
        <f t="shared" si="10"/>
        <v>12319.812557879291</v>
      </c>
      <c r="I22" s="5">
        <f t="shared" si="4"/>
        <v>31589.806542012957</v>
      </c>
      <c r="J22" s="25">
        <f t="shared" si="5"/>
        <v>0.12283594475557449</v>
      </c>
      <c r="L22" s="22">
        <f t="shared" si="11"/>
        <v>31591.684345588343</v>
      </c>
      <c r="M22" s="5">
        <f>scrimecost*Meta!O19</f>
        <v>21672.387000000002</v>
      </c>
      <c r="N22" s="5">
        <f>L22-Grade11!L22</f>
        <v>1638.5520374118387</v>
      </c>
      <c r="O22" s="5">
        <f>Grade11!M22-M22</f>
        <v>451.40199999999822</v>
      </c>
      <c r="P22" s="22">
        <f t="shared" si="12"/>
        <v>62.607566358061476</v>
      </c>
      <c r="Q22" s="22"/>
      <c r="R22" s="22"/>
      <c r="S22" s="22">
        <f t="shared" si="6"/>
        <v>1252.6277189504865</v>
      </c>
      <c r="T22" s="22">
        <f t="shared" si="7"/>
        <v>739.54882125593247</v>
      </c>
    </row>
    <row r="23" spans="1:20" x14ac:dyDescent="0.2">
      <c r="A23" s="5">
        <v>32</v>
      </c>
      <c r="B23" s="1">
        <f t="shared" si="8"/>
        <v>1.4129738209737661</v>
      </c>
      <c r="C23" s="5">
        <f t="shared" si="9"/>
        <v>27452.437790515745</v>
      </c>
      <c r="D23" s="5">
        <f t="shared" si="0"/>
        <v>26516.095205065005</v>
      </c>
      <c r="E23" s="5">
        <f t="shared" si="1"/>
        <v>17016.095205065005</v>
      </c>
      <c r="F23" s="5">
        <f t="shared" si="2"/>
        <v>5857.5050844537236</v>
      </c>
      <c r="G23" s="5">
        <f t="shared" si="3"/>
        <v>20658.590120611283</v>
      </c>
      <c r="H23" s="22">
        <f t="shared" si="10"/>
        <v>12627.807871826271</v>
      </c>
      <c r="I23" s="5">
        <f t="shared" si="4"/>
        <v>32288.801170563282</v>
      </c>
      <c r="J23" s="25">
        <f t="shared" si="5"/>
        <v>0.12529438235285983</v>
      </c>
      <c r="L23" s="22">
        <f t="shared" si="11"/>
        <v>32381.47645422805</v>
      </c>
      <c r="M23" s="5">
        <f>scrimecost*Meta!O20</f>
        <v>21672.387000000002</v>
      </c>
      <c r="N23" s="5">
        <f>L23-Grade11!L23</f>
        <v>1679.5158383471244</v>
      </c>
      <c r="O23" s="5">
        <f>Grade11!M23-M23</f>
        <v>451.40199999999822</v>
      </c>
      <c r="P23" s="22">
        <f t="shared" si="12"/>
        <v>63.667302552037114</v>
      </c>
      <c r="Q23" s="22"/>
      <c r="R23" s="22"/>
      <c r="S23" s="22">
        <f t="shared" si="6"/>
        <v>1273.5913503209949</v>
      </c>
      <c r="T23" s="22">
        <f t="shared" si="7"/>
        <v>724.14933214161317</v>
      </c>
    </row>
    <row r="24" spans="1:20" x14ac:dyDescent="0.2">
      <c r="A24" s="5">
        <v>33</v>
      </c>
      <c r="B24" s="1">
        <f t="shared" si="8"/>
        <v>1.4482981664981105</v>
      </c>
      <c r="C24" s="5">
        <f t="shared" si="9"/>
        <v>28138.748735278641</v>
      </c>
      <c r="D24" s="5">
        <f t="shared" si="0"/>
        <v>27148.18758519163</v>
      </c>
      <c r="E24" s="5">
        <f t="shared" si="1"/>
        <v>17648.18758519163</v>
      </c>
      <c r="F24" s="5">
        <f t="shared" si="2"/>
        <v>6063.8832465650667</v>
      </c>
      <c r="G24" s="5">
        <f t="shared" si="3"/>
        <v>21084.304338626564</v>
      </c>
      <c r="H24" s="22">
        <f t="shared" si="10"/>
        <v>12943.503068621931</v>
      </c>
      <c r="I24" s="5">
        <f t="shared" si="4"/>
        <v>33005.27066482736</v>
      </c>
      <c r="J24" s="25">
        <f t="shared" si="5"/>
        <v>0.12769285805752842</v>
      </c>
      <c r="L24" s="22">
        <f t="shared" si="11"/>
        <v>33191.013365583756</v>
      </c>
      <c r="M24" s="5">
        <f>scrimecost*Meta!O21</f>
        <v>21672.387000000002</v>
      </c>
      <c r="N24" s="5">
        <f>L24-Grade11!L24</f>
        <v>1721.5037343058139</v>
      </c>
      <c r="O24" s="5">
        <f>Grade11!M24-M24</f>
        <v>451.40199999999822</v>
      </c>
      <c r="P24" s="22">
        <f t="shared" si="12"/>
        <v>64.753532150862142</v>
      </c>
      <c r="Q24" s="22"/>
      <c r="R24" s="22"/>
      <c r="S24" s="22">
        <f t="shared" si="6"/>
        <v>1295.0790724757767</v>
      </c>
      <c r="T24" s="22">
        <f t="shared" si="7"/>
        <v>709.16537237675118</v>
      </c>
    </row>
    <row r="25" spans="1:20" x14ac:dyDescent="0.2">
      <c r="A25" s="5">
        <v>34</v>
      </c>
      <c r="B25" s="1">
        <f t="shared" si="8"/>
        <v>1.4845056206605631</v>
      </c>
      <c r="C25" s="5">
        <f t="shared" si="9"/>
        <v>28842.217453660603</v>
      </c>
      <c r="D25" s="5">
        <f t="shared" si="0"/>
        <v>27796.08227482142</v>
      </c>
      <c r="E25" s="5">
        <f t="shared" si="1"/>
        <v>18296.08227482142</v>
      </c>
      <c r="F25" s="5">
        <f t="shared" si="2"/>
        <v>6275.4208627291937</v>
      </c>
      <c r="G25" s="5">
        <f t="shared" si="3"/>
        <v>21520.661412092224</v>
      </c>
      <c r="H25" s="22">
        <f t="shared" si="10"/>
        <v>13267.090645337477</v>
      </c>
      <c r="I25" s="5">
        <f t="shared" si="4"/>
        <v>33739.651896448042</v>
      </c>
      <c r="J25" s="25">
        <f t="shared" si="5"/>
        <v>0.13003283435476612</v>
      </c>
      <c r="L25" s="22">
        <f t="shared" si="11"/>
        <v>34020.788699723344</v>
      </c>
      <c r="M25" s="5">
        <f>scrimecost*Meta!O22</f>
        <v>21672.387000000002</v>
      </c>
      <c r="N25" s="5">
        <f>L25-Grade11!L25</f>
        <v>1764.5413276634572</v>
      </c>
      <c r="O25" s="5">
        <f>Grade11!M25-M25</f>
        <v>451.40199999999822</v>
      </c>
      <c r="P25" s="22">
        <f t="shared" si="12"/>
        <v>65.866917489657808</v>
      </c>
      <c r="Q25" s="22"/>
      <c r="R25" s="22"/>
      <c r="S25" s="22">
        <f t="shared" si="6"/>
        <v>1317.1039876844211</v>
      </c>
      <c r="T25" s="22">
        <f t="shared" si="7"/>
        <v>694.58356461994867</v>
      </c>
    </row>
    <row r="26" spans="1:20" x14ac:dyDescent="0.2">
      <c r="A26" s="5">
        <v>35</v>
      </c>
      <c r="B26" s="1">
        <f t="shared" si="8"/>
        <v>1.521618261177077</v>
      </c>
      <c r="C26" s="5">
        <f t="shared" si="9"/>
        <v>29563.272890002114</v>
      </c>
      <c r="D26" s="5">
        <f t="shared" si="0"/>
        <v>28460.174331691949</v>
      </c>
      <c r="E26" s="5">
        <f t="shared" si="1"/>
        <v>18960.174331691949</v>
      </c>
      <c r="F26" s="5">
        <f t="shared" si="2"/>
        <v>6492.2469192974213</v>
      </c>
      <c r="G26" s="5">
        <f t="shared" si="3"/>
        <v>21967.927412394529</v>
      </c>
      <c r="H26" s="22">
        <f t="shared" si="10"/>
        <v>13598.767911470914</v>
      </c>
      <c r="I26" s="5">
        <f t="shared" si="4"/>
        <v>34492.392658859244</v>
      </c>
      <c r="J26" s="25">
        <f t="shared" si="5"/>
        <v>0.1323157380593882</v>
      </c>
      <c r="L26" s="22">
        <f t="shared" si="11"/>
        <v>34871.308417216431</v>
      </c>
      <c r="M26" s="5">
        <f>scrimecost*Meta!O23</f>
        <v>16819.406999999999</v>
      </c>
      <c r="N26" s="5">
        <f>L26-Grade11!L26</f>
        <v>1808.6548608550438</v>
      </c>
      <c r="O26" s="5">
        <f>Grade11!M26-M26</f>
        <v>350.32200000000012</v>
      </c>
      <c r="P26" s="22">
        <f t="shared" si="12"/>
        <v>67.008137461923354</v>
      </c>
      <c r="Q26" s="22"/>
      <c r="R26" s="22"/>
      <c r="S26" s="22">
        <f t="shared" si="6"/>
        <v>1250.9312857732846</v>
      </c>
      <c r="T26" s="22">
        <f t="shared" si="7"/>
        <v>635.31790438271253</v>
      </c>
    </row>
    <row r="27" spans="1:20" x14ac:dyDescent="0.2">
      <c r="A27" s="5">
        <v>36</v>
      </c>
      <c r="B27" s="1">
        <f t="shared" si="8"/>
        <v>1.559658717706504</v>
      </c>
      <c r="C27" s="5">
        <f t="shared" si="9"/>
        <v>30302.35471225217</v>
      </c>
      <c r="D27" s="5">
        <f t="shared" si="0"/>
        <v>29140.868689984251</v>
      </c>
      <c r="E27" s="5">
        <f t="shared" si="1"/>
        <v>19640.868689984251</v>
      </c>
      <c r="F27" s="5">
        <f t="shared" si="2"/>
        <v>6714.4936272798577</v>
      </c>
      <c r="G27" s="5">
        <f t="shared" si="3"/>
        <v>22426.375062704392</v>
      </c>
      <c r="H27" s="22">
        <f t="shared" si="10"/>
        <v>13938.737109257687</v>
      </c>
      <c r="I27" s="5">
        <f t="shared" si="4"/>
        <v>35263.95194033072</v>
      </c>
      <c r="J27" s="25">
        <f t="shared" si="5"/>
        <v>0.13454296118584885</v>
      </c>
      <c r="L27" s="22">
        <f t="shared" si="11"/>
        <v>35743.09112764684</v>
      </c>
      <c r="M27" s="5">
        <f>scrimecost*Meta!O24</f>
        <v>16819.406999999999</v>
      </c>
      <c r="N27" s="5">
        <f>L27-Grade11!L27</f>
        <v>1853.8712323764121</v>
      </c>
      <c r="O27" s="5">
        <f>Grade11!M27-M27</f>
        <v>350.32200000000012</v>
      </c>
      <c r="P27" s="22">
        <f t="shared" si="12"/>
        <v>68.177887933495555</v>
      </c>
      <c r="Q27" s="22"/>
      <c r="R27" s="22"/>
      <c r="S27" s="22">
        <f t="shared" si="6"/>
        <v>1274.0712123143642</v>
      </c>
      <c r="T27" s="22">
        <f t="shared" si="7"/>
        <v>623.16714123277518</v>
      </c>
    </row>
    <row r="28" spans="1:20" x14ac:dyDescent="0.2">
      <c r="A28" s="5">
        <v>37</v>
      </c>
      <c r="B28" s="1">
        <f t="shared" si="8"/>
        <v>1.5986501856491666</v>
      </c>
      <c r="C28" s="5">
        <f t="shared" si="9"/>
        <v>31059.913580058474</v>
      </c>
      <c r="D28" s="5">
        <f t="shared" si="0"/>
        <v>29838.580407233858</v>
      </c>
      <c r="E28" s="5">
        <f t="shared" si="1"/>
        <v>20338.580407233858</v>
      </c>
      <c r="F28" s="5">
        <f t="shared" si="2"/>
        <v>6942.2965029618545</v>
      </c>
      <c r="G28" s="5">
        <f t="shared" si="3"/>
        <v>22896.283904272004</v>
      </c>
      <c r="H28" s="22">
        <f t="shared" si="10"/>
        <v>14287.20553698913</v>
      </c>
      <c r="I28" s="5">
        <f t="shared" si="4"/>
        <v>36054.800203838997</v>
      </c>
      <c r="J28" s="25">
        <f t="shared" si="5"/>
        <v>0.13671586179702991</v>
      </c>
      <c r="L28" s="22">
        <f t="shared" si="11"/>
        <v>36636.668405838012</v>
      </c>
      <c r="M28" s="5">
        <f>scrimecost*Meta!O25</f>
        <v>16819.406999999999</v>
      </c>
      <c r="N28" s="5">
        <f>L28-Grade11!L28</f>
        <v>1900.2180131858331</v>
      </c>
      <c r="O28" s="5">
        <f>Grade11!M28-M28</f>
        <v>350.32200000000012</v>
      </c>
      <c r="P28" s="22">
        <f t="shared" si="12"/>
        <v>69.37688216685703</v>
      </c>
      <c r="Q28" s="22"/>
      <c r="R28" s="22"/>
      <c r="S28" s="22">
        <f t="shared" si="6"/>
        <v>1297.7896370189796</v>
      </c>
      <c r="T28" s="22">
        <f t="shared" si="7"/>
        <v>611.31963730587336</v>
      </c>
    </row>
    <row r="29" spans="1:20" x14ac:dyDescent="0.2">
      <c r="A29" s="5">
        <v>38</v>
      </c>
      <c r="B29" s="1">
        <f t="shared" si="8"/>
        <v>1.6386164402903955</v>
      </c>
      <c r="C29" s="5">
        <f t="shared" si="9"/>
        <v>31836.411419559929</v>
      </c>
      <c r="D29" s="5">
        <f t="shared" si="0"/>
        <v>30553.734917414698</v>
      </c>
      <c r="E29" s="5">
        <f t="shared" si="1"/>
        <v>21053.734917414698</v>
      </c>
      <c r="F29" s="5">
        <f t="shared" si="2"/>
        <v>7175.7944505358992</v>
      </c>
      <c r="G29" s="5">
        <f t="shared" si="3"/>
        <v>23377.940466878797</v>
      </c>
      <c r="H29" s="22">
        <f t="shared" si="10"/>
        <v>14644.385675413856</v>
      </c>
      <c r="I29" s="5">
        <f t="shared" si="4"/>
        <v>36865.419673934957</v>
      </c>
      <c r="J29" s="25">
        <f t="shared" si="5"/>
        <v>0.13883576483232851</v>
      </c>
      <c r="L29" s="22">
        <f t="shared" si="11"/>
        <v>37552.585115983951</v>
      </c>
      <c r="M29" s="5">
        <f>scrimecost*Meta!O26</f>
        <v>16819.406999999999</v>
      </c>
      <c r="N29" s="5">
        <f>L29-Grade11!L29</f>
        <v>1947.7234635154746</v>
      </c>
      <c r="O29" s="5">
        <f>Grade11!M29-M29</f>
        <v>350.32200000000012</v>
      </c>
      <c r="P29" s="22">
        <f t="shared" si="12"/>
        <v>70.605851256052546</v>
      </c>
      <c r="Q29" s="22"/>
      <c r="R29" s="22"/>
      <c r="S29" s="22">
        <f t="shared" si="6"/>
        <v>1322.1010223412031</v>
      </c>
      <c r="T29" s="22">
        <f t="shared" si="7"/>
        <v>599.76606300357139</v>
      </c>
    </row>
    <row r="30" spans="1:20" x14ac:dyDescent="0.2">
      <c r="A30" s="5">
        <v>39</v>
      </c>
      <c r="B30" s="1">
        <f t="shared" si="8"/>
        <v>1.6795818512976552</v>
      </c>
      <c r="C30" s="5">
        <f t="shared" si="9"/>
        <v>32632.321705048926</v>
      </c>
      <c r="D30" s="5">
        <f t="shared" si="0"/>
        <v>31286.768290350064</v>
      </c>
      <c r="E30" s="5">
        <f t="shared" si="1"/>
        <v>21786.768290350064</v>
      </c>
      <c r="F30" s="5">
        <f t="shared" si="2"/>
        <v>7415.1298467992965</v>
      </c>
      <c r="G30" s="5">
        <f t="shared" si="3"/>
        <v>23871.638443550768</v>
      </c>
      <c r="H30" s="22">
        <f t="shared" si="10"/>
        <v>15010.495317299199</v>
      </c>
      <c r="I30" s="5">
        <f t="shared" si="4"/>
        <v>37696.304630783328</v>
      </c>
      <c r="J30" s="25">
        <f t="shared" si="5"/>
        <v>0.14090396291554666</v>
      </c>
      <c r="L30" s="22">
        <f t="shared" si="11"/>
        <v>38491.399743883543</v>
      </c>
      <c r="M30" s="5">
        <f>scrimecost*Meta!O27</f>
        <v>16819.406999999999</v>
      </c>
      <c r="N30" s="5">
        <f>L30-Grade11!L30</f>
        <v>1996.4165501033494</v>
      </c>
      <c r="O30" s="5">
        <f>Grade11!M30-M30</f>
        <v>350.32200000000012</v>
      </c>
      <c r="P30" s="22">
        <f t="shared" si="12"/>
        <v>71.865544572477958</v>
      </c>
      <c r="Q30" s="22"/>
      <c r="R30" s="22"/>
      <c r="S30" s="22">
        <f t="shared" si="6"/>
        <v>1347.0201922964786</v>
      </c>
      <c r="T30" s="22">
        <f t="shared" si="7"/>
        <v>588.49740927319374</v>
      </c>
    </row>
    <row r="31" spans="1:20" x14ac:dyDescent="0.2">
      <c r="A31" s="5">
        <v>40</v>
      </c>
      <c r="B31" s="1">
        <f t="shared" si="8"/>
        <v>1.7215713975800966</v>
      </c>
      <c r="C31" s="5">
        <f t="shared" si="9"/>
        <v>33448.12974767515</v>
      </c>
      <c r="D31" s="5">
        <f t="shared" si="0"/>
        <v>32038.127497608817</v>
      </c>
      <c r="E31" s="5">
        <f t="shared" si="1"/>
        <v>22538.127497608817</v>
      </c>
      <c r="F31" s="5">
        <f t="shared" si="2"/>
        <v>7660.4486279692792</v>
      </c>
      <c r="G31" s="5">
        <f t="shared" si="3"/>
        <v>24377.678869639538</v>
      </c>
      <c r="H31" s="22">
        <f t="shared" si="10"/>
        <v>15385.757700231681</v>
      </c>
      <c r="I31" s="5">
        <f t="shared" si="4"/>
        <v>38547.961711552918</v>
      </c>
      <c r="J31" s="25">
        <f t="shared" si="5"/>
        <v>0.14292171714307658</v>
      </c>
      <c r="L31" s="22">
        <f t="shared" si="11"/>
        <v>39453.684737480638</v>
      </c>
      <c r="M31" s="5">
        <f>scrimecost*Meta!O28</f>
        <v>14712.191999999999</v>
      </c>
      <c r="N31" s="5">
        <f>L31-Grade11!L31</f>
        <v>2046.3269638559432</v>
      </c>
      <c r="O31" s="5">
        <f>Grade11!M31-M31</f>
        <v>306.43199999999888</v>
      </c>
      <c r="P31" s="22">
        <f t="shared" si="12"/>
        <v>73.156730221814016</v>
      </c>
      <c r="Q31" s="22"/>
      <c r="R31" s="22"/>
      <c r="S31" s="22">
        <f t="shared" si="6"/>
        <v>1334.0269215006456</v>
      </c>
      <c r="T31" s="22">
        <f t="shared" si="7"/>
        <v>561.29121577427009</v>
      </c>
    </row>
    <row r="32" spans="1:20" x14ac:dyDescent="0.2">
      <c r="A32" s="5">
        <v>41</v>
      </c>
      <c r="B32" s="1">
        <f t="shared" si="8"/>
        <v>1.7646106825195991</v>
      </c>
      <c r="C32" s="5">
        <f t="shared" si="9"/>
        <v>34284.332991367024</v>
      </c>
      <c r="D32" s="5">
        <f t="shared" si="0"/>
        <v>32808.270685049029</v>
      </c>
      <c r="E32" s="5">
        <f t="shared" si="1"/>
        <v>23308.270685049029</v>
      </c>
      <c r="F32" s="5">
        <f t="shared" si="2"/>
        <v>7911.900378668508</v>
      </c>
      <c r="G32" s="5">
        <f t="shared" si="3"/>
        <v>24896.370306380522</v>
      </c>
      <c r="H32" s="22">
        <f t="shared" si="10"/>
        <v>15770.401642737474</v>
      </c>
      <c r="I32" s="5">
        <f t="shared" si="4"/>
        <v>39420.910219341735</v>
      </c>
      <c r="J32" s="25">
        <f t="shared" si="5"/>
        <v>0.14489025785286183</v>
      </c>
      <c r="L32" s="22">
        <f t="shared" si="11"/>
        <v>40440.026855917655</v>
      </c>
      <c r="M32" s="5">
        <f>scrimecost*Meta!O29</f>
        <v>14712.191999999999</v>
      </c>
      <c r="N32" s="5">
        <f>L32-Grade11!L32</f>
        <v>2097.4851379523461</v>
      </c>
      <c r="O32" s="5">
        <f>Grade11!M32-M32</f>
        <v>306.43199999999888</v>
      </c>
      <c r="P32" s="22">
        <f t="shared" si="12"/>
        <v>74.480195512383474</v>
      </c>
      <c r="Q32" s="22"/>
      <c r="R32" s="22"/>
      <c r="S32" s="22">
        <f t="shared" si="6"/>
        <v>1360.207624434915</v>
      </c>
      <c r="T32" s="22">
        <f t="shared" si="7"/>
        <v>551.16554242198117</v>
      </c>
    </row>
    <row r="33" spans="1:20" x14ac:dyDescent="0.2">
      <c r="A33" s="5">
        <v>42</v>
      </c>
      <c r="B33" s="1">
        <f t="shared" si="8"/>
        <v>1.8087259495825889</v>
      </c>
      <c r="C33" s="5">
        <f t="shared" si="9"/>
        <v>35141.441316151198</v>
      </c>
      <c r="D33" s="5">
        <f t="shared" si="0"/>
        <v>33597.667452175257</v>
      </c>
      <c r="E33" s="5">
        <f t="shared" si="1"/>
        <v>24097.667452175257</v>
      </c>
      <c r="F33" s="5">
        <f t="shared" si="2"/>
        <v>8169.6384231352222</v>
      </c>
      <c r="G33" s="5">
        <f t="shared" si="3"/>
        <v>25428.029029040037</v>
      </c>
      <c r="H33" s="22">
        <f t="shared" si="10"/>
        <v>16164.661683805907</v>
      </c>
      <c r="I33" s="5">
        <f t="shared" si="4"/>
        <v>40315.682439825279</v>
      </c>
      <c r="J33" s="25">
        <f t="shared" si="5"/>
        <v>0.1468107853746036</v>
      </c>
      <c r="L33" s="22">
        <f t="shared" si="11"/>
        <v>41451.027527315593</v>
      </c>
      <c r="M33" s="5">
        <f>scrimecost*Meta!O30</f>
        <v>14712.191999999999</v>
      </c>
      <c r="N33" s="5">
        <f>L33-Grade11!L33</f>
        <v>2149.9222664011613</v>
      </c>
      <c r="O33" s="5">
        <f>Grade11!M33-M33</f>
        <v>306.43199999999888</v>
      </c>
      <c r="P33" s="22">
        <f t="shared" si="12"/>
        <v>75.836747435217163</v>
      </c>
      <c r="Q33" s="22"/>
      <c r="R33" s="22"/>
      <c r="S33" s="22">
        <f t="shared" si="6"/>
        <v>1387.0428449425422</v>
      </c>
      <c r="T33" s="22">
        <f t="shared" si="7"/>
        <v>541.27744745436314</v>
      </c>
    </row>
    <row r="34" spans="1:20" x14ac:dyDescent="0.2">
      <c r="A34" s="5">
        <v>43</v>
      </c>
      <c r="B34" s="1">
        <f t="shared" si="8"/>
        <v>1.8539440983221533</v>
      </c>
      <c r="C34" s="5">
        <f t="shared" si="9"/>
        <v>36019.977349054971</v>
      </c>
      <c r="D34" s="5">
        <f t="shared" si="0"/>
        <v>34406.799138479633</v>
      </c>
      <c r="E34" s="5">
        <f t="shared" si="1"/>
        <v>24906.799138479633</v>
      </c>
      <c r="F34" s="5">
        <f t="shared" si="2"/>
        <v>8433.8199187135997</v>
      </c>
      <c r="G34" s="5">
        <f t="shared" si="3"/>
        <v>25972.979219766035</v>
      </c>
      <c r="H34" s="22">
        <f t="shared" si="10"/>
        <v>16568.778225901053</v>
      </c>
      <c r="I34" s="5">
        <f t="shared" si="4"/>
        <v>41232.823965820906</v>
      </c>
      <c r="J34" s="25">
        <f t="shared" si="5"/>
        <v>0.14868447076166869</v>
      </c>
      <c r="L34" s="22">
        <f t="shared" si="11"/>
        <v>42487.303215498476</v>
      </c>
      <c r="M34" s="5">
        <f>scrimecost*Meta!O31</f>
        <v>14712.191999999999</v>
      </c>
      <c r="N34" s="5">
        <f>L34-Grade11!L34</f>
        <v>2203.670323061182</v>
      </c>
      <c r="O34" s="5">
        <f>Grade11!M34-M34</f>
        <v>306.43199999999888</v>
      </c>
      <c r="P34" s="22">
        <f t="shared" si="12"/>
        <v>77.227213156121678</v>
      </c>
      <c r="Q34" s="22"/>
      <c r="R34" s="22"/>
      <c r="S34" s="22">
        <f t="shared" si="6"/>
        <v>1414.5489459628527</v>
      </c>
      <c r="T34" s="22">
        <f t="shared" si="7"/>
        <v>531.61991014071953</v>
      </c>
    </row>
    <row r="35" spans="1:20" x14ac:dyDescent="0.2">
      <c r="A35" s="5">
        <v>44</v>
      </c>
      <c r="B35" s="1">
        <f t="shared" si="8"/>
        <v>1.9002927007802071</v>
      </c>
      <c r="C35" s="5">
        <f t="shared" si="9"/>
        <v>36920.476782781348</v>
      </c>
      <c r="D35" s="5">
        <f t="shared" si="0"/>
        <v>35236.159116941628</v>
      </c>
      <c r="E35" s="5">
        <f t="shared" si="1"/>
        <v>25736.159116941628</v>
      </c>
      <c r="F35" s="5">
        <f t="shared" si="2"/>
        <v>8704.6059516814421</v>
      </c>
      <c r="G35" s="5">
        <f t="shared" si="3"/>
        <v>26531.553165260186</v>
      </c>
      <c r="H35" s="22">
        <f t="shared" si="10"/>
        <v>16982.997681548579</v>
      </c>
      <c r="I35" s="5">
        <f t="shared" si="4"/>
        <v>42172.894029966425</v>
      </c>
      <c r="J35" s="25">
        <f t="shared" si="5"/>
        <v>0.15051245650514689</v>
      </c>
      <c r="L35" s="22">
        <f t="shared" si="11"/>
        <v>43549.485795885936</v>
      </c>
      <c r="M35" s="5">
        <f>scrimecost*Meta!O32</f>
        <v>14712.191999999999</v>
      </c>
      <c r="N35" s="5">
        <f>L35-Grade11!L35</f>
        <v>2258.7620811377128</v>
      </c>
      <c r="O35" s="5">
        <f>Grade11!M35-M35</f>
        <v>306.43199999999888</v>
      </c>
      <c r="P35" s="22">
        <f t="shared" si="12"/>
        <v>78.652440520048827</v>
      </c>
      <c r="Q35" s="22"/>
      <c r="R35" s="22"/>
      <c r="S35" s="22">
        <f t="shared" si="6"/>
        <v>1442.742699508676</v>
      </c>
      <c r="T35" s="22">
        <f t="shared" si="7"/>
        <v>522.1861465160606</v>
      </c>
    </row>
    <row r="36" spans="1:20" x14ac:dyDescent="0.2">
      <c r="A36" s="5">
        <v>45</v>
      </c>
      <c r="B36" s="1">
        <f t="shared" si="8"/>
        <v>1.9478000182997122</v>
      </c>
      <c r="C36" s="5">
        <f t="shared" si="9"/>
        <v>37843.488702350885</v>
      </c>
      <c r="D36" s="5">
        <f t="shared" si="0"/>
        <v>36086.253094865169</v>
      </c>
      <c r="E36" s="5">
        <f t="shared" si="1"/>
        <v>26586.253094865169</v>
      </c>
      <c r="F36" s="5">
        <f t="shared" si="2"/>
        <v>8982.1616354734779</v>
      </c>
      <c r="G36" s="5">
        <f t="shared" si="3"/>
        <v>27104.09145939169</v>
      </c>
      <c r="H36" s="22">
        <f t="shared" si="10"/>
        <v>17407.57262358729</v>
      </c>
      <c r="I36" s="5">
        <f t="shared" si="4"/>
        <v>43136.465845715582</v>
      </c>
      <c r="J36" s="25">
        <f t="shared" si="5"/>
        <v>0.15229585723049141</v>
      </c>
      <c r="L36" s="22">
        <f t="shared" si="11"/>
        <v>44638.222940783075</v>
      </c>
      <c r="M36" s="5">
        <f>scrimecost*Meta!O33</f>
        <v>11889.801000000001</v>
      </c>
      <c r="N36" s="5">
        <f>L36-Grade11!L36</f>
        <v>2315.2311331661404</v>
      </c>
      <c r="O36" s="5">
        <f>Grade11!M36-M36</f>
        <v>247.64599999999882</v>
      </c>
      <c r="P36" s="22">
        <f t="shared" si="12"/>
        <v>80.113298568074143</v>
      </c>
      <c r="Q36" s="22"/>
      <c r="R36" s="22"/>
      <c r="S36" s="22">
        <f t="shared" si="6"/>
        <v>1420.0271888931366</v>
      </c>
      <c r="T36" s="22">
        <f t="shared" si="7"/>
        <v>494.97848553688601</v>
      </c>
    </row>
    <row r="37" spans="1:20" x14ac:dyDescent="0.2">
      <c r="A37" s="5">
        <v>46</v>
      </c>
      <c r="B37" s="1">
        <f t="shared" ref="B37:B56" si="13">(1+experiencepremium)^(A37-startage)</f>
        <v>1.9964950187572048</v>
      </c>
      <c r="C37" s="5">
        <f t="shared" ref="C37:C56" si="14">pretaxincome*B37/expnorm</f>
        <v>38789.57591990965</v>
      </c>
      <c r="D37" s="5">
        <f t="shared" ref="D37:D56" si="15">IF(A37&lt;startage,1,0)*(C37*(1-initialunempprob))+IF(A37=startage,1,0)*(C37*(1-unempprob))+IF(A37&gt;startage,1,0)*(C37*(1-unempprob)+unempprob*300*52)</f>
        <v>36957.599422236788</v>
      </c>
      <c r="E37" s="5">
        <f t="shared" si="1"/>
        <v>27457.599422236788</v>
      </c>
      <c r="F37" s="5">
        <f t="shared" si="2"/>
        <v>9266.6562113603104</v>
      </c>
      <c r="G37" s="5">
        <f t="shared" si="3"/>
        <v>27690.943210876478</v>
      </c>
      <c r="H37" s="22">
        <f t="shared" ref="H37:H56" si="16">benefits*B37/expnorm</f>
        <v>17842.761939176973</v>
      </c>
      <c r="I37" s="5">
        <f t="shared" ref="I37:I56" si="17">G37+IF(A37&lt;startage,1,0)*(H37*(1-initialunempprob))+IF(A37&gt;=startage,1,0)*(H37*(1-unempprob))</f>
        <v>44124.126956858468</v>
      </c>
      <c r="J37" s="25">
        <f t="shared" si="5"/>
        <v>0.15403576037716896</v>
      </c>
      <c r="L37" s="22">
        <f t="shared" ref="L37:L56" si="18">(sincome+sbenefits)*(1-sunemp)*B37/expnorm</f>
        <v>45754.17851430265</v>
      </c>
      <c r="M37" s="5">
        <f>scrimecost*Meta!O34</f>
        <v>11889.801000000001</v>
      </c>
      <c r="N37" s="5">
        <f>L37-Grade11!L37</f>
        <v>2373.1119114952962</v>
      </c>
      <c r="O37" s="5">
        <f>Grade11!M37-M37</f>
        <v>247.64599999999882</v>
      </c>
      <c r="P37" s="22">
        <f t="shared" si="12"/>
        <v>81.610678067300086</v>
      </c>
      <c r="Q37" s="22"/>
      <c r="R37" s="22"/>
      <c r="S37" s="22">
        <f t="shared" si="6"/>
        <v>1449.6482512122172</v>
      </c>
      <c r="T37" s="22">
        <f t="shared" si="7"/>
        <v>486.63741999113046</v>
      </c>
    </row>
    <row r="38" spans="1:20" x14ac:dyDescent="0.2">
      <c r="A38" s="5">
        <v>47</v>
      </c>
      <c r="B38" s="1">
        <f t="shared" si="13"/>
        <v>2.0464073942261352</v>
      </c>
      <c r="C38" s="5">
        <f t="shared" si="14"/>
        <v>39759.315317907392</v>
      </c>
      <c r="D38" s="5">
        <f t="shared" si="15"/>
        <v>37850.729407792714</v>
      </c>
      <c r="E38" s="5">
        <f t="shared" si="1"/>
        <v>28350.729407792714</v>
      </c>
      <c r="F38" s="5">
        <f t="shared" si="2"/>
        <v>9558.2631516443216</v>
      </c>
      <c r="G38" s="5">
        <f t="shared" si="3"/>
        <v>28292.466256148393</v>
      </c>
      <c r="H38" s="22">
        <f t="shared" si="16"/>
        <v>18288.830987656402</v>
      </c>
      <c r="I38" s="5">
        <f t="shared" si="17"/>
        <v>45136.479595779936</v>
      </c>
      <c r="J38" s="25">
        <f t="shared" si="5"/>
        <v>0.15573322686173252</v>
      </c>
      <c r="L38" s="22">
        <f t="shared" si="18"/>
        <v>46898.032977160226</v>
      </c>
      <c r="M38" s="5">
        <f>scrimecost*Meta!O35</f>
        <v>11889.801000000001</v>
      </c>
      <c r="N38" s="5">
        <f>L38-Grade11!L38</f>
        <v>2432.4397092826985</v>
      </c>
      <c r="O38" s="5">
        <f>Grade11!M38-M38</f>
        <v>247.64599999999882</v>
      </c>
      <c r="P38" s="22">
        <f t="shared" si="12"/>
        <v>83.145492054006723</v>
      </c>
      <c r="Q38" s="22"/>
      <c r="R38" s="22"/>
      <c r="S38" s="22">
        <f t="shared" si="6"/>
        <v>1480.0098400892837</v>
      </c>
      <c r="T38" s="22">
        <f t="shared" si="7"/>
        <v>478.47656336592513</v>
      </c>
    </row>
    <row r="39" spans="1:20" x14ac:dyDescent="0.2">
      <c r="A39" s="5">
        <v>48</v>
      </c>
      <c r="B39" s="1">
        <f t="shared" si="13"/>
        <v>2.097567579081788</v>
      </c>
      <c r="C39" s="5">
        <f t="shared" si="14"/>
        <v>40753.298200855068</v>
      </c>
      <c r="D39" s="5">
        <f t="shared" si="15"/>
        <v>38766.187642987519</v>
      </c>
      <c r="E39" s="5">
        <f t="shared" si="1"/>
        <v>29266.187642987519</v>
      </c>
      <c r="F39" s="5">
        <f t="shared" si="2"/>
        <v>9857.1602654354247</v>
      </c>
      <c r="G39" s="5">
        <f t="shared" si="3"/>
        <v>28909.027377552095</v>
      </c>
      <c r="H39" s="22">
        <f t="shared" si="16"/>
        <v>18746.051762347804</v>
      </c>
      <c r="I39" s="5">
        <f t="shared" si="17"/>
        <v>46174.141050674421</v>
      </c>
      <c r="J39" s="25">
        <f t="shared" si="5"/>
        <v>0.1573892917247213</v>
      </c>
      <c r="L39" s="22">
        <f t="shared" si="18"/>
        <v>48070.483801589216</v>
      </c>
      <c r="M39" s="5">
        <f>scrimecost*Meta!O36</f>
        <v>11889.801000000001</v>
      </c>
      <c r="N39" s="5">
        <f>L39-Grade11!L39</f>
        <v>2493.2507020147314</v>
      </c>
      <c r="O39" s="5">
        <f>Grade11!M39-M39</f>
        <v>247.64599999999882</v>
      </c>
      <c r="P39" s="22">
        <f t="shared" si="12"/>
        <v>84.718676390380963</v>
      </c>
      <c r="Q39" s="22"/>
      <c r="R39" s="22"/>
      <c r="S39" s="22">
        <f t="shared" si="6"/>
        <v>1511.1304686882499</v>
      </c>
      <c r="T39" s="22">
        <f t="shared" si="7"/>
        <v>470.49090413298251</v>
      </c>
    </row>
    <row r="40" spans="1:20" x14ac:dyDescent="0.2">
      <c r="A40" s="5">
        <v>49</v>
      </c>
      <c r="B40" s="1">
        <f t="shared" si="13"/>
        <v>2.1500067685588333</v>
      </c>
      <c r="C40" s="5">
        <f t="shared" si="14"/>
        <v>41772.130655876455</v>
      </c>
      <c r="D40" s="5">
        <f t="shared" si="15"/>
        <v>39704.53233406222</v>
      </c>
      <c r="E40" s="5">
        <f t="shared" si="1"/>
        <v>30204.53233406222</v>
      </c>
      <c r="F40" s="5">
        <f t="shared" si="2"/>
        <v>10163.529807071314</v>
      </c>
      <c r="G40" s="5">
        <f t="shared" si="3"/>
        <v>29541.002526990906</v>
      </c>
      <c r="H40" s="22">
        <f t="shared" si="16"/>
        <v>19214.703056406506</v>
      </c>
      <c r="I40" s="5">
        <f t="shared" si="17"/>
        <v>47237.744041941303</v>
      </c>
      <c r="J40" s="25">
        <f t="shared" ref="J40:J56" si="19">(F40-(IF(A40&gt;startage,1,0)*(unempprob*300*52)))/(IF(A40&lt;startage,1,0)*((C40+H40)*(1-initialunempprob))+IF(A40&gt;=startage,1,0)*((C40+H40)*(1-unempprob)))</f>
        <v>0.15900496476178352</v>
      </c>
      <c r="L40" s="22">
        <f t="shared" si="18"/>
        <v>49272.245896628971</v>
      </c>
      <c r="M40" s="5">
        <f>scrimecost*Meta!O37</f>
        <v>11889.801000000001</v>
      </c>
      <c r="N40" s="5">
        <f>L40-Grade11!L40</f>
        <v>2555.5819695651371</v>
      </c>
      <c r="O40" s="5">
        <f>Grade11!M40-M40</f>
        <v>247.64599999999882</v>
      </c>
      <c r="P40" s="22">
        <f t="shared" si="12"/>
        <v>86.331190335164621</v>
      </c>
      <c r="Q40" s="22"/>
      <c r="R40" s="22"/>
      <c r="S40" s="22">
        <f t="shared" ref="S40:S69" si="20">IF(A40&lt;startage,1,0)*(N40-Q40-R40)+IF(A40&gt;=startage,1,0)*completionprob*(N40*spart+O40+P40)</f>
        <v>1543.0291130022256</v>
      </c>
      <c r="T40" s="22">
        <f t="shared" ref="T40:T69" si="21">S40/sreturn^(A40-startage+1)</f>
        <v>462.67559472475432</v>
      </c>
    </row>
    <row r="41" spans="1:20" x14ac:dyDescent="0.2">
      <c r="A41" s="5">
        <v>50</v>
      </c>
      <c r="B41" s="1">
        <f t="shared" si="13"/>
        <v>2.2037569377728037</v>
      </c>
      <c r="C41" s="5">
        <f t="shared" si="14"/>
        <v>42816.433922273362</v>
      </c>
      <c r="D41" s="5">
        <f t="shared" si="15"/>
        <v>40666.335642413767</v>
      </c>
      <c r="E41" s="5">
        <f t="shared" si="1"/>
        <v>31166.335642413767</v>
      </c>
      <c r="F41" s="5">
        <f t="shared" si="2"/>
        <v>10477.558587248095</v>
      </c>
      <c r="G41" s="5">
        <f t="shared" si="3"/>
        <v>30188.777055165672</v>
      </c>
      <c r="H41" s="22">
        <f t="shared" si="16"/>
        <v>19695.070632816663</v>
      </c>
      <c r="I41" s="5">
        <f t="shared" si="17"/>
        <v>48327.937107989819</v>
      </c>
      <c r="J41" s="25">
        <f t="shared" si="19"/>
        <v>0.16058123113940523</v>
      </c>
      <c r="L41" s="22">
        <f t="shared" si="18"/>
        <v>50504.052044044678</v>
      </c>
      <c r="M41" s="5">
        <f>scrimecost*Meta!O38</f>
        <v>7943.5619999999999</v>
      </c>
      <c r="N41" s="5">
        <f>L41-Grade11!L41</f>
        <v>2619.4715188042464</v>
      </c>
      <c r="O41" s="5">
        <f>Grade11!M41-M41</f>
        <v>165.45200000000023</v>
      </c>
      <c r="P41" s="22">
        <f t="shared" si="12"/>
        <v>87.984017128567814</v>
      </c>
      <c r="Q41" s="22"/>
      <c r="R41" s="22"/>
      <c r="S41" s="22">
        <f t="shared" si="20"/>
        <v>1503.5588914240243</v>
      </c>
      <c r="T41" s="22">
        <f t="shared" si="21"/>
        <v>434.18630126019406</v>
      </c>
    </row>
    <row r="42" spans="1:20" x14ac:dyDescent="0.2">
      <c r="A42" s="5">
        <v>51</v>
      </c>
      <c r="B42" s="1">
        <f t="shared" si="13"/>
        <v>2.2588508612171236</v>
      </c>
      <c r="C42" s="5">
        <f t="shared" si="14"/>
        <v>43886.844770330186</v>
      </c>
      <c r="D42" s="5">
        <f t="shared" si="15"/>
        <v>41652.184033474106</v>
      </c>
      <c r="E42" s="5">
        <f t="shared" si="1"/>
        <v>32152.184033474106</v>
      </c>
      <c r="F42" s="5">
        <f t="shared" si="2"/>
        <v>10799.438086929296</v>
      </c>
      <c r="G42" s="5">
        <f t="shared" si="3"/>
        <v>30852.745946544812</v>
      </c>
      <c r="H42" s="22">
        <f t="shared" si="16"/>
        <v>20187.447398637079</v>
      </c>
      <c r="I42" s="5">
        <f t="shared" si="17"/>
        <v>49445.385000689566</v>
      </c>
      <c r="J42" s="25">
        <f t="shared" si="19"/>
        <v>0.16211905199562152</v>
      </c>
      <c r="L42" s="22">
        <f t="shared" si="18"/>
        <v>51766.653345145794</v>
      </c>
      <c r="M42" s="5">
        <f>scrimecost*Meta!O39</f>
        <v>7943.5619999999999</v>
      </c>
      <c r="N42" s="5">
        <f>L42-Grade11!L42</f>
        <v>2684.9583067743588</v>
      </c>
      <c r="O42" s="5">
        <f>Grade11!M42-M42</f>
        <v>165.45200000000023</v>
      </c>
      <c r="P42" s="22">
        <f t="shared" si="12"/>
        <v>89.678164591806109</v>
      </c>
      <c r="Q42" s="22"/>
      <c r="R42" s="22"/>
      <c r="S42" s="22">
        <f t="shared" si="20"/>
        <v>1537.0724046063792</v>
      </c>
      <c r="T42" s="22">
        <f t="shared" si="21"/>
        <v>427.46759899990167</v>
      </c>
    </row>
    <row r="43" spans="1:20" x14ac:dyDescent="0.2">
      <c r="A43" s="5">
        <v>52</v>
      </c>
      <c r="B43" s="1">
        <f t="shared" si="13"/>
        <v>2.3153221327475517</v>
      </c>
      <c r="C43" s="5">
        <f t="shared" si="14"/>
        <v>44984.015889588445</v>
      </c>
      <c r="D43" s="5">
        <f t="shared" si="15"/>
        <v>42662.678634310963</v>
      </c>
      <c r="E43" s="5">
        <f t="shared" si="1"/>
        <v>33162.678634310963</v>
      </c>
      <c r="F43" s="5">
        <f t="shared" si="2"/>
        <v>11129.364574102528</v>
      </c>
      <c r="G43" s="5">
        <f t="shared" si="3"/>
        <v>31533.314060208435</v>
      </c>
      <c r="H43" s="22">
        <f t="shared" si="16"/>
        <v>20692.133583603005</v>
      </c>
      <c r="I43" s="5">
        <f t="shared" si="17"/>
        <v>50590.769090706803</v>
      </c>
      <c r="J43" s="25">
        <f t="shared" si="19"/>
        <v>0.16361936502607644</v>
      </c>
      <c r="L43" s="22">
        <f t="shared" si="18"/>
        <v>53060.819678774431</v>
      </c>
      <c r="M43" s="5">
        <f>scrimecost*Meta!O40</f>
        <v>7943.5619999999999</v>
      </c>
      <c r="N43" s="5">
        <f>L43-Grade11!L43</f>
        <v>2752.0822644437139</v>
      </c>
      <c r="O43" s="5">
        <f>Grade11!M43-M43</f>
        <v>165.45200000000023</v>
      </c>
      <c r="P43" s="22">
        <f t="shared" si="12"/>
        <v>91.414665741625356</v>
      </c>
      <c r="Q43" s="22"/>
      <c r="R43" s="22"/>
      <c r="S43" s="22">
        <f t="shared" si="20"/>
        <v>1571.4237556182879</v>
      </c>
      <c r="T43" s="22">
        <f t="shared" si="21"/>
        <v>420.87719331612851</v>
      </c>
    </row>
    <row r="44" spans="1:20" x14ac:dyDescent="0.2">
      <c r="A44" s="5">
        <v>53</v>
      </c>
      <c r="B44" s="1">
        <f t="shared" si="13"/>
        <v>2.3732051860662402</v>
      </c>
      <c r="C44" s="5">
        <f t="shared" si="14"/>
        <v>46108.616286828154</v>
      </c>
      <c r="D44" s="5">
        <f t="shared" si="15"/>
        <v>43698.435600168734</v>
      </c>
      <c r="E44" s="5">
        <f t="shared" si="1"/>
        <v>34198.435600168734</v>
      </c>
      <c r="F44" s="5">
        <f t="shared" si="2"/>
        <v>11467.539223455091</v>
      </c>
      <c r="G44" s="5">
        <f t="shared" si="3"/>
        <v>32230.896376713645</v>
      </c>
      <c r="H44" s="22">
        <f t="shared" si="16"/>
        <v>21209.436923193076</v>
      </c>
      <c r="I44" s="5">
        <f t="shared" si="17"/>
        <v>51764.787782974468</v>
      </c>
      <c r="J44" s="25">
        <f t="shared" si="19"/>
        <v>0.16508308505578853</v>
      </c>
      <c r="L44" s="22">
        <f t="shared" si="18"/>
        <v>54387.340170743788</v>
      </c>
      <c r="M44" s="5">
        <f>scrimecost*Meta!O41</f>
        <v>7943.5619999999999</v>
      </c>
      <c r="N44" s="5">
        <f>L44-Grade11!L44</f>
        <v>2820.8843210548002</v>
      </c>
      <c r="O44" s="5">
        <f>Grade11!M44-M44</f>
        <v>165.45200000000023</v>
      </c>
      <c r="P44" s="22">
        <f t="shared" si="12"/>
        <v>93.194579420190081</v>
      </c>
      <c r="Q44" s="22"/>
      <c r="R44" s="22"/>
      <c r="S44" s="22">
        <f t="shared" si="20"/>
        <v>1606.633890405493</v>
      </c>
      <c r="T44" s="22">
        <f t="shared" si="21"/>
        <v>414.41188719341875</v>
      </c>
    </row>
    <row r="45" spans="1:20" x14ac:dyDescent="0.2">
      <c r="A45" s="5">
        <v>54</v>
      </c>
      <c r="B45" s="1">
        <f t="shared" si="13"/>
        <v>2.4325353157178964</v>
      </c>
      <c r="C45" s="5">
        <f t="shared" si="14"/>
        <v>47261.331693998858</v>
      </c>
      <c r="D45" s="5">
        <f t="shared" si="15"/>
        <v>44760.086490172951</v>
      </c>
      <c r="E45" s="5">
        <f t="shared" si="1"/>
        <v>35260.086490172951</v>
      </c>
      <c r="F45" s="5">
        <f t="shared" si="2"/>
        <v>11890.176888058762</v>
      </c>
      <c r="G45" s="5">
        <f t="shared" si="3"/>
        <v>32869.909602114189</v>
      </c>
      <c r="H45" s="22">
        <f t="shared" si="16"/>
        <v>21739.672846272908</v>
      </c>
      <c r="I45" s="5">
        <f t="shared" si="17"/>
        <v>52892.148293531536</v>
      </c>
      <c r="J45" s="25">
        <f t="shared" si="19"/>
        <v>0.16770715083620905</v>
      </c>
      <c r="L45" s="22">
        <f t="shared" si="18"/>
        <v>55747.023675012388</v>
      </c>
      <c r="M45" s="5">
        <f>scrimecost*Meta!O42</f>
        <v>7943.5619999999999</v>
      </c>
      <c r="N45" s="5">
        <f>L45-Grade11!L45</f>
        <v>2891.4064290811802</v>
      </c>
      <c r="O45" s="5">
        <f>Grade11!M45-M45</f>
        <v>165.45200000000023</v>
      </c>
      <c r="P45" s="22">
        <f t="shared" si="12"/>
        <v>95.419047048810199</v>
      </c>
      <c r="Q45" s="22"/>
      <c r="R45" s="22"/>
      <c r="S45" s="22">
        <f t="shared" si="20"/>
        <v>1643.0755278252907</v>
      </c>
      <c r="T45" s="22">
        <f t="shared" si="21"/>
        <v>408.15583558567425</v>
      </c>
    </row>
    <row r="46" spans="1:20" x14ac:dyDescent="0.2">
      <c r="A46" s="5">
        <v>55</v>
      </c>
      <c r="B46" s="1">
        <f t="shared" si="13"/>
        <v>2.4933486986108435</v>
      </c>
      <c r="C46" s="5">
        <f t="shared" si="14"/>
        <v>48442.864986348824</v>
      </c>
      <c r="D46" s="5">
        <f t="shared" si="15"/>
        <v>45848.278652427274</v>
      </c>
      <c r="E46" s="5">
        <f t="shared" si="1"/>
        <v>36348.278652427274</v>
      </c>
      <c r="F46" s="5">
        <f t="shared" si="2"/>
        <v>12354.290845260231</v>
      </c>
      <c r="G46" s="5">
        <f t="shared" si="3"/>
        <v>33493.987807167039</v>
      </c>
      <c r="H46" s="22">
        <f t="shared" si="16"/>
        <v>22283.164667429726</v>
      </c>
      <c r="I46" s="5">
        <f t="shared" si="17"/>
        <v>54016.782465869823</v>
      </c>
      <c r="J46" s="25">
        <f t="shared" si="19"/>
        <v>0.17074174649117191</v>
      </c>
      <c r="L46" s="22">
        <f t="shared" si="18"/>
        <v>57140.699266887692</v>
      </c>
      <c r="M46" s="5">
        <f>scrimecost*Meta!O43</f>
        <v>4405.9949999999999</v>
      </c>
      <c r="N46" s="5">
        <f>L46-Grade11!L46</f>
        <v>2963.6915898082225</v>
      </c>
      <c r="O46" s="5">
        <f>Grade11!M46-M46</f>
        <v>91.769999999999527</v>
      </c>
      <c r="P46" s="22">
        <f t="shared" si="12"/>
        <v>97.861816731331473</v>
      </c>
      <c r="Q46" s="22"/>
      <c r="R46" s="22"/>
      <c r="S46" s="22">
        <f t="shared" si="20"/>
        <v>1615.8782523194607</v>
      </c>
      <c r="T46" s="22">
        <f t="shared" si="21"/>
        <v>386.57193491113696</v>
      </c>
    </row>
    <row r="47" spans="1:20" x14ac:dyDescent="0.2">
      <c r="A47" s="5">
        <v>56</v>
      </c>
      <c r="B47" s="1">
        <f t="shared" si="13"/>
        <v>2.555682416076114</v>
      </c>
      <c r="C47" s="5">
        <f t="shared" si="14"/>
        <v>49653.936611007528</v>
      </c>
      <c r="D47" s="5">
        <f t="shared" si="15"/>
        <v>46963.675618737936</v>
      </c>
      <c r="E47" s="5">
        <f t="shared" si="1"/>
        <v>37463.675618737936</v>
      </c>
      <c r="F47" s="5">
        <f t="shared" si="2"/>
        <v>12830.00765139173</v>
      </c>
      <c r="G47" s="5">
        <f t="shared" si="3"/>
        <v>34133.667967346206</v>
      </c>
      <c r="H47" s="22">
        <f t="shared" si="16"/>
        <v>22840.243784115464</v>
      </c>
      <c r="I47" s="5">
        <f t="shared" si="17"/>
        <v>55169.532492516548</v>
      </c>
      <c r="J47" s="25">
        <f t="shared" si="19"/>
        <v>0.17370232761796486</v>
      </c>
      <c r="L47" s="22">
        <f t="shared" si="18"/>
        <v>58569.216748559869</v>
      </c>
      <c r="M47" s="5">
        <f>scrimecost*Meta!O44</f>
        <v>4405.9949999999999</v>
      </c>
      <c r="N47" s="5">
        <f>L47-Grade11!L47</f>
        <v>3037.7838795534044</v>
      </c>
      <c r="O47" s="5">
        <f>Grade11!M47-M47</f>
        <v>91.769999999999527</v>
      </c>
      <c r="P47" s="22">
        <f t="shared" si="12"/>
        <v>100.36565565591575</v>
      </c>
      <c r="Q47" s="22"/>
      <c r="R47" s="22"/>
      <c r="S47" s="22">
        <f t="shared" si="20"/>
        <v>1654.311160825968</v>
      </c>
      <c r="T47" s="22">
        <f t="shared" si="21"/>
        <v>381.14663256907318</v>
      </c>
    </row>
    <row r="48" spans="1:20" x14ac:dyDescent="0.2">
      <c r="A48" s="5">
        <v>57</v>
      </c>
      <c r="B48" s="1">
        <f t="shared" si="13"/>
        <v>2.6195744764780171</v>
      </c>
      <c r="C48" s="5">
        <f t="shared" si="14"/>
        <v>50895.285026282727</v>
      </c>
      <c r="D48" s="5">
        <f t="shared" si="15"/>
        <v>48106.957509206397</v>
      </c>
      <c r="E48" s="5">
        <f t="shared" si="1"/>
        <v>38606.957509206397</v>
      </c>
      <c r="F48" s="5">
        <f t="shared" si="2"/>
        <v>13317.617377676528</v>
      </c>
      <c r="G48" s="5">
        <f t="shared" si="3"/>
        <v>34789.340131529869</v>
      </c>
      <c r="H48" s="22">
        <f t="shared" si="16"/>
        <v>23411.249878718354</v>
      </c>
      <c r="I48" s="5">
        <f t="shared" si="17"/>
        <v>56351.101269829473</v>
      </c>
      <c r="J48" s="25">
        <f t="shared" si="19"/>
        <v>0.17659069944898248</v>
      </c>
      <c r="L48" s="22">
        <f t="shared" si="18"/>
        <v>60033.447167273873</v>
      </c>
      <c r="M48" s="5">
        <f>scrimecost*Meta!O45</f>
        <v>4405.9949999999999</v>
      </c>
      <c r="N48" s="5">
        <f>L48-Grade11!L48</f>
        <v>3113.7284765422519</v>
      </c>
      <c r="O48" s="5">
        <f>Grade11!M48-M48</f>
        <v>91.769999999999527</v>
      </c>
      <c r="P48" s="22">
        <f t="shared" si="12"/>
        <v>102.93209055361469</v>
      </c>
      <c r="Q48" s="22"/>
      <c r="R48" s="22"/>
      <c r="S48" s="22">
        <f t="shared" si="20"/>
        <v>1693.7048920451557</v>
      </c>
      <c r="T48" s="22">
        <f t="shared" si="21"/>
        <v>375.8078361807485</v>
      </c>
    </row>
    <row r="49" spans="1:20" x14ac:dyDescent="0.2">
      <c r="A49" s="5">
        <v>58</v>
      </c>
      <c r="B49" s="1">
        <f t="shared" si="13"/>
        <v>2.6850638383899672</v>
      </c>
      <c r="C49" s="5">
        <f t="shared" si="14"/>
        <v>52167.667151939786</v>
      </c>
      <c r="D49" s="5">
        <f t="shared" si="15"/>
        <v>49278.821446936548</v>
      </c>
      <c r="E49" s="5">
        <f t="shared" si="1"/>
        <v>39778.821446936548</v>
      </c>
      <c r="F49" s="5">
        <f t="shared" si="2"/>
        <v>13817.417347118437</v>
      </c>
      <c r="G49" s="5">
        <f t="shared" si="3"/>
        <v>35461.404099818115</v>
      </c>
      <c r="H49" s="22">
        <f t="shared" si="16"/>
        <v>23996.53112568631</v>
      </c>
      <c r="I49" s="5">
        <f t="shared" si="17"/>
        <v>57562.209266575206</v>
      </c>
      <c r="J49" s="25">
        <f t="shared" si="19"/>
        <v>0.17940862318656059</v>
      </c>
      <c r="L49" s="22">
        <f t="shared" si="18"/>
        <v>61534.283346455712</v>
      </c>
      <c r="M49" s="5">
        <f>scrimecost*Meta!O46</f>
        <v>4405.9949999999999</v>
      </c>
      <c r="N49" s="5">
        <f>L49-Grade11!L49</f>
        <v>3191.571688455806</v>
      </c>
      <c r="O49" s="5">
        <f>Grade11!M49-M49</f>
        <v>91.769999999999527</v>
      </c>
      <c r="P49" s="22">
        <f t="shared" si="12"/>
        <v>105.56268632375603</v>
      </c>
      <c r="Q49" s="22"/>
      <c r="R49" s="22"/>
      <c r="S49" s="22">
        <f t="shared" si="20"/>
        <v>1734.0834665448156</v>
      </c>
      <c r="T49" s="22">
        <f t="shared" si="21"/>
        <v>370.5538154612218</v>
      </c>
    </row>
    <row r="50" spans="1:20" x14ac:dyDescent="0.2">
      <c r="A50" s="5">
        <v>59</v>
      </c>
      <c r="B50" s="1">
        <f t="shared" si="13"/>
        <v>2.7521904343497163</v>
      </c>
      <c r="C50" s="5">
        <f t="shared" si="14"/>
        <v>53471.858830738282</v>
      </c>
      <c r="D50" s="5">
        <f t="shared" si="15"/>
        <v>50479.981983109959</v>
      </c>
      <c r="E50" s="5">
        <f t="shared" si="1"/>
        <v>40979.981983109959</v>
      </c>
      <c r="F50" s="5">
        <f t="shared" si="2"/>
        <v>14329.7123157964</v>
      </c>
      <c r="G50" s="5">
        <f t="shared" si="3"/>
        <v>36150.269667313558</v>
      </c>
      <c r="H50" s="22">
        <f t="shared" si="16"/>
        <v>24596.444403828464</v>
      </c>
      <c r="I50" s="5">
        <f t="shared" si="17"/>
        <v>58803.594963239579</v>
      </c>
      <c r="J50" s="25">
        <f t="shared" si="19"/>
        <v>0.18215781707688075</v>
      </c>
      <c r="L50" s="22">
        <f t="shared" si="18"/>
        <v>63072.640430117099</v>
      </c>
      <c r="M50" s="5">
        <f>scrimecost*Meta!O47</f>
        <v>4405.9949999999999</v>
      </c>
      <c r="N50" s="5">
        <f>L50-Grade11!L50</f>
        <v>3271.3609806671957</v>
      </c>
      <c r="O50" s="5">
        <f>Grade11!M50-M50</f>
        <v>91.769999999999527</v>
      </c>
      <c r="P50" s="22">
        <f t="shared" si="12"/>
        <v>108.25904698815097</v>
      </c>
      <c r="Q50" s="22"/>
      <c r="R50" s="22"/>
      <c r="S50" s="22">
        <f t="shared" si="20"/>
        <v>1775.4715054069657</v>
      </c>
      <c r="T50" s="22">
        <f t="shared" si="21"/>
        <v>365.3828851938257</v>
      </c>
    </row>
    <row r="51" spans="1:20" x14ac:dyDescent="0.2">
      <c r="A51" s="5">
        <v>60</v>
      </c>
      <c r="B51" s="1">
        <f t="shared" si="13"/>
        <v>2.8209951952084591</v>
      </c>
      <c r="C51" s="5">
        <f t="shared" si="14"/>
        <v>54808.655301506733</v>
      </c>
      <c r="D51" s="5">
        <f t="shared" si="15"/>
        <v>51711.171532687702</v>
      </c>
      <c r="E51" s="5">
        <f t="shared" si="1"/>
        <v>42211.171532687702</v>
      </c>
      <c r="F51" s="5">
        <f t="shared" si="2"/>
        <v>14854.814658691304</v>
      </c>
      <c r="G51" s="5">
        <f t="shared" si="3"/>
        <v>36856.356873996396</v>
      </c>
      <c r="H51" s="22">
        <f t="shared" si="16"/>
        <v>25211.355513924176</v>
      </c>
      <c r="I51" s="5">
        <f t="shared" si="17"/>
        <v>60076.015302320564</v>
      </c>
      <c r="J51" s="25">
        <f t="shared" si="19"/>
        <v>0.18483995745768081</v>
      </c>
      <c r="L51" s="22">
        <f t="shared" si="18"/>
        <v>64649.456440870024</v>
      </c>
      <c r="M51" s="5">
        <f>scrimecost*Meta!O48</f>
        <v>2324.3220000000001</v>
      </c>
      <c r="N51" s="5">
        <f>L51-Grade11!L51</f>
        <v>3353.1450051838692</v>
      </c>
      <c r="O51" s="5">
        <f>Grade11!M51-M51</f>
        <v>48.411999999999807</v>
      </c>
      <c r="P51" s="22">
        <f t="shared" si="12"/>
        <v>111.02281666915572</v>
      </c>
      <c r="Q51" s="22"/>
      <c r="R51" s="22"/>
      <c r="S51" s="22">
        <f t="shared" si="20"/>
        <v>1779.8259212406692</v>
      </c>
      <c r="T51" s="22">
        <f t="shared" si="21"/>
        <v>352.74853915621696</v>
      </c>
    </row>
    <row r="52" spans="1:20" x14ac:dyDescent="0.2">
      <c r="A52" s="5">
        <v>61</v>
      </c>
      <c r="B52" s="1">
        <f t="shared" si="13"/>
        <v>2.8915200750886707</v>
      </c>
      <c r="C52" s="5">
        <f t="shared" si="14"/>
        <v>56178.871684044403</v>
      </c>
      <c r="D52" s="5">
        <f t="shared" si="15"/>
        <v>52973.140821004898</v>
      </c>
      <c r="E52" s="5">
        <f t="shared" si="1"/>
        <v>43473.140821004898</v>
      </c>
      <c r="F52" s="5">
        <f t="shared" si="2"/>
        <v>15393.044560158589</v>
      </c>
      <c r="G52" s="5">
        <f t="shared" si="3"/>
        <v>37580.096260846309</v>
      </c>
      <c r="H52" s="22">
        <f t="shared" si="16"/>
        <v>25841.639401772281</v>
      </c>
      <c r="I52" s="5">
        <f t="shared" si="17"/>
        <v>61380.246149878585</v>
      </c>
      <c r="J52" s="25">
        <f t="shared" si="19"/>
        <v>0.18745667978041267</v>
      </c>
      <c r="L52" s="22">
        <f t="shared" si="18"/>
        <v>66265.692851891785</v>
      </c>
      <c r="M52" s="5">
        <f>scrimecost*Meta!O49</f>
        <v>2324.3220000000001</v>
      </c>
      <c r="N52" s="5">
        <f>L52-Grade11!L52</f>
        <v>3436.973630313485</v>
      </c>
      <c r="O52" s="5">
        <f>Grade11!M52-M52</f>
        <v>48.411999999999807</v>
      </c>
      <c r="P52" s="22">
        <f t="shared" si="12"/>
        <v>113.85568059218565</v>
      </c>
      <c r="Q52" s="22"/>
      <c r="R52" s="22"/>
      <c r="S52" s="22">
        <f t="shared" si="20"/>
        <v>1823.3092295702274</v>
      </c>
      <c r="T52" s="22">
        <f t="shared" si="21"/>
        <v>348.01761704459631</v>
      </c>
    </row>
    <row r="53" spans="1:20" x14ac:dyDescent="0.2">
      <c r="A53" s="5">
        <v>62</v>
      </c>
      <c r="B53" s="1">
        <f t="shared" si="13"/>
        <v>2.9638080769658868</v>
      </c>
      <c r="C53" s="5">
        <f t="shared" si="14"/>
        <v>57583.343476145506</v>
      </c>
      <c r="D53" s="5">
        <f t="shared" si="15"/>
        <v>54266.659341530016</v>
      </c>
      <c r="E53" s="5">
        <f t="shared" si="1"/>
        <v>44766.659341530016</v>
      </c>
      <c r="F53" s="5">
        <f t="shared" si="2"/>
        <v>15944.730209162553</v>
      </c>
      <c r="G53" s="5">
        <f t="shared" si="3"/>
        <v>38321.929132367462</v>
      </c>
      <c r="H53" s="22">
        <f t="shared" si="16"/>
        <v>26487.680386816584</v>
      </c>
      <c r="I53" s="5">
        <f t="shared" si="17"/>
        <v>62717.082768625536</v>
      </c>
      <c r="J53" s="25">
        <f t="shared" si="19"/>
        <v>0.19000957960746814</v>
      </c>
      <c r="L53" s="22">
        <f t="shared" si="18"/>
        <v>67922.335173189058</v>
      </c>
      <c r="M53" s="5">
        <f>scrimecost*Meta!O50</f>
        <v>2324.3220000000001</v>
      </c>
      <c r="N53" s="5">
        <f>L53-Grade11!L53</f>
        <v>3522.8979710713029</v>
      </c>
      <c r="O53" s="5">
        <f>Grade11!M53-M53</f>
        <v>48.411999999999807</v>
      </c>
      <c r="P53" s="22">
        <f t="shared" si="12"/>
        <v>116.75936611329131</v>
      </c>
      <c r="Q53" s="22"/>
      <c r="R53" s="22"/>
      <c r="S53" s="22">
        <f t="shared" si="20"/>
        <v>1867.8796206080062</v>
      </c>
      <c r="T53" s="22">
        <f t="shared" si="21"/>
        <v>343.35469054207778</v>
      </c>
    </row>
    <row r="54" spans="1:20" x14ac:dyDescent="0.2">
      <c r="A54" s="5">
        <v>63</v>
      </c>
      <c r="B54" s="1">
        <f t="shared" si="13"/>
        <v>3.0379032788900342</v>
      </c>
      <c r="C54" s="5">
        <f t="shared" si="14"/>
        <v>59022.927063049145</v>
      </c>
      <c r="D54" s="5">
        <f t="shared" si="15"/>
        <v>55592.515825068265</v>
      </c>
      <c r="E54" s="5">
        <f t="shared" si="1"/>
        <v>46092.515825068265</v>
      </c>
      <c r="F54" s="5">
        <f t="shared" si="2"/>
        <v>16510.207999391616</v>
      </c>
      <c r="G54" s="5">
        <f t="shared" si="3"/>
        <v>39082.307825676646</v>
      </c>
      <c r="H54" s="22">
        <f t="shared" si="16"/>
        <v>27149.872396487001</v>
      </c>
      <c r="I54" s="5">
        <f t="shared" si="17"/>
        <v>64087.34030284117</v>
      </c>
      <c r="J54" s="25">
        <f t="shared" si="19"/>
        <v>0.19250021358508318</v>
      </c>
      <c r="L54" s="22">
        <f t="shared" si="18"/>
        <v>69620.393552518784</v>
      </c>
      <c r="M54" s="5">
        <f>scrimecost*Meta!O51</f>
        <v>2324.3220000000001</v>
      </c>
      <c r="N54" s="5">
        <f>L54-Grade11!L54</f>
        <v>3610.9704203481087</v>
      </c>
      <c r="O54" s="5">
        <f>Grade11!M54-M54</f>
        <v>48.411999999999807</v>
      </c>
      <c r="P54" s="22">
        <f t="shared" si="12"/>
        <v>119.73564377242459</v>
      </c>
      <c r="Q54" s="22"/>
      <c r="R54" s="22"/>
      <c r="S54" s="22">
        <f t="shared" si="20"/>
        <v>1913.5642714217502</v>
      </c>
      <c r="T54" s="22">
        <f t="shared" si="21"/>
        <v>338.75862129040405</v>
      </c>
    </row>
    <row r="55" spans="1:20" x14ac:dyDescent="0.2">
      <c r="A55" s="5">
        <v>64</v>
      </c>
      <c r="B55" s="1">
        <f t="shared" si="13"/>
        <v>3.1138508608622844</v>
      </c>
      <c r="C55" s="5">
        <f t="shared" si="14"/>
        <v>60498.500239625362</v>
      </c>
      <c r="D55" s="5">
        <f t="shared" si="15"/>
        <v>56951.518720694963</v>
      </c>
      <c r="E55" s="5">
        <f t="shared" si="1"/>
        <v>47451.518720694963</v>
      </c>
      <c r="F55" s="5">
        <f t="shared" si="2"/>
        <v>17089.822734376401</v>
      </c>
      <c r="G55" s="5">
        <f t="shared" si="3"/>
        <v>39861.695986318562</v>
      </c>
      <c r="H55" s="22">
        <f t="shared" si="16"/>
        <v>27828.619206399169</v>
      </c>
      <c r="I55" s="5">
        <f t="shared" si="17"/>
        <v>65491.854275412203</v>
      </c>
      <c r="J55" s="25">
        <f t="shared" si="19"/>
        <v>0.19493010039251252</v>
      </c>
      <c r="L55" s="22">
        <f t="shared" si="18"/>
        <v>71360.903391331754</v>
      </c>
      <c r="M55" s="5">
        <f>scrimecost*Meta!O52</f>
        <v>2324.3220000000001</v>
      </c>
      <c r="N55" s="5">
        <f>L55-Grade11!L55</f>
        <v>3701.2446808567911</v>
      </c>
      <c r="O55" s="5">
        <f>Grade11!M55-M55</f>
        <v>48.411999999999807</v>
      </c>
      <c r="P55" s="22">
        <f t="shared" si="12"/>
        <v>122.78632837303623</v>
      </c>
      <c r="Q55" s="22"/>
      <c r="R55" s="22"/>
      <c r="S55" s="22">
        <f t="shared" si="20"/>
        <v>1960.3910385058159</v>
      </c>
      <c r="T55" s="22">
        <f t="shared" si="21"/>
        <v>334.22829531516982</v>
      </c>
    </row>
    <row r="56" spans="1:20" x14ac:dyDescent="0.2">
      <c r="A56" s="5">
        <v>65</v>
      </c>
      <c r="B56" s="1">
        <f t="shared" si="13"/>
        <v>3.1916971323838421</v>
      </c>
      <c r="C56" s="5">
        <f t="shared" si="14"/>
        <v>62010.962745616009</v>
      </c>
      <c r="D56" s="5">
        <f t="shared" si="15"/>
        <v>58344.496688712345</v>
      </c>
      <c r="E56" s="5">
        <f t="shared" si="1"/>
        <v>48844.496688712345</v>
      </c>
      <c r="F56" s="5">
        <f t="shared" si="2"/>
        <v>17683.927837735817</v>
      </c>
      <c r="G56" s="5">
        <f t="shared" si="3"/>
        <v>40660.568850976531</v>
      </c>
      <c r="H56" s="22">
        <f t="shared" si="16"/>
        <v>28524.334686559152</v>
      </c>
      <c r="I56" s="5">
        <f t="shared" si="17"/>
        <v>66931.48109729751</v>
      </c>
      <c r="J56" s="25">
        <f t="shared" si="19"/>
        <v>0.19730072166805335</v>
      </c>
      <c r="L56" s="22">
        <f t="shared" si="18"/>
        <v>73144.925976115061</v>
      </c>
      <c r="M56" s="5">
        <f>scrimecost*Meta!O53</f>
        <v>702.40499999999997</v>
      </c>
      <c r="N56" s="5">
        <f>L56-Grade11!L56</f>
        <v>3793.7757978782174</v>
      </c>
      <c r="O56" s="5">
        <f>Grade11!M56-M56</f>
        <v>14.629999999999995</v>
      </c>
      <c r="P56" s="22">
        <f t="shared" si="12"/>
        <v>125.91328008866316</v>
      </c>
      <c r="Q56" s="22"/>
      <c r="R56" s="22"/>
      <c r="S56" s="22">
        <f t="shared" si="20"/>
        <v>1978.727878766997</v>
      </c>
      <c r="T56" s="22">
        <f t="shared" si="21"/>
        <v>324.89257054696827</v>
      </c>
    </row>
    <row r="57" spans="1:20" x14ac:dyDescent="0.2">
      <c r="A57" s="5">
        <v>66</v>
      </c>
      <c r="C57" s="5"/>
      <c r="H57" s="21"/>
      <c r="I57" s="5"/>
      <c r="M57" s="5">
        <f>scrimecost*Meta!O54</f>
        <v>702.40499999999997</v>
      </c>
      <c r="N57" s="5">
        <f>L57-Grade11!L57</f>
        <v>0</v>
      </c>
      <c r="O57" s="5">
        <f>Grade11!M57-M57</f>
        <v>14.629999999999995</v>
      </c>
      <c r="Q57" s="22"/>
      <c r="R57" s="22"/>
      <c r="S57" s="22">
        <f t="shared" si="20"/>
        <v>12.845139999999995</v>
      </c>
      <c r="T57" s="22">
        <f t="shared" si="21"/>
        <v>2.0311675604227597</v>
      </c>
    </row>
    <row r="58" spans="1:20" x14ac:dyDescent="0.2">
      <c r="A58" s="5">
        <v>67</v>
      </c>
      <c r="C58" s="5"/>
      <c r="H58" s="21"/>
      <c r="I58" s="5"/>
      <c r="M58" s="5">
        <f>scrimecost*Meta!O55</f>
        <v>702.40499999999997</v>
      </c>
      <c r="N58" s="5">
        <f>L58-Grade11!L58</f>
        <v>0</v>
      </c>
      <c r="O58" s="5">
        <f>Grade11!M58-M58</f>
        <v>14.629999999999995</v>
      </c>
      <c r="Q58" s="22"/>
      <c r="R58" s="22"/>
      <c r="S58" s="22">
        <f t="shared" si="20"/>
        <v>12.845139999999995</v>
      </c>
      <c r="T58" s="22">
        <f t="shared" si="21"/>
        <v>1.9561355871547863</v>
      </c>
    </row>
    <row r="59" spans="1:20" x14ac:dyDescent="0.2">
      <c r="A59" s="5">
        <v>68</v>
      </c>
      <c r="H59" s="21"/>
      <c r="I59" s="5"/>
      <c r="M59" s="5">
        <f>scrimecost*Meta!O56</f>
        <v>702.40499999999997</v>
      </c>
      <c r="N59" s="5">
        <f>L59-Grade11!L59</f>
        <v>0</v>
      </c>
      <c r="O59" s="5">
        <f>Grade11!M59-M59</f>
        <v>14.629999999999995</v>
      </c>
      <c r="Q59" s="22"/>
      <c r="R59" s="22"/>
      <c r="S59" s="22">
        <f t="shared" si="20"/>
        <v>12.845139999999995</v>
      </c>
      <c r="T59" s="22">
        <f t="shared" si="21"/>
        <v>1.8838753187536008</v>
      </c>
    </row>
    <row r="60" spans="1:20" x14ac:dyDescent="0.2">
      <c r="A60" s="5">
        <v>69</v>
      </c>
      <c r="H60" s="21"/>
      <c r="I60" s="5"/>
      <c r="M60" s="5">
        <f>scrimecost*Meta!O57</f>
        <v>702.40499999999997</v>
      </c>
      <c r="N60" s="5">
        <f>L60-Grade11!L60</f>
        <v>0</v>
      </c>
      <c r="O60" s="5">
        <f>Grade11!M60-M60</f>
        <v>14.629999999999995</v>
      </c>
      <c r="Q60" s="22"/>
      <c r="R60" s="22"/>
      <c r="S60" s="22">
        <f t="shared" si="20"/>
        <v>12.845139999999995</v>
      </c>
      <c r="T60" s="22">
        <f t="shared" si="21"/>
        <v>1.8142843675631954</v>
      </c>
    </row>
    <row r="61" spans="1:20" x14ac:dyDescent="0.2">
      <c r="A61" s="5">
        <v>70</v>
      </c>
      <c r="H61" s="21"/>
      <c r="I61" s="5"/>
      <c r="M61" s="5">
        <f>scrimecost*Meta!O58</f>
        <v>702.40499999999997</v>
      </c>
      <c r="N61" s="5">
        <f>L61-Grade11!L61</f>
        <v>0</v>
      </c>
      <c r="O61" s="5">
        <f>Grade11!M61-M61</f>
        <v>14.629999999999995</v>
      </c>
      <c r="Q61" s="22"/>
      <c r="R61" s="22"/>
      <c r="S61" s="22">
        <f t="shared" si="20"/>
        <v>12.845139999999995</v>
      </c>
      <c r="T61" s="22">
        <f t="shared" si="21"/>
        <v>1.7472641281600165</v>
      </c>
    </row>
    <row r="62" spans="1:20" x14ac:dyDescent="0.2">
      <c r="A62" s="5">
        <v>71</v>
      </c>
      <c r="H62" s="21"/>
      <c r="I62" s="5"/>
      <c r="M62" s="5">
        <f>scrimecost*Meta!O59</f>
        <v>702.40499999999997</v>
      </c>
      <c r="N62" s="5">
        <f>L62-Grade11!L62</f>
        <v>0</v>
      </c>
      <c r="O62" s="5">
        <f>Grade11!M62-M62</f>
        <v>14.629999999999995</v>
      </c>
      <c r="Q62" s="22"/>
      <c r="R62" s="22"/>
      <c r="S62" s="22">
        <f t="shared" si="20"/>
        <v>12.845139999999995</v>
      </c>
      <c r="T62" s="22">
        <f t="shared" si="21"/>
        <v>1.6827196376361013</v>
      </c>
    </row>
    <row r="63" spans="1:20" x14ac:dyDescent="0.2">
      <c r="A63" s="5">
        <v>72</v>
      </c>
      <c r="H63" s="21"/>
      <c r="M63" s="5">
        <f>scrimecost*Meta!O60</f>
        <v>702.40499999999997</v>
      </c>
      <c r="N63" s="5">
        <f>L63-Grade11!L63</f>
        <v>0</v>
      </c>
      <c r="O63" s="5">
        <f>Grade11!M63-M63</f>
        <v>14.629999999999995</v>
      </c>
      <c r="Q63" s="22"/>
      <c r="R63" s="22"/>
      <c r="S63" s="22">
        <f t="shared" si="20"/>
        <v>12.845139999999995</v>
      </c>
      <c r="T63" s="22">
        <f t="shared" si="21"/>
        <v>1.6205594410433952</v>
      </c>
    </row>
    <row r="64" spans="1:20" x14ac:dyDescent="0.2">
      <c r="A64" s="5">
        <v>73</v>
      </c>
      <c r="H64" s="21"/>
      <c r="M64" s="5">
        <f>scrimecost*Meta!O61</f>
        <v>702.40499999999997</v>
      </c>
      <c r="N64" s="5">
        <f>L64-Grade11!L64</f>
        <v>0</v>
      </c>
      <c r="O64" s="5">
        <f>Grade11!M64-M64</f>
        <v>14.629999999999995</v>
      </c>
      <c r="Q64" s="22"/>
      <c r="R64" s="22"/>
      <c r="S64" s="22">
        <f t="shared" si="20"/>
        <v>12.845139999999995</v>
      </c>
      <c r="T64" s="22">
        <f t="shared" si="21"/>
        <v>1.5606954618086037</v>
      </c>
    </row>
    <row r="65" spans="1:20" x14ac:dyDescent="0.2">
      <c r="A65" s="5">
        <v>74</v>
      </c>
      <c r="H65" s="21"/>
      <c r="M65" s="5">
        <f>scrimecost*Meta!O62</f>
        <v>702.40499999999997</v>
      </c>
      <c r="N65" s="5">
        <f>L65-Grade11!L65</f>
        <v>0</v>
      </c>
      <c r="O65" s="5">
        <f>Grade11!M65-M65</f>
        <v>14.629999999999995</v>
      </c>
      <c r="Q65" s="22"/>
      <c r="R65" s="22"/>
      <c r="S65" s="22">
        <f t="shared" si="20"/>
        <v>12.845139999999995</v>
      </c>
      <c r="T65" s="22">
        <f t="shared" si="21"/>
        <v>1.5030428769349571</v>
      </c>
    </row>
    <row r="66" spans="1:20" x14ac:dyDescent="0.2">
      <c r="A66" s="5">
        <v>75</v>
      </c>
      <c r="H66" s="21"/>
      <c r="M66" s="5">
        <f>scrimecost*Meta!O63</f>
        <v>702.40499999999997</v>
      </c>
      <c r="N66" s="5">
        <f>L66-Grade11!L66</f>
        <v>0</v>
      </c>
      <c r="O66" s="5">
        <f>Grade11!M66-M66</f>
        <v>14.629999999999995</v>
      </c>
      <c r="Q66" s="22"/>
      <c r="R66" s="22"/>
      <c r="S66" s="22">
        <f t="shared" si="20"/>
        <v>12.845139999999995</v>
      </c>
      <c r="T66" s="22">
        <f t="shared" si="21"/>
        <v>1.4475199968140633</v>
      </c>
    </row>
    <row r="67" spans="1:20" x14ac:dyDescent="0.2">
      <c r="A67" s="5">
        <v>76</v>
      </c>
      <c r="H67" s="21"/>
      <c r="M67" s="5">
        <f>scrimecost*Meta!O64</f>
        <v>702.40499999999997</v>
      </c>
      <c r="N67" s="5">
        <f>L67-Grade11!L67</f>
        <v>0</v>
      </c>
      <c r="O67" s="5">
        <f>Grade11!M67-M67</f>
        <v>14.629999999999995</v>
      </c>
      <c r="Q67" s="22"/>
      <c r="R67" s="22"/>
      <c r="S67" s="22">
        <f t="shared" si="20"/>
        <v>12.845139999999995</v>
      </c>
      <c r="T67" s="22">
        <f t="shared" si="21"/>
        <v>1.3940481494775472</v>
      </c>
    </row>
    <row r="68" spans="1:20" x14ac:dyDescent="0.2">
      <c r="A68" s="5">
        <v>77</v>
      </c>
      <c r="H68" s="21"/>
      <c r="M68" s="5">
        <f>scrimecost*Meta!O65</f>
        <v>702.40499999999997</v>
      </c>
      <c r="N68" s="5">
        <f>L68-Grade11!L68</f>
        <v>0</v>
      </c>
      <c r="O68" s="5">
        <f>Grade11!M68-M68</f>
        <v>14.629999999999995</v>
      </c>
      <c r="Q68" s="22"/>
      <c r="R68" s="22"/>
      <c r="S68" s="22">
        <f t="shared" si="20"/>
        <v>12.845139999999995</v>
      </c>
      <c r="T68" s="22">
        <f t="shared" si="21"/>
        <v>1.3425515691244734</v>
      </c>
    </row>
    <row r="69" spans="1:20" x14ac:dyDescent="0.2">
      <c r="A69" s="5">
        <v>78</v>
      </c>
      <c r="H69" s="21"/>
      <c r="M69" s="5">
        <f>scrimecost*Meta!O66</f>
        <v>702.40499999999997</v>
      </c>
      <c r="N69" s="5">
        <f>L69-Grade11!L69</f>
        <v>0</v>
      </c>
      <c r="O69" s="5">
        <f>Grade11!M69-M69</f>
        <v>14.629999999999995</v>
      </c>
      <c r="Q69" s="22"/>
      <c r="R69" s="22"/>
      <c r="S69" s="22">
        <f t="shared" si="20"/>
        <v>12.845139999999995</v>
      </c>
      <c r="T69" s="22">
        <f t="shared" si="21"/>
        <v>1.2929572887666003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2.9531585399311666E-8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N10" sqref="N10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Meta!A7+6</f>
        <v>19</v>
      </c>
      <c r="C2" s="7">
        <f>Meta!B7</f>
        <v>38547</v>
      </c>
      <c r="D2" s="7">
        <f>Meta!C7</f>
        <v>17633</v>
      </c>
      <c r="E2" s="1">
        <f>Meta!D7</f>
        <v>7.6999999999999999E-2</v>
      </c>
      <c r="F2" s="1">
        <f>Meta!F7</f>
        <v>0.61499999999999999</v>
      </c>
      <c r="G2" s="1">
        <f>Meta!I7</f>
        <v>1.8652741552202943</v>
      </c>
      <c r="H2" s="1">
        <f>Meta!E7</f>
        <v>0.497</v>
      </c>
      <c r="I2" s="13"/>
      <c r="J2" s="1">
        <f>Meta!X6</f>
        <v>0.55700000000000005</v>
      </c>
      <c r="K2" s="1">
        <f>Meta!D6</f>
        <v>7.9000000000000001E-2</v>
      </c>
      <c r="L2" s="28"/>
      <c r="N2" s="22">
        <f>Meta!T7</f>
        <v>37363</v>
      </c>
      <c r="O2" s="22">
        <f>Meta!U7</f>
        <v>17054</v>
      </c>
      <c r="P2" s="1">
        <f>Meta!V7</f>
        <v>9.5000000000000001E-2</v>
      </c>
      <c r="Q2" s="1">
        <f>Meta!X7</f>
        <v>0.56000000000000005</v>
      </c>
      <c r="R2" s="22">
        <f>Meta!W7</f>
        <v>12672</v>
      </c>
      <c r="T2" s="12">
        <f>IRR(S5:S69)+1</f>
        <v>1.0396674877424739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B9" s="1">
        <v>1</v>
      </c>
      <c r="C9" s="5">
        <f>0.1*Grade12!C9</f>
        <v>1942.8836814256474</v>
      </c>
      <c r="D9" s="5">
        <f t="shared" ref="D9:D36" si="0">IF(A9&lt;startage,1,0)*(C9*(1-initialunempprob))+IF(A9=startage,1,0)*(C9*(1-unempprob))+IF(A9&gt;startage,1,0)*(C9*(1-unempprob)+unempprob*300*52)</f>
        <v>1789.3958705930213</v>
      </c>
      <c r="E9" s="5">
        <f t="shared" ref="E9:E56" si="1">IF(D9-9500&gt;0,1,0)*(D9-9500)</f>
        <v>0</v>
      </c>
      <c r="F9" s="5">
        <f t="shared" ref="F9:F56" si="2">IF(E9&lt;=8500,1,0)*(0.1*E9+0.1*E9+0.0765*D9)+IF(AND(E9&gt;8500,E9&lt;=34500),1,0)*(850+0.15*(E9-8500)+0.1*E9+0.0765*D9)+IF(AND(E9&gt;34500,E9&lt;=83600),1,0)*(4750+0.25*(E9-34500)+0.1*E9+0.0765*D9)+IF(AND(E9&gt;83600,E9&lt;=174400,D9&lt;=106800),1,0)*(17025+0.28*(E9-83600)+0.1*E9+0.0765*D9)+IF(AND(E9&gt;83600,E9&lt;=174400,D9&gt;106800),1,0)*(17025+0.28*(E9-83600)+0.1*E9+8170.2+0.0145*(D9-106800))+IF(AND(E9&gt;174400,E9&lt;=379150),1,0)*(42449+0.33*(E9-174400)+0.1*E9+8170.2+0.0145*(D9-106800))+IF(E9&gt;379150,1,0)*(110016.5+0.35*(E9-379150)+0.1*E9+8170.2+0.0145*(D9-106800))</f>
        <v>136.88878410036614</v>
      </c>
      <c r="G9" s="5">
        <f t="shared" ref="G9:G56" si="3">D9-F9</f>
        <v>1652.5070864926552</v>
      </c>
      <c r="H9" s="22">
        <f>0.1*Grade12!H9</f>
        <v>893.7043053723163</v>
      </c>
      <c r="I9" s="5">
        <f t="shared" ref="I9:I36" si="4">G9+IF(A9&lt;startage,1,0)*(H9*(1-initialunempprob))+IF(A9&gt;=startage,1,0)*(H9*(1-unempprob))</f>
        <v>2475.6087517405585</v>
      </c>
      <c r="J9" s="25">
        <f t="shared" ref="J9:J56" si="5">(F9-(IF(A9&gt;startage,1,0)*(unempprob*300*52)))/(IF(A9&lt;startage,1,0)*((C9+H9)*(1-initialunempprob))+IF(A9&gt;=startage,1,0)*((C9+H9)*(1-unempprob)))</f>
        <v>5.239767013074087E-2</v>
      </c>
      <c r="L9" s="22">
        <f>0.1*Grade12!L9</f>
        <v>2291.7251525518009</v>
      </c>
      <c r="M9" s="5">
        <f>scrimecost*Meta!O6</f>
        <v>41766.911999999997</v>
      </c>
      <c r="N9" s="5">
        <f>L9-Grade12!L9</f>
        <v>-20625.526372966207</v>
      </c>
      <c r="O9" s="5"/>
      <c r="P9" s="22"/>
      <c r="Q9" s="22">
        <f>0.05*feel*Grade12!G9</f>
        <v>207.84790773236713</v>
      </c>
      <c r="R9" s="22">
        <f>coltuition</f>
        <v>8279</v>
      </c>
      <c r="S9" s="22">
        <f t="shared" ref="S9:S40" si="6">IF(A9&lt;startage,1,0)*(N9-Q9-R9)+IF(A9&gt;=startage,1,0)*completionprob*(N9*spart+O9+P9)</f>
        <v>-29112.374280698576</v>
      </c>
      <c r="T9" s="22">
        <f t="shared" ref="T9:T40" si="7">S9/sreturn^(A9-startage+1)</f>
        <v>-29112.374280698576</v>
      </c>
    </row>
    <row r="10" spans="1:20" x14ac:dyDescent="0.2">
      <c r="A10" s="5">
        <v>19</v>
      </c>
      <c r="B10" s="1">
        <f t="shared" ref="B10:B36" si="8">(1+experiencepremium)^(A10-startage)</f>
        <v>1</v>
      </c>
      <c r="C10" s="5">
        <f t="shared" ref="C10:C36" si="9">pretaxincome*B10/expnorm</f>
        <v>20665.594862888927</v>
      </c>
      <c r="D10" s="5">
        <f t="shared" si="0"/>
        <v>19074.344058446481</v>
      </c>
      <c r="E10" s="5">
        <f t="shared" si="1"/>
        <v>9574.3440584464806</v>
      </c>
      <c r="F10" s="5">
        <f t="shared" si="2"/>
        <v>3427.7733350827757</v>
      </c>
      <c r="G10" s="5">
        <f t="shared" si="3"/>
        <v>15646.570723363704</v>
      </c>
      <c r="H10" s="22">
        <f t="shared" ref="H10:H36" si="10">benefits*B10/expnorm</f>
        <v>9453.3020524897001</v>
      </c>
      <c r="I10" s="5">
        <f t="shared" si="4"/>
        <v>24371.9685178117</v>
      </c>
      <c r="J10" s="25">
        <f t="shared" si="5"/>
        <v>0.1233023440728778</v>
      </c>
      <c r="L10" s="22">
        <f t="shared" ref="L10:L36" si="11">(sincome+sbenefits)*(1-sunemp)*B10/expnorm</f>
        <v>26402.223427678247</v>
      </c>
      <c r="M10" s="5">
        <f>scrimecost*Meta!O7</f>
        <v>44643.455999999998</v>
      </c>
      <c r="N10" s="5">
        <f>L10-Grade12!L10</f>
        <v>2912.0406140222913</v>
      </c>
      <c r="O10" s="5">
        <f>Grade12!M10-M10</f>
        <v>348.77700000000186</v>
      </c>
      <c r="P10" s="22">
        <f t="shared" ref="P10:P56" si="12">(spart-initialspart)*(L10*J10+nptrans)</f>
        <v>29.428368112105762</v>
      </c>
      <c r="Q10" s="22"/>
      <c r="R10" s="22"/>
      <c r="S10" s="22">
        <f t="shared" si="6"/>
        <v>998.44721164640168</v>
      </c>
      <c r="T10" s="22">
        <f t="shared" si="7"/>
        <v>960.35244288962269</v>
      </c>
    </row>
    <row r="11" spans="1:20" x14ac:dyDescent="0.2">
      <c r="A11" s="5">
        <v>20</v>
      </c>
      <c r="B11" s="1">
        <f t="shared" si="8"/>
        <v>1.0249999999999999</v>
      </c>
      <c r="C11" s="5">
        <f t="shared" si="9"/>
        <v>21182.234734461148</v>
      </c>
      <c r="D11" s="5">
        <f t="shared" si="0"/>
        <v>20752.402659907642</v>
      </c>
      <c r="E11" s="5">
        <f t="shared" si="1"/>
        <v>11252.402659907642</v>
      </c>
      <c r="F11" s="5">
        <f t="shared" si="2"/>
        <v>3975.6594684598449</v>
      </c>
      <c r="G11" s="5">
        <f t="shared" si="3"/>
        <v>16776.743191447797</v>
      </c>
      <c r="H11" s="22">
        <f t="shared" si="10"/>
        <v>9689.6346038019419</v>
      </c>
      <c r="I11" s="5">
        <f t="shared" si="4"/>
        <v>25720.275930756987</v>
      </c>
      <c r="J11" s="25">
        <f t="shared" si="5"/>
        <v>9.7367441023372345E-2</v>
      </c>
      <c r="L11" s="22">
        <f t="shared" si="11"/>
        <v>27062.2790133702</v>
      </c>
      <c r="M11" s="5">
        <f>scrimecost*Meta!O8</f>
        <v>42755.328000000001</v>
      </c>
      <c r="N11" s="5">
        <f>L11-Grade12!L11</f>
        <v>2984.8416293728442</v>
      </c>
      <c r="O11" s="5">
        <f>Grade12!M11-M11</f>
        <v>334.02599999999802</v>
      </c>
      <c r="P11" s="22">
        <f t="shared" si="12"/>
        <v>27.566954567377135</v>
      </c>
      <c r="Q11" s="22"/>
      <c r="R11" s="22"/>
      <c r="S11" s="22">
        <f t="shared" si="6"/>
        <v>1010.4528207070355</v>
      </c>
      <c r="T11" s="22">
        <f t="shared" si="7"/>
        <v>934.81810409025479</v>
      </c>
    </row>
    <row r="12" spans="1:20" x14ac:dyDescent="0.2">
      <c r="A12" s="5">
        <v>21</v>
      </c>
      <c r="B12" s="1">
        <f t="shared" si="8"/>
        <v>1.0506249999999999</v>
      </c>
      <c r="C12" s="5">
        <f t="shared" si="9"/>
        <v>21711.790602822679</v>
      </c>
      <c r="D12" s="5">
        <f t="shared" si="0"/>
        <v>21241.182726405335</v>
      </c>
      <c r="E12" s="5">
        <f t="shared" si="1"/>
        <v>11741.182726405335</v>
      </c>
      <c r="F12" s="5">
        <f t="shared" si="2"/>
        <v>4135.2461601713421</v>
      </c>
      <c r="G12" s="5">
        <f t="shared" si="3"/>
        <v>17105.936566233991</v>
      </c>
      <c r="H12" s="22">
        <f t="shared" si="10"/>
        <v>9931.8754688969912</v>
      </c>
      <c r="I12" s="5">
        <f t="shared" si="4"/>
        <v>26273.057624025914</v>
      </c>
      <c r="J12" s="25">
        <f t="shared" si="5"/>
        <v>0.10045659377424584</v>
      </c>
      <c r="L12" s="22">
        <f t="shared" si="11"/>
        <v>27738.835988704453</v>
      </c>
      <c r="M12" s="5">
        <f>scrimecost*Meta!O9</f>
        <v>38827.008000000002</v>
      </c>
      <c r="N12" s="5">
        <f>L12-Grade12!L12</f>
        <v>3059.4626701071684</v>
      </c>
      <c r="O12" s="5">
        <f>Grade12!M12-M12</f>
        <v>303.33599999999569</v>
      </c>
      <c r="P12" s="22">
        <f t="shared" si="12"/>
        <v>28.021646936063171</v>
      </c>
      <c r="Q12" s="22"/>
      <c r="R12" s="22"/>
      <c r="S12" s="22">
        <f t="shared" si="6"/>
        <v>1016.1944008714485</v>
      </c>
      <c r="T12" s="22">
        <f t="shared" si="7"/>
        <v>904.26018401432441</v>
      </c>
    </row>
    <row r="13" spans="1:20" x14ac:dyDescent="0.2">
      <c r="A13" s="5">
        <v>22</v>
      </c>
      <c r="B13" s="1">
        <f t="shared" si="8"/>
        <v>1.0768906249999999</v>
      </c>
      <c r="C13" s="5">
        <f t="shared" si="9"/>
        <v>22254.585367893244</v>
      </c>
      <c r="D13" s="5">
        <f t="shared" si="0"/>
        <v>21742.182294565464</v>
      </c>
      <c r="E13" s="5">
        <f t="shared" si="1"/>
        <v>12242.182294565464</v>
      </c>
      <c r="F13" s="5">
        <f t="shared" si="2"/>
        <v>4298.8225191756237</v>
      </c>
      <c r="G13" s="5">
        <f t="shared" si="3"/>
        <v>17443.359775389839</v>
      </c>
      <c r="H13" s="22">
        <f t="shared" si="10"/>
        <v>10180.172355619414</v>
      </c>
      <c r="I13" s="5">
        <f t="shared" si="4"/>
        <v>26839.658859626557</v>
      </c>
      <c r="J13" s="25">
        <f t="shared" si="5"/>
        <v>0.10347040133607356</v>
      </c>
      <c r="L13" s="22">
        <f t="shared" si="11"/>
        <v>28432.306888422067</v>
      </c>
      <c r="M13" s="5">
        <f>scrimecost*Meta!O10</f>
        <v>35582.975999999995</v>
      </c>
      <c r="N13" s="5">
        <f>L13-Grade12!L13</f>
        <v>3135.9492368598512</v>
      </c>
      <c r="O13" s="5">
        <f>Grade12!M13-M13</f>
        <v>277.99200000000565</v>
      </c>
      <c r="P13" s="22">
        <f t="shared" si="12"/>
        <v>28.487706613966346</v>
      </c>
      <c r="Q13" s="22"/>
      <c r="R13" s="22"/>
      <c r="S13" s="22">
        <f t="shared" si="6"/>
        <v>1025.1178057899781</v>
      </c>
      <c r="T13" s="22">
        <f t="shared" si="7"/>
        <v>877.39655523683041</v>
      </c>
    </row>
    <row r="14" spans="1:20" x14ac:dyDescent="0.2">
      <c r="A14" s="5">
        <v>23</v>
      </c>
      <c r="B14" s="1">
        <f t="shared" si="8"/>
        <v>1.1038128906249998</v>
      </c>
      <c r="C14" s="5">
        <f t="shared" si="9"/>
        <v>22810.950002090576</v>
      </c>
      <c r="D14" s="5">
        <f t="shared" si="0"/>
        <v>22255.706851929604</v>
      </c>
      <c r="E14" s="5">
        <f t="shared" si="1"/>
        <v>12755.706851929604</v>
      </c>
      <c r="F14" s="5">
        <f t="shared" si="2"/>
        <v>4466.4882871550162</v>
      </c>
      <c r="G14" s="5">
        <f t="shared" si="3"/>
        <v>17789.218564774586</v>
      </c>
      <c r="H14" s="22">
        <f t="shared" si="10"/>
        <v>10434.6766645099</v>
      </c>
      <c r="I14" s="5">
        <f t="shared" si="4"/>
        <v>27420.425126117225</v>
      </c>
      <c r="J14" s="25">
        <f t="shared" si="5"/>
        <v>0.10641070139639341</v>
      </c>
      <c r="L14" s="22">
        <f t="shared" si="11"/>
        <v>29143.114560632614</v>
      </c>
      <c r="M14" s="5">
        <f>scrimecost*Meta!O11</f>
        <v>33251.328000000001</v>
      </c>
      <c r="N14" s="5">
        <f>L14-Grade12!L14</f>
        <v>3214.3479677813448</v>
      </c>
      <c r="O14" s="5">
        <f>Grade12!M14-M14</f>
        <v>259.77599999999802</v>
      </c>
      <c r="P14" s="22">
        <f t="shared" si="12"/>
        <v>28.965417783817109</v>
      </c>
      <c r="Q14" s="22"/>
      <c r="R14" s="22"/>
      <c r="S14" s="22">
        <f t="shared" si="6"/>
        <v>1038.1218110314601</v>
      </c>
      <c r="T14" s="22">
        <f t="shared" si="7"/>
        <v>854.62580227369142</v>
      </c>
    </row>
    <row r="15" spans="1:20" x14ac:dyDescent="0.2">
      <c r="A15" s="5">
        <v>24</v>
      </c>
      <c r="B15" s="1">
        <f t="shared" si="8"/>
        <v>1.1314082128906247</v>
      </c>
      <c r="C15" s="5">
        <f t="shared" si="9"/>
        <v>23381.223752142836</v>
      </c>
      <c r="D15" s="5">
        <f t="shared" si="0"/>
        <v>22782.069523227838</v>
      </c>
      <c r="E15" s="5">
        <f t="shared" si="1"/>
        <v>13282.069523227838</v>
      </c>
      <c r="F15" s="5">
        <f t="shared" si="2"/>
        <v>4638.3456993338887</v>
      </c>
      <c r="G15" s="5">
        <f t="shared" si="3"/>
        <v>18143.72382389395</v>
      </c>
      <c r="H15" s="22">
        <f t="shared" si="10"/>
        <v>10695.543581122645</v>
      </c>
      <c r="I15" s="5">
        <f t="shared" si="4"/>
        <v>28015.710549270152</v>
      </c>
      <c r="J15" s="25">
        <f t="shared" si="5"/>
        <v>0.10927928682109557</v>
      </c>
      <c r="L15" s="22">
        <f t="shared" si="11"/>
        <v>29871.692424648427</v>
      </c>
      <c r="M15" s="5">
        <f>scrimecost*Meta!O12</f>
        <v>31768.704000000002</v>
      </c>
      <c r="N15" s="5">
        <f>L15-Grade12!L15</f>
        <v>3294.7066669758788</v>
      </c>
      <c r="O15" s="5">
        <f>Grade12!M15-M15</f>
        <v>248.1929999999993</v>
      </c>
      <c r="P15" s="22">
        <f t="shared" si="12"/>
        <v>29.455071732914135</v>
      </c>
      <c r="Q15" s="22"/>
      <c r="R15" s="22"/>
      <c r="S15" s="22">
        <f t="shared" si="6"/>
        <v>1054.9738512039849</v>
      </c>
      <c r="T15" s="22">
        <f t="shared" si="7"/>
        <v>835.36238755759825</v>
      </c>
    </row>
    <row r="16" spans="1:20" x14ac:dyDescent="0.2">
      <c r="A16" s="5">
        <v>25</v>
      </c>
      <c r="B16" s="1">
        <f t="shared" si="8"/>
        <v>1.1596934182128902</v>
      </c>
      <c r="C16" s="5">
        <f t="shared" si="9"/>
        <v>23965.754345946407</v>
      </c>
      <c r="D16" s="5">
        <f t="shared" si="0"/>
        <v>23321.591261308535</v>
      </c>
      <c r="E16" s="5">
        <f t="shared" si="1"/>
        <v>13821.591261308535</v>
      </c>
      <c r="F16" s="5">
        <f t="shared" si="2"/>
        <v>4814.4995468172365</v>
      </c>
      <c r="G16" s="5">
        <f t="shared" si="3"/>
        <v>18507.091714491296</v>
      </c>
      <c r="H16" s="22">
        <f t="shared" si="10"/>
        <v>10962.932170650711</v>
      </c>
      <c r="I16" s="5">
        <f t="shared" si="4"/>
        <v>28625.878108001903</v>
      </c>
      <c r="J16" s="25">
        <f t="shared" si="5"/>
        <v>0.11207790674763435</v>
      </c>
      <c r="L16" s="22">
        <f t="shared" si="11"/>
        <v>30618.484735264636</v>
      </c>
      <c r="M16" s="5">
        <f>scrimecost*Meta!O13</f>
        <v>26674.560000000001</v>
      </c>
      <c r="N16" s="5">
        <f>L16-Grade12!L16</f>
        <v>3377.074333650271</v>
      </c>
      <c r="O16" s="5">
        <f>Grade12!M16-M16</f>
        <v>208.3949999999968</v>
      </c>
      <c r="P16" s="22">
        <f t="shared" si="12"/>
        <v>29.956967030738589</v>
      </c>
      <c r="Q16" s="22"/>
      <c r="R16" s="22"/>
      <c r="S16" s="22">
        <f t="shared" si="6"/>
        <v>1058.3682561558192</v>
      </c>
      <c r="T16" s="22">
        <f t="shared" si="7"/>
        <v>806.07520863293178</v>
      </c>
    </row>
    <row r="17" spans="1:20" x14ac:dyDescent="0.2">
      <c r="A17" s="5">
        <v>26</v>
      </c>
      <c r="B17" s="1">
        <f t="shared" si="8"/>
        <v>1.1886857536682125</v>
      </c>
      <c r="C17" s="5">
        <f t="shared" si="9"/>
        <v>24564.898204595065</v>
      </c>
      <c r="D17" s="5">
        <f t="shared" si="0"/>
        <v>23874.601042841248</v>
      </c>
      <c r="E17" s="5">
        <f t="shared" si="1"/>
        <v>14374.601042841248</v>
      </c>
      <c r="F17" s="5">
        <f t="shared" si="2"/>
        <v>4995.0572404876675</v>
      </c>
      <c r="G17" s="5">
        <f t="shared" si="3"/>
        <v>18879.543802353583</v>
      </c>
      <c r="H17" s="22">
        <f t="shared" si="10"/>
        <v>11237.005474916979</v>
      </c>
      <c r="I17" s="5">
        <f t="shared" si="4"/>
        <v>29251.299855701953</v>
      </c>
      <c r="J17" s="25">
        <f t="shared" si="5"/>
        <v>0.11480826765157459</v>
      </c>
      <c r="L17" s="22">
        <f t="shared" si="11"/>
        <v>31383.946853646252</v>
      </c>
      <c r="M17" s="5">
        <f>scrimecost*Meta!O14</f>
        <v>26674.560000000001</v>
      </c>
      <c r="N17" s="5">
        <f>L17-Grade12!L17</f>
        <v>3461.5011919915305</v>
      </c>
      <c r="O17" s="5">
        <f>Grade12!M17-M17</f>
        <v>208.3949999999968</v>
      </c>
      <c r="P17" s="22">
        <f t="shared" si="12"/>
        <v>30.471409711008661</v>
      </c>
      <c r="Q17" s="22"/>
      <c r="R17" s="22"/>
      <c r="S17" s="22">
        <f t="shared" si="6"/>
        <v>1082.1216173814526</v>
      </c>
      <c r="T17" s="22">
        <f t="shared" si="7"/>
        <v>792.72101010507856</v>
      </c>
    </row>
    <row r="18" spans="1:20" x14ac:dyDescent="0.2">
      <c r="A18" s="5">
        <v>27</v>
      </c>
      <c r="B18" s="1">
        <f t="shared" si="8"/>
        <v>1.2184028975099177</v>
      </c>
      <c r="C18" s="5">
        <f t="shared" si="9"/>
        <v>25179.020659709942</v>
      </c>
      <c r="D18" s="5">
        <f t="shared" si="0"/>
        <v>24441.436068912277</v>
      </c>
      <c r="E18" s="5">
        <f t="shared" si="1"/>
        <v>14941.436068912277</v>
      </c>
      <c r="F18" s="5">
        <f t="shared" si="2"/>
        <v>5180.1288764998581</v>
      </c>
      <c r="G18" s="5">
        <f t="shared" si="3"/>
        <v>19261.30719241242</v>
      </c>
      <c r="H18" s="22">
        <f t="shared" si="10"/>
        <v>11517.930611789903</v>
      </c>
      <c r="I18" s="5">
        <f t="shared" si="4"/>
        <v>29892.357147094503</v>
      </c>
      <c r="J18" s="25">
        <f t="shared" si="5"/>
        <v>0.11747203438712604</v>
      </c>
      <c r="L18" s="22">
        <f t="shared" si="11"/>
        <v>32168.545524987407</v>
      </c>
      <c r="M18" s="5">
        <f>scrimecost*Meta!O15</f>
        <v>26674.560000000001</v>
      </c>
      <c r="N18" s="5">
        <f>L18-Grade12!L18</f>
        <v>3548.038721791323</v>
      </c>
      <c r="O18" s="5">
        <f>Grade12!M18-M18</f>
        <v>208.3949999999968</v>
      </c>
      <c r="P18" s="22">
        <f t="shared" si="12"/>
        <v>30.998713458285479</v>
      </c>
      <c r="Q18" s="22"/>
      <c r="R18" s="22"/>
      <c r="S18" s="22">
        <f t="shared" si="6"/>
        <v>1106.4688126377275</v>
      </c>
      <c r="T18" s="22">
        <f t="shared" si="7"/>
        <v>779.63083964255327</v>
      </c>
    </row>
    <row r="19" spans="1:20" x14ac:dyDescent="0.2">
      <c r="A19" s="5">
        <v>28</v>
      </c>
      <c r="B19" s="1">
        <f t="shared" si="8"/>
        <v>1.2488629699476654</v>
      </c>
      <c r="C19" s="5">
        <f t="shared" si="9"/>
        <v>25808.496176202687</v>
      </c>
      <c r="D19" s="5">
        <f t="shared" si="0"/>
        <v>25022.441970635082</v>
      </c>
      <c r="E19" s="5">
        <f t="shared" si="1"/>
        <v>15522.441970635082</v>
      </c>
      <c r="F19" s="5">
        <f t="shared" si="2"/>
        <v>5369.827303412354</v>
      </c>
      <c r="G19" s="5">
        <f t="shared" si="3"/>
        <v>19652.614667222726</v>
      </c>
      <c r="H19" s="22">
        <f t="shared" si="10"/>
        <v>11805.878877084648</v>
      </c>
      <c r="I19" s="5">
        <f t="shared" si="4"/>
        <v>30549.440870771854</v>
      </c>
      <c r="J19" s="25">
        <f t="shared" si="5"/>
        <v>0.12007083120229821</v>
      </c>
      <c r="L19" s="22">
        <f t="shared" si="11"/>
        <v>32972.759163112089</v>
      </c>
      <c r="M19" s="5">
        <f>scrimecost*Meta!O16</f>
        <v>26674.560000000001</v>
      </c>
      <c r="N19" s="5">
        <f>L19-Grade12!L19</f>
        <v>3636.7396898361003</v>
      </c>
      <c r="O19" s="5">
        <f>Grade12!M19-M19</f>
        <v>208.3949999999968</v>
      </c>
      <c r="P19" s="22">
        <f t="shared" si="12"/>
        <v>31.539199799244216</v>
      </c>
      <c r="Q19" s="22"/>
      <c r="R19" s="22"/>
      <c r="S19" s="22">
        <f t="shared" si="6"/>
        <v>1131.4246877754065</v>
      </c>
      <c r="T19" s="22">
        <f t="shared" si="7"/>
        <v>766.79808682922715</v>
      </c>
    </row>
    <row r="20" spans="1:20" x14ac:dyDescent="0.2">
      <c r="A20" s="5">
        <v>29</v>
      </c>
      <c r="B20" s="1">
        <f t="shared" si="8"/>
        <v>1.2800845441963571</v>
      </c>
      <c r="C20" s="5">
        <f t="shared" si="9"/>
        <v>26453.708580607752</v>
      </c>
      <c r="D20" s="5">
        <f t="shared" si="0"/>
        <v>25617.973019900957</v>
      </c>
      <c r="E20" s="5">
        <f t="shared" si="1"/>
        <v>16117.973019900957</v>
      </c>
      <c r="F20" s="5">
        <f t="shared" si="2"/>
        <v>5564.2681909976627</v>
      </c>
      <c r="G20" s="5">
        <f t="shared" si="3"/>
        <v>20053.704828903294</v>
      </c>
      <c r="H20" s="22">
        <f t="shared" si="10"/>
        <v>12101.025849011767</v>
      </c>
      <c r="I20" s="5">
        <f t="shared" si="4"/>
        <v>31222.951687541157</v>
      </c>
      <c r="J20" s="25">
        <f t="shared" si="5"/>
        <v>0.12260624272929543</v>
      </c>
      <c r="L20" s="22">
        <f t="shared" si="11"/>
        <v>33797.078142189886</v>
      </c>
      <c r="M20" s="5">
        <f>scrimecost*Meta!O17</f>
        <v>26674.560000000001</v>
      </c>
      <c r="N20" s="5">
        <f>L20-Grade12!L20</f>
        <v>3727.6581820820029</v>
      </c>
      <c r="O20" s="5">
        <f>Grade12!M20-M20</f>
        <v>208.3949999999968</v>
      </c>
      <c r="P20" s="22">
        <f t="shared" si="12"/>
        <v>32.093198298726918</v>
      </c>
      <c r="Q20" s="22"/>
      <c r="R20" s="22"/>
      <c r="S20" s="22">
        <f t="shared" si="6"/>
        <v>1157.0044597915287</v>
      </c>
      <c r="T20" s="22">
        <f t="shared" si="7"/>
        <v>754.21634460291648</v>
      </c>
    </row>
    <row r="21" spans="1:20" x14ac:dyDescent="0.2">
      <c r="A21" s="5">
        <v>30</v>
      </c>
      <c r="B21" s="1">
        <f t="shared" si="8"/>
        <v>1.312086657801266</v>
      </c>
      <c r="C21" s="5">
        <f t="shared" si="9"/>
        <v>27115.051295122947</v>
      </c>
      <c r="D21" s="5">
        <f t="shared" si="0"/>
        <v>26228.392345398483</v>
      </c>
      <c r="E21" s="5">
        <f t="shared" si="1"/>
        <v>16728.392345398483</v>
      </c>
      <c r="F21" s="5">
        <f t="shared" si="2"/>
        <v>5763.5701007726047</v>
      </c>
      <c r="G21" s="5">
        <f t="shared" si="3"/>
        <v>20464.822244625877</v>
      </c>
      <c r="H21" s="22">
        <f t="shared" si="10"/>
        <v>12403.551495237059</v>
      </c>
      <c r="I21" s="5">
        <f t="shared" si="4"/>
        <v>31913.300274729685</v>
      </c>
      <c r="J21" s="25">
        <f t="shared" si="5"/>
        <v>0.12507981495075618</v>
      </c>
      <c r="L21" s="22">
        <f t="shared" si="11"/>
        <v>34642.005095744629</v>
      </c>
      <c r="M21" s="5">
        <f>scrimecost*Meta!O18</f>
        <v>21504.384000000002</v>
      </c>
      <c r="N21" s="5">
        <f>L21-Grade12!L21</f>
        <v>3820.8496366340478</v>
      </c>
      <c r="O21" s="5">
        <f>Grade12!M21-M21</f>
        <v>168.00300000000061</v>
      </c>
      <c r="P21" s="22">
        <f t="shared" si="12"/>
        <v>32.661046760696706</v>
      </c>
      <c r="Q21" s="22"/>
      <c r="R21" s="22"/>
      <c r="S21" s="22">
        <f t="shared" si="6"/>
        <v>1163.1489021080547</v>
      </c>
      <c r="T21" s="22">
        <f t="shared" si="7"/>
        <v>729.29251933401804</v>
      </c>
    </row>
    <row r="22" spans="1:20" x14ac:dyDescent="0.2">
      <c r="A22" s="5">
        <v>31</v>
      </c>
      <c r="B22" s="1">
        <f t="shared" si="8"/>
        <v>1.3448888242462975</v>
      </c>
      <c r="C22" s="5">
        <f t="shared" si="9"/>
        <v>27792.927577501017</v>
      </c>
      <c r="D22" s="5">
        <f t="shared" si="0"/>
        <v>26854.072154033442</v>
      </c>
      <c r="E22" s="5">
        <f t="shared" si="1"/>
        <v>17354.072154033442</v>
      </c>
      <c r="F22" s="5">
        <f t="shared" si="2"/>
        <v>5967.8545582919187</v>
      </c>
      <c r="G22" s="5">
        <f t="shared" si="3"/>
        <v>20886.217595741524</v>
      </c>
      <c r="H22" s="22">
        <f t="shared" si="10"/>
        <v>12713.640282617984</v>
      </c>
      <c r="I22" s="5">
        <f t="shared" si="4"/>
        <v>32620.907576597921</v>
      </c>
      <c r="J22" s="25">
        <f t="shared" si="5"/>
        <v>0.12749305614242515</v>
      </c>
      <c r="L22" s="22">
        <f t="shared" si="11"/>
        <v>35508.055223138246</v>
      </c>
      <c r="M22" s="5">
        <f>scrimecost*Meta!O19</f>
        <v>21504.384000000002</v>
      </c>
      <c r="N22" s="5">
        <f>L22-Grade12!L22</f>
        <v>3916.3708775499035</v>
      </c>
      <c r="O22" s="5">
        <f>Grade12!M22-M22</f>
        <v>168.00300000000061</v>
      </c>
      <c r="P22" s="22">
        <f t="shared" si="12"/>
        <v>33.243091434215721</v>
      </c>
      <c r="Q22" s="22"/>
      <c r="R22" s="22"/>
      <c r="S22" s="22">
        <f t="shared" si="6"/>
        <v>1190.0236500824947</v>
      </c>
      <c r="T22" s="22">
        <f t="shared" si="7"/>
        <v>717.67459552649666</v>
      </c>
    </row>
    <row r="23" spans="1:20" x14ac:dyDescent="0.2">
      <c r="A23" s="5">
        <v>32</v>
      </c>
      <c r="B23" s="1">
        <f t="shared" si="8"/>
        <v>1.3785110448524549</v>
      </c>
      <c r="C23" s="5">
        <f t="shared" si="9"/>
        <v>28487.750766938545</v>
      </c>
      <c r="D23" s="5">
        <f t="shared" si="0"/>
        <v>27495.39395788428</v>
      </c>
      <c r="E23" s="5">
        <f t="shared" si="1"/>
        <v>17995.39395788428</v>
      </c>
      <c r="F23" s="5">
        <f t="shared" si="2"/>
        <v>6177.2461272492174</v>
      </c>
      <c r="G23" s="5">
        <f t="shared" si="3"/>
        <v>21318.147830635062</v>
      </c>
      <c r="H23" s="22">
        <f t="shared" si="10"/>
        <v>13031.481289683432</v>
      </c>
      <c r="I23" s="5">
        <f t="shared" si="4"/>
        <v>33346.205061012872</v>
      </c>
      <c r="J23" s="25">
        <f t="shared" si="5"/>
        <v>0.12984743779283392</v>
      </c>
      <c r="L23" s="22">
        <f t="shared" si="11"/>
        <v>36395.756603716698</v>
      </c>
      <c r="M23" s="5">
        <f>scrimecost*Meta!O20</f>
        <v>21504.384000000002</v>
      </c>
      <c r="N23" s="5">
        <f>L23-Grade12!L23</f>
        <v>4014.280149488648</v>
      </c>
      <c r="O23" s="5">
        <f>Grade12!M23-M23</f>
        <v>168.00300000000061</v>
      </c>
      <c r="P23" s="22">
        <f t="shared" si="12"/>
        <v>33.839687224572721</v>
      </c>
      <c r="Q23" s="22"/>
      <c r="R23" s="22"/>
      <c r="S23" s="22">
        <f t="shared" si="6"/>
        <v>1217.5702667562934</v>
      </c>
      <c r="T23" s="22">
        <f t="shared" si="7"/>
        <v>706.27128875116978</v>
      </c>
    </row>
    <row r="24" spans="1:20" x14ac:dyDescent="0.2">
      <c r="A24" s="5">
        <v>33</v>
      </c>
      <c r="B24" s="1">
        <f t="shared" si="8"/>
        <v>1.4129738209737661</v>
      </c>
      <c r="C24" s="5">
        <f t="shared" si="9"/>
        <v>29199.944536112002</v>
      </c>
      <c r="D24" s="5">
        <f t="shared" si="0"/>
        <v>28152.74880683138</v>
      </c>
      <c r="E24" s="5">
        <f t="shared" si="1"/>
        <v>18652.74880683138</v>
      </c>
      <c r="F24" s="5">
        <f t="shared" si="2"/>
        <v>6391.8724854304455</v>
      </c>
      <c r="G24" s="5">
        <f t="shared" si="3"/>
        <v>21760.876321400934</v>
      </c>
      <c r="H24" s="22">
        <f t="shared" si="10"/>
        <v>13357.268321925518</v>
      </c>
      <c r="I24" s="5">
        <f t="shared" si="4"/>
        <v>34089.634982538191</v>
      </c>
      <c r="J24" s="25">
        <f t="shared" si="5"/>
        <v>0.13214439550054977</v>
      </c>
      <c r="L24" s="22">
        <f t="shared" si="11"/>
        <v>37305.650518809613</v>
      </c>
      <c r="M24" s="5">
        <f>scrimecost*Meta!O21</f>
        <v>21504.384000000002</v>
      </c>
      <c r="N24" s="5">
        <f>L24-Grade12!L24</f>
        <v>4114.6371532258563</v>
      </c>
      <c r="O24" s="5">
        <f>Grade12!M24-M24</f>
        <v>168.00300000000061</v>
      </c>
      <c r="P24" s="22">
        <f t="shared" si="12"/>
        <v>34.451197909688631</v>
      </c>
      <c r="Q24" s="22"/>
      <c r="R24" s="22"/>
      <c r="S24" s="22">
        <f t="shared" si="6"/>
        <v>1245.8055488469361</v>
      </c>
      <c r="T24" s="22">
        <f t="shared" si="7"/>
        <v>695.07763631784803</v>
      </c>
    </row>
    <row r="25" spans="1:20" x14ac:dyDescent="0.2">
      <c r="A25" s="5">
        <v>34</v>
      </c>
      <c r="B25" s="1">
        <f t="shared" si="8"/>
        <v>1.4482981664981105</v>
      </c>
      <c r="C25" s="5">
        <f t="shared" si="9"/>
        <v>29929.943149514809</v>
      </c>
      <c r="D25" s="5">
        <f t="shared" si="0"/>
        <v>28826.537527002172</v>
      </c>
      <c r="E25" s="5">
        <f t="shared" si="1"/>
        <v>19326.537527002172</v>
      </c>
      <c r="F25" s="5">
        <f t="shared" si="2"/>
        <v>6611.864502566209</v>
      </c>
      <c r="G25" s="5">
        <f t="shared" si="3"/>
        <v>22214.673024435964</v>
      </c>
      <c r="H25" s="22">
        <f t="shared" si="10"/>
        <v>13691.200029973657</v>
      </c>
      <c r="I25" s="5">
        <f t="shared" si="4"/>
        <v>34851.650652101649</v>
      </c>
      <c r="J25" s="25">
        <f t="shared" si="5"/>
        <v>0.13438532984954091</v>
      </c>
      <c r="L25" s="22">
        <f t="shared" si="11"/>
        <v>38238.291781779859</v>
      </c>
      <c r="M25" s="5">
        <f>scrimecost*Meta!O22</f>
        <v>21504.384000000002</v>
      </c>
      <c r="N25" s="5">
        <f>L25-Grade12!L25</f>
        <v>4217.5030820565153</v>
      </c>
      <c r="O25" s="5">
        <f>Grade12!M25-M25</f>
        <v>168.00300000000061</v>
      </c>
      <c r="P25" s="22">
        <f t="shared" si="12"/>
        <v>35.077996361932456</v>
      </c>
      <c r="Q25" s="22"/>
      <c r="R25" s="22"/>
      <c r="S25" s="22">
        <f t="shared" si="6"/>
        <v>1274.74671298985</v>
      </c>
      <c r="T25" s="22">
        <f t="shared" si="7"/>
        <v>684.0888193735907</v>
      </c>
    </row>
    <row r="26" spans="1:20" x14ac:dyDescent="0.2">
      <c r="A26" s="5">
        <v>35</v>
      </c>
      <c r="B26" s="1">
        <f t="shared" si="8"/>
        <v>1.4845056206605631</v>
      </c>
      <c r="C26" s="5">
        <f t="shared" si="9"/>
        <v>30678.191728252674</v>
      </c>
      <c r="D26" s="5">
        <f t="shared" si="0"/>
        <v>29517.170965177222</v>
      </c>
      <c r="E26" s="5">
        <f t="shared" si="1"/>
        <v>20017.170965177222</v>
      </c>
      <c r="F26" s="5">
        <f t="shared" si="2"/>
        <v>6837.3563201303623</v>
      </c>
      <c r="G26" s="5">
        <f t="shared" si="3"/>
        <v>22679.814645046859</v>
      </c>
      <c r="H26" s="22">
        <f t="shared" si="10"/>
        <v>14033.480030722998</v>
      </c>
      <c r="I26" s="5">
        <f t="shared" si="4"/>
        <v>35632.716713404188</v>
      </c>
      <c r="J26" s="25">
        <f t="shared" si="5"/>
        <v>0.13657160726319073</v>
      </c>
      <c r="L26" s="22">
        <f t="shared" si="11"/>
        <v>39194.249076324355</v>
      </c>
      <c r="M26" s="5">
        <f>scrimecost*Meta!O23</f>
        <v>16689.023999999998</v>
      </c>
      <c r="N26" s="5">
        <f>L26-Grade12!L26</f>
        <v>4322.9406591079241</v>
      </c>
      <c r="O26" s="5">
        <f>Grade12!M26-M26</f>
        <v>130.38300000000163</v>
      </c>
      <c r="P26" s="22">
        <f t="shared" si="12"/>
        <v>35.72046477548237</v>
      </c>
      <c r="Q26" s="22"/>
      <c r="R26" s="22"/>
      <c r="S26" s="22">
        <f t="shared" si="6"/>
        <v>1285.7142662363331</v>
      </c>
      <c r="T26" s="22">
        <f t="shared" si="7"/>
        <v>663.64922487953163</v>
      </c>
    </row>
    <row r="27" spans="1:20" x14ac:dyDescent="0.2">
      <c r="A27" s="5">
        <v>36</v>
      </c>
      <c r="B27" s="1">
        <f t="shared" si="8"/>
        <v>1.521618261177077</v>
      </c>
      <c r="C27" s="5">
        <f t="shared" si="9"/>
        <v>31445.146521458984</v>
      </c>
      <c r="D27" s="5">
        <f t="shared" si="0"/>
        <v>30225.070239306646</v>
      </c>
      <c r="E27" s="5">
        <f t="shared" si="1"/>
        <v>20725.070239306646</v>
      </c>
      <c r="F27" s="5">
        <f t="shared" si="2"/>
        <v>7068.4854331336192</v>
      </c>
      <c r="G27" s="5">
        <f t="shared" si="3"/>
        <v>23156.584806173028</v>
      </c>
      <c r="H27" s="22">
        <f t="shared" si="10"/>
        <v>14384.317031491069</v>
      </c>
      <c r="I27" s="5">
        <f t="shared" si="4"/>
        <v>36433.309426239284</v>
      </c>
      <c r="J27" s="25">
        <f t="shared" si="5"/>
        <v>0.13870456083748325</v>
      </c>
      <c r="L27" s="22">
        <f t="shared" si="11"/>
        <v>40174.105303232456</v>
      </c>
      <c r="M27" s="5">
        <f>scrimecost*Meta!O24</f>
        <v>16689.023999999998</v>
      </c>
      <c r="N27" s="5">
        <f>L27-Grade12!L27</f>
        <v>4431.0141755856166</v>
      </c>
      <c r="O27" s="5">
        <f>Grade12!M27-M27</f>
        <v>130.38300000000163</v>
      </c>
      <c r="P27" s="22">
        <f t="shared" si="12"/>
        <v>36.378994899371023</v>
      </c>
      <c r="Q27" s="22"/>
      <c r="R27" s="22"/>
      <c r="S27" s="22">
        <f t="shared" si="6"/>
        <v>1316.1205768139771</v>
      </c>
      <c r="T27" s="22">
        <f t="shared" si="7"/>
        <v>653.42439548799246</v>
      </c>
    </row>
    <row r="28" spans="1:20" x14ac:dyDescent="0.2">
      <c r="A28" s="5">
        <v>37</v>
      </c>
      <c r="B28" s="1">
        <f t="shared" si="8"/>
        <v>1.559658717706504</v>
      </c>
      <c r="C28" s="5">
        <f t="shared" si="9"/>
        <v>32231.275184495462</v>
      </c>
      <c r="D28" s="5">
        <f t="shared" si="0"/>
        <v>30950.666995289313</v>
      </c>
      <c r="E28" s="5">
        <f t="shared" si="1"/>
        <v>21450.666995289313</v>
      </c>
      <c r="F28" s="5">
        <f t="shared" si="2"/>
        <v>7305.3927739619612</v>
      </c>
      <c r="G28" s="5">
        <f t="shared" si="3"/>
        <v>23645.274221327352</v>
      </c>
      <c r="H28" s="22">
        <f t="shared" si="10"/>
        <v>14743.924957278348</v>
      </c>
      <c r="I28" s="5">
        <f t="shared" si="4"/>
        <v>37253.916956895264</v>
      </c>
      <c r="J28" s="25">
        <f t="shared" si="5"/>
        <v>0.14078549115386624</v>
      </c>
      <c r="L28" s="22">
        <f t="shared" si="11"/>
        <v>41178.457935813269</v>
      </c>
      <c r="M28" s="5">
        <f>scrimecost*Meta!O25</f>
        <v>16689.023999999998</v>
      </c>
      <c r="N28" s="5">
        <f>L28-Grade12!L28</f>
        <v>4541.7895299752563</v>
      </c>
      <c r="O28" s="5">
        <f>Grade12!M28-M28</f>
        <v>130.38300000000163</v>
      </c>
      <c r="P28" s="22">
        <f t="shared" si="12"/>
        <v>37.053988276356911</v>
      </c>
      <c r="Q28" s="22"/>
      <c r="R28" s="22"/>
      <c r="S28" s="22">
        <f t="shared" si="6"/>
        <v>1347.2870451560636</v>
      </c>
      <c r="T28" s="22">
        <f t="shared" si="7"/>
        <v>643.37671132233561</v>
      </c>
    </row>
    <row r="29" spans="1:20" x14ac:dyDescent="0.2">
      <c r="A29" s="5">
        <v>38</v>
      </c>
      <c r="B29" s="1">
        <f t="shared" si="8"/>
        <v>1.5986501856491666</v>
      </c>
      <c r="C29" s="5">
        <f t="shared" si="9"/>
        <v>33037.057064107852</v>
      </c>
      <c r="D29" s="5">
        <f t="shared" si="0"/>
        <v>31694.403670171549</v>
      </c>
      <c r="E29" s="5">
        <f t="shared" si="1"/>
        <v>22194.403670171549</v>
      </c>
      <c r="F29" s="5">
        <f t="shared" si="2"/>
        <v>7548.2227983110106</v>
      </c>
      <c r="G29" s="5">
        <f t="shared" si="3"/>
        <v>24146.180871860539</v>
      </c>
      <c r="H29" s="22">
        <f t="shared" si="10"/>
        <v>15112.523081210307</v>
      </c>
      <c r="I29" s="5">
        <f t="shared" si="4"/>
        <v>38095.03967581765</v>
      </c>
      <c r="J29" s="25">
        <f t="shared" si="5"/>
        <v>0.1428156670722886</v>
      </c>
      <c r="L29" s="22">
        <f t="shared" si="11"/>
        <v>42207.919384208602</v>
      </c>
      <c r="M29" s="5">
        <f>scrimecost*Meta!O26</f>
        <v>16689.023999999998</v>
      </c>
      <c r="N29" s="5">
        <f>L29-Grade12!L29</f>
        <v>4655.3342682246512</v>
      </c>
      <c r="O29" s="5">
        <f>Grade12!M29-M29</f>
        <v>130.38300000000163</v>
      </c>
      <c r="P29" s="22">
        <f t="shared" si="12"/>
        <v>37.745856487767426</v>
      </c>
      <c r="Q29" s="22"/>
      <c r="R29" s="22"/>
      <c r="S29" s="22">
        <f t="shared" si="6"/>
        <v>1379.2326752067063</v>
      </c>
      <c r="T29" s="22">
        <f t="shared" si="7"/>
        <v>633.50241817611982</v>
      </c>
    </row>
    <row r="30" spans="1:20" x14ac:dyDescent="0.2">
      <c r="A30" s="5">
        <v>39</v>
      </c>
      <c r="B30" s="1">
        <f t="shared" si="8"/>
        <v>1.6386164402903955</v>
      </c>
      <c r="C30" s="5">
        <f t="shared" si="9"/>
        <v>33862.98349071054</v>
      </c>
      <c r="D30" s="5">
        <f t="shared" si="0"/>
        <v>32456.733761925829</v>
      </c>
      <c r="E30" s="5">
        <f t="shared" si="1"/>
        <v>22956.733761925829</v>
      </c>
      <c r="F30" s="5">
        <f t="shared" si="2"/>
        <v>7797.1235732687828</v>
      </c>
      <c r="G30" s="5">
        <f t="shared" si="3"/>
        <v>24659.610188657047</v>
      </c>
      <c r="H30" s="22">
        <f t="shared" si="10"/>
        <v>15490.336158240563</v>
      </c>
      <c r="I30" s="5">
        <f t="shared" si="4"/>
        <v>38957.190462713086</v>
      </c>
      <c r="J30" s="25">
        <f t="shared" si="5"/>
        <v>0.14479632650489582</v>
      </c>
      <c r="L30" s="22">
        <f t="shared" si="11"/>
        <v>43263.117368813815</v>
      </c>
      <c r="M30" s="5">
        <f>scrimecost*Meta!O27</f>
        <v>16689.023999999998</v>
      </c>
      <c r="N30" s="5">
        <f>L30-Grade12!L30</f>
        <v>4771.717624930272</v>
      </c>
      <c r="O30" s="5">
        <f>Grade12!M30-M30</f>
        <v>130.38300000000163</v>
      </c>
      <c r="P30" s="22">
        <f t="shared" si="12"/>
        <v>38.455021404463217</v>
      </c>
      <c r="Q30" s="22"/>
      <c r="R30" s="22"/>
      <c r="S30" s="22">
        <f t="shared" si="6"/>
        <v>1411.9769460086125</v>
      </c>
      <c r="T30" s="22">
        <f t="shared" si="7"/>
        <v>623.797862692526</v>
      </c>
    </row>
    <row r="31" spans="1:20" x14ac:dyDescent="0.2">
      <c r="A31" s="5">
        <v>40</v>
      </c>
      <c r="B31" s="1">
        <f t="shared" si="8"/>
        <v>1.6795818512976552</v>
      </c>
      <c r="C31" s="5">
        <f t="shared" si="9"/>
        <v>34709.558077978298</v>
      </c>
      <c r="D31" s="5">
        <f t="shared" si="0"/>
        <v>33238.122105973969</v>
      </c>
      <c r="E31" s="5">
        <f t="shared" si="1"/>
        <v>23738.122105973969</v>
      </c>
      <c r="F31" s="5">
        <f t="shared" si="2"/>
        <v>8052.246867600501</v>
      </c>
      <c r="G31" s="5">
        <f t="shared" si="3"/>
        <v>25185.875238373468</v>
      </c>
      <c r="H31" s="22">
        <f t="shared" si="10"/>
        <v>15877.594562196575</v>
      </c>
      <c r="I31" s="5">
        <f t="shared" si="4"/>
        <v>39840.895019280906</v>
      </c>
      <c r="J31" s="25">
        <f t="shared" si="5"/>
        <v>0.14672867717085405</v>
      </c>
      <c r="L31" s="22">
        <f t="shared" si="11"/>
        <v>44344.695303034154</v>
      </c>
      <c r="M31" s="5">
        <f>scrimecost*Meta!O28</f>
        <v>14598.143999999998</v>
      </c>
      <c r="N31" s="5">
        <f>L31-Grade12!L31</f>
        <v>4891.0105655535153</v>
      </c>
      <c r="O31" s="5">
        <f>Grade12!M31-M31</f>
        <v>114.04800000000068</v>
      </c>
      <c r="P31" s="22">
        <f t="shared" si="12"/>
        <v>39.181915444076395</v>
      </c>
      <c r="Q31" s="22"/>
      <c r="R31" s="22"/>
      <c r="S31" s="22">
        <f t="shared" si="6"/>
        <v>1437.4213285805608</v>
      </c>
      <c r="T31" s="22">
        <f t="shared" si="7"/>
        <v>610.80966192216067</v>
      </c>
    </row>
    <row r="32" spans="1:20" x14ac:dyDescent="0.2">
      <c r="A32" s="5">
        <v>41</v>
      </c>
      <c r="B32" s="1">
        <f t="shared" si="8"/>
        <v>1.7215713975800966</v>
      </c>
      <c r="C32" s="5">
        <f t="shared" si="9"/>
        <v>35577.297029927759</v>
      </c>
      <c r="D32" s="5">
        <f t="shared" si="0"/>
        <v>34039.045158623318</v>
      </c>
      <c r="E32" s="5">
        <f t="shared" si="1"/>
        <v>24539.045158623318</v>
      </c>
      <c r="F32" s="5">
        <f t="shared" si="2"/>
        <v>8313.748244290513</v>
      </c>
      <c r="G32" s="5">
        <f t="shared" si="3"/>
        <v>25725.296914332805</v>
      </c>
      <c r="H32" s="22">
        <f t="shared" si="10"/>
        <v>16274.53442625149</v>
      </c>
      <c r="I32" s="5">
        <f t="shared" si="4"/>
        <v>40746.692189762929</v>
      </c>
      <c r="J32" s="25">
        <f t="shared" si="5"/>
        <v>0.14861389733276456</v>
      </c>
      <c r="L32" s="22">
        <f t="shared" si="11"/>
        <v>45453.312685610006</v>
      </c>
      <c r="M32" s="5">
        <f>scrimecost*Meta!O29</f>
        <v>14598.143999999998</v>
      </c>
      <c r="N32" s="5">
        <f>L32-Grade12!L32</f>
        <v>5013.2858296923514</v>
      </c>
      <c r="O32" s="5">
        <f>Grade12!M32-M32</f>
        <v>114.04800000000068</v>
      </c>
      <c r="P32" s="22">
        <f t="shared" si="12"/>
        <v>39.9269818346799</v>
      </c>
      <c r="Q32" s="22"/>
      <c r="R32" s="22"/>
      <c r="S32" s="22">
        <f t="shared" si="6"/>
        <v>1471.8232780918115</v>
      </c>
      <c r="T32" s="22">
        <f t="shared" si="7"/>
        <v>601.56563371292089</v>
      </c>
    </row>
    <row r="33" spans="1:20" x14ac:dyDescent="0.2">
      <c r="A33" s="5">
        <v>42</v>
      </c>
      <c r="B33" s="1">
        <f t="shared" si="8"/>
        <v>1.7646106825195991</v>
      </c>
      <c r="C33" s="5">
        <f t="shared" si="9"/>
        <v>36466.729455675952</v>
      </c>
      <c r="D33" s="5">
        <f t="shared" si="0"/>
        <v>34859.991287588899</v>
      </c>
      <c r="E33" s="5">
        <f t="shared" si="1"/>
        <v>25359.991287588899</v>
      </c>
      <c r="F33" s="5">
        <f t="shared" si="2"/>
        <v>8581.7871553977748</v>
      </c>
      <c r="G33" s="5">
        <f t="shared" si="3"/>
        <v>26278.204132191124</v>
      </c>
      <c r="H33" s="22">
        <f t="shared" si="10"/>
        <v>16681.397786907775</v>
      </c>
      <c r="I33" s="5">
        <f t="shared" si="4"/>
        <v>41675.134289506997</v>
      </c>
      <c r="J33" s="25">
        <f t="shared" si="5"/>
        <v>0.15045313651511624</v>
      </c>
      <c r="L33" s="22">
        <f t="shared" si="11"/>
        <v>46589.645502750252</v>
      </c>
      <c r="M33" s="5">
        <f>scrimecost*Meta!O30</f>
        <v>14598.143999999998</v>
      </c>
      <c r="N33" s="5">
        <f>L33-Grade12!L33</f>
        <v>5138.6179754346595</v>
      </c>
      <c r="O33" s="5">
        <f>Grade12!M33-M33</f>
        <v>114.04800000000068</v>
      </c>
      <c r="P33" s="22">
        <f t="shared" si="12"/>
        <v>40.690674885048502</v>
      </c>
      <c r="Q33" s="22"/>
      <c r="R33" s="22"/>
      <c r="S33" s="22">
        <f t="shared" si="6"/>
        <v>1507.0852763408441</v>
      </c>
      <c r="T33" s="22">
        <f t="shared" si="7"/>
        <v>592.47593425632226</v>
      </c>
    </row>
    <row r="34" spans="1:20" x14ac:dyDescent="0.2">
      <c r="A34" s="5">
        <v>43</v>
      </c>
      <c r="B34" s="1">
        <f t="shared" si="8"/>
        <v>1.8087259495825889</v>
      </c>
      <c r="C34" s="5">
        <f t="shared" si="9"/>
        <v>37378.397692067847</v>
      </c>
      <c r="D34" s="5">
        <f t="shared" si="0"/>
        <v>35701.461069778619</v>
      </c>
      <c r="E34" s="5">
        <f t="shared" si="1"/>
        <v>26201.461069778619</v>
      </c>
      <c r="F34" s="5">
        <f t="shared" si="2"/>
        <v>8856.5270392827188</v>
      </c>
      <c r="G34" s="5">
        <f t="shared" si="3"/>
        <v>26844.934030495901</v>
      </c>
      <c r="H34" s="22">
        <f t="shared" si="10"/>
        <v>17098.432731580469</v>
      </c>
      <c r="I34" s="5">
        <f t="shared" si="4"/>
        <v>42626.787441744673</v>
      </c>
      <c r="J34" s="25">
        <f t="shared" si="5"/>
        <v>0.15224751620521548</v>
      </c>
      <c r="L34" s="22">
        <f t="shared" si="11"/>
        <v>47754.386640319011</v>
      </c>
      <c r="M34" s="5">
        <f>scrimecost*Meta!O31</f>
        <v>14598.143999999998</v>
      </c>
      <c r="N34" s="5">
        <f>L34-Grade12!L34</f>
        <v>5267.0834248205356</v>
      </c>
      <c r="O34" s="5">
        <f>Grade12!M34-M34</f>
        <v>114.04800000000068</v>
      </c>
      <c r="P34" s="22">
        <f t="shared" si="12"/>
        <v>41.473460261676323</v>
      </c>
      <c r="Q34" s="22"/>
      <c r="R34" s="22"/>
      <c r="S34" s="22">
        <f t="shared" si="6"/>
        <v>1543.2288245461052</v>
      </c>
      <c r="T34" s="22">
        <f t="shared" si="7"/>
        <v>583.53747384019823</v>
      </c>
    </row>
    <row r="35" spans="1:20" x14ac:dyDescent="0.2">
      <c r="A35" s="5">
        <v>44</v>
      </c>
      <c r="B35" s="1">
        <f t="shared" si="8"/>
        <v>1.8539440983221533</v>
      </c>
      <c r="C35" s="5">
        <f t="shared" si="9"/>
        <v>38312.857634369539</v>
      </c>
      <c r="D35" s="5">
        <f t="shared" si="0"/>
        <v>36563.967596523085</v>
      </c>
      <c r="E35" s="5">
        <f t="shared" si="1"/>
        <v>27063.967596523085</v>
      </c>
      <c r="F35" s="5">
        <f t="shared" si="2"/>
        <v>9138.1354202647872</v>
      </c>
      <c r="G35" s="5">
        <f t="shared" si="3"/>
        <v>27425.8321762583</v>
      </c>
      <c r="H35" s="22">
        <f t="shared" si="10"/>
        <v>17525.893549869979</v>
      </c>
      <c r="I35" s="5">
        <f t="shared" si="4"/>
        <v>43602.231922788291</v>
      </c>
      <c r="J35" s="25">
        <f t="shared" si="5"/>
        <v>0.15399813053701963</v>
      </c>
      <c r="L35" s="22">
        <f t="shared" si="11"/>
        <v>48948.246306326975</v>
      </c>
      <c r="M35" s="5">
        <f>scrimecost*Meta!O32</f>
        <v>14598.143999999998</v>
      </c>
      <c r="N35" s="5">
        <f>L35-Grade12!L35</f>
        <v>5398.7605104410395</v>
      </c>
      <c r="O35" s="5">
        <f>Grade12!M35-M35</f>
        <v>114.04800000000068</v>
      </c>
      <c r="P35" s="22">
        <f t="shared" si="12"/>
        <v>42.275815272719832</v>
      </c>
      <c r="Q35" s="22"/>
      <c r="R35" s="22"/>
      <c r="S35" s="22">
        <f t="shared" si="6"/>
        <v>1580.2759614564923</v>
      </c>
      <c r="T35" s="22">
        <f t="shared" si="7"/>
        <v>574.74724115574679</v>
      </c>
    </row>
    <row r="36" spans="1:20" x14ac:dyDescent="0.2">
      <c r="A36" s="5">
        <v>45</v>
      </c>
      <c r="B36" s="1">
        <f t="shared" si="8"/>
        <v>1.9002927007802071</v>
      </c>
      <c r="C36" s="5">
        <f t="shared" si="9"/>
        <v>39270.679075228778</v>
      </c>
      <c r="D36" s="5">
        <f t="shared" si="0"/>
        <v>37448.036786436161</v>
      </c>
      <c r="E36" s="5">
        <f t="shared" si="1"/>
        <v>27948.036786436161</v>
      </c>
      <c r="F36" s="5">
        <f t="shared" si="2"/>
        <v>9426.7840107714073</v>
      </c>
      <c r="G36" s="5">
        <f t="shared" si="3"/>
        <v>28021.252775664754</v>
      </c>
      <c r="H36" s="22">
        <f t="shared" si="10"/>
        <v>17964.040888616728</v>
      </c>
      <c r="I36" s="5">
        <f t="shared" si="4"/>
        <v>44602.062515857993</v>
      </c>
      <c r="J36" s="25">
        <f t="shared" si="5"/>
        <v>0.15570604695829196</v>
      </c>
      <c r="L36" s="22">
        <f t="shared" si="11"/>
        <v>50171.952463985152</v>
      </c>
      <c r="M36" s="5">
        <f>scrimecost*Meta!O33</f>
        <v>11797.632000000001</v>
      </c>
      <c r="N36" s="5">
        <f>L36-Grade12!L36</f>
        <v>5533.729523202077</v>
      </c>
      <c r="O36" s="5">
        <f>Grade12!M36-M36</f>
        <v>92.168999999999869</v>
      </c>
      <c r="P36" s="22">
        <f t="shared" si="12"/>
        <v>43.098229159039427</v>
      </c>
      <c r="Q36" s="22"/>
      <c r="R36" s="22"/>
      <c r="S36" s="22">
        <f t="shared" si="6"/>
        <v>1607.3754137896449</v>
      </c>
      <c r="T36" s="22">
        <f t="shared" si="7"/>
        <v>562.29836351438757</v>
      </c>
    </row>
    <row r="37" spans="1:20" x14ac:dyDescent="0.2">
      <c r="A37" s="5">
        <v>46</v>
      </c>
      <c r="B37" s="1">
        <f t="shared" ref="B37:B56" si="13">(1+experiencepremium)^(A37-startage)</f>
        <v>1.9478000182997122</v>
      </c>
      <c r="C37" s="5">
        <f t="shared" ref="C37:C56" si="14">pretaxincome*B37/expnorm</f>
        <v>40252.446052109495</v>
      </c>
      <c r="D37" s="5">
        <f t="shared" ref="D37:D56" si="15">IF(A37&lt;startage,1,0)*(C37*(1-initialunempprob))+IF(A37=startage,1,0)*(C37*(1-unempprob))+IF(A37&gt;startage,1,0)*(C37*(1-unempprob)+unempprob*300*52)</f>
        <v>38354.207706097062</v>
      </c>
      <c r="E37" s="5">
        <f t="shared" si="1"/>
        <v>28854.207706097062</v>
      </c>
      <c r="F37" s="5">
        <f t="shared" si="2"/>
        <v>9722.6488160406916</v>
      </c>
      <c r="G37" s="5">
        <f t="shared" si="3"/>
        <v>28631.558890056371</v>
      </c>
      <c r="H37" s="22">
        <f t="shared" ref="H37:H56" si="16">benefits*B37/expnorm</f>
        <v>18413.141910832142</v>
      </c>
      <c r="I37" s="5">
        <f t="shared" ref="I37:I56" si="17">G37+IF(A37&lt;startage,1,0)*(H37*(1-initialunempprob))+IF(A37&gt;=startage,1,0)*(H37*(1-unempprob))</f>
        <v>45626.88887375444</v>
      </c>
      <c r="J37" s="25">
        <f t="shared" si="5"/>
        <v>0.15737230688148446</v>
      </c>
      <c r="L37" s="22">
        <f t="shared" ref="L37:L56" si="18">(sincome+sbenefits)*(1-sunemp)*B37/expnorm</f>
        <v>51426.251275584778</v>
      </c>
      <c r="M37" s="5">
        <f>scrimecost*Meta!O34</f>
        <v>11797.632000000001</v>
      </c>
      <c r="N37" s="5">
        <f>L37-Grade12!L37</f>
        <v>5672.0727612821283</v>
      </c>
      <c r="O37" s="5">
        <f>Grade12!M37-M37</f>
        <v>92.168999999999869</v>
      </c>
      <c r="P37" s="22">
        <f t="shared" si="12"/>
        <v>43.941203392517018</v>
      </c>
      <c r="Q37" s="22"/>
      <c r="R37" s="22"/>
      <c r="S37" s="22">
        <f t="shared" si="6"/>
        <v>1646.298062006123</v>
      </c>
      <c r="T37" s="22">
        <f t="shared" si="7"/>
        <v>553.94098937172157</v>
      </c>
    </row>
    <row r="38" spans="1:20" x14ac:dyDescent="0.2">
      <c r="A38" s="5">
        <v>47</v>
      </c>
      <c r="B38" s="1">
        <f t="shared" si="13"/>
        <v>1.9964950187572048</v>
      </c>
      <c r="C38" s="5">
        <f t="shared" si="14"/>
        <v>41258.757203412228</v>
      </c>
      <c r="D38" s="5">
        <f t="shared" si="15"/>
        <v>39283.032898749487</v>
      </c>
      <c r="E38" s="5">
        <f t="shared" si="1"/>
        <v>29783.032898749487</v>
      </c>
      <c r="F38" s="5">
        <f t="shared" si="2"/>
        <v>10025.910241441707</v>
      </c>
      <c r="G38" s="5">
        <f t="shared" si="3"/>
        <v>29257.12265730778</v>
      </c>
      <c r="H38" s="22">
        <f t="shared" si="16"/>
        <v>18873.470458602944</v>
      </c>
      <c r="I38" s="5">
        <f t="shared" si="17"/>
        <v>46677.335890598297</v>
      </c>
      <c r="J38" s="25">
        <f t="shared" si="5"/>
        <v>0.15899792631874543</v>
      </c>
      <c r="L38" s="22">
        <f t="shared" si="18"/>
        <v>52711.907557474391</v>
      </c>
      <c r="M38" s="5">
        <f>scrimecost*Meta!O35</f>
        <v>11797.632000000001</v>
      </c>
      <c r="N38" s="5">
        <f>L38-Grade12!L38</f>
        <v>5813.8745803141646</v>
      </c>
      <c r="O38" s="5">
        <f>Grade12!M38-M38</f>
        <v>92.168999999999869</v>
      </c>
      <c r="P38" s="22">
        <f t="shared" si="12"/>
        <v>44.805251981831539</v>
      </c>
      <c r="Q38" s="22"/>
      <c r="R38" s="22"/>
      <c r="S38" s="22">
        <f t="shared" si="6"/>
        <v>1686.1937764280087</v>
      </c>
      <c r="T38" s="22">
        <f t="shared" si="7"/>
        <v>545.71771803145111</v>
      </c>
    </row>
    <row r="39" spans="1:20" x14ac:dyDescent="0.2">
      <c r="A39" s="5">
        <v>48</v>
      </c>
      <c r="B39" s="1">
        <f t="shared" si="13"/>
        <v>2.0464073942261352</v>
      </c>
      <c r="C39" s="5">
        <f t="shared" si="14"/>
        <v>42290.226133497534</v>
      </c>
      <c r="D39" s="5">
        <f t="shared" si="15"/>
        <v>40235.078721218226</v>
      </c>
      <c r="E39" s="5">
        <f t="shared" si="1"/>
        <v>30735.078721218226</v>
      </c>
      <c r="F39" s="5">
        <f t="shared" si="2"/>
        <v>10336.75320247775</v>
      </c>
      <c r="G39" s="5">
        <f t="shared" si="3"/>
        <v>29898.325518740476</v>
      </c>
      <c r="H39" s="22">
        <f t="shared" si="16"/>
        <v>19345.307220068022</v>
      </c>
      <c r="I39" s="5">
        <f t="shared" si="17"/>
        <v>47754.044082863256</v>
      </c>
      <c r="J39" s="25">
        <f t="shared" si="5"/>
        <v>0.16058389650143909</v>
      </c>
      <c r="L39" s="22">
        <f t="shared" si="18"/>
        <v>54029.705246411264</v>
      </c>
      <c r="M39" s="5">
        <f>scrimecost*Meta!O36</f>
        <v>11797.632000000001</v>
      </c>
      <c r="N39" s="5">
        <f>L39-Grade12!L39</f>
        <v>5959.2214448220475</v>
      </c>
      <c r="O39" s="5">
        <f>Grade12!M39-M39</f>
        <v>92.168999999999869</v>
      </c>
      <c r="P39" s="22">
        <f t="shared" si="12"/>
        <v>45.690901785878943</v>
      </c>
      <c r="Q39" s="22"/>
      <c r="R39" s="22"/>
      <c r="S39" s="22">
        <f t="shared" si="6"/>
        <v>1727.0868837104542</v>
      </c>
      <c r="T39" s="22">
        <f t="shared" si="7"/>
        <v>537.62603956681539</v>
      </c>
    </row>
    <row r="40" spans="1:20" x14ac:dyDescent="0.2">
      <c r="A40" s="5">
        <v>49</v>
      </c>
      <c r="B40" s="1">
        <f t="shared" si="13"/>
        <v>2.097567579081788</v>
      </c>
      <c r="C40" s="5">
        <f t="shared" si="14"/>
        <v>43347.481786834964</v>
      </c>
      <c r="D40" s="5">
        <f t="shared" si="15"/>
        <v>41210.925689248674</v>
      </c>
      <c r="E40" s="5">
        <f t="shared" si="1"/>
        <v>31710.925689248674</v>
      </c>
      <c r="F40" s="5">
        <f t="shared" si="2"/>
        <v>10655.367237539693</v>
      </c>
      <c r="G40" s="5">
        <f t="shared" si="3"/>
        <v>30555.558451708981</v>
      </c>
      <c r="H40" s="22">
        <f t="shared" si="16"/>
        <v>19828.93990056972</v>
      </c>
      <c r="I40" s="5">
        <f t="shared" si="17"/>
        <v>48857.669979934828</v>
      </c>
      <c r="J40" s="25">
        <f t="shared" si="5"/>
        <v>0.16213118448455482</v>
      </c>
      <c r="L40" s="22">
        <f t="shared" si="18"/>
        <v>55380.447877571532</v>
      </c>
      <c r="M40" s="5">
        <f>scrimecost*Meta!O37</f>
        <v>11797.632000000001</v>
      </c>
      <c r="N40" s="5">
        <f>L40-Grade12!L40</f>
        <v>6108.2019809425619</v>
      </c>
      <c r="O40" s="5">
        <f>Grade12!M40-M40</f>
        <v>92.168999999999869</v>
      </c>
      <c r="P40" s="22">
        <f t="shared" si="12"/>
        <v>46.598692835027506</v>
      </c>
      <c r="Q40" s="22"/>
      <c r="R40" s="22"/>
      <c r="S40" s="22">
        <f t="shared" si="6"/>
        <v>1769.0023186749427</v>
      </c>
      <c r="T40" s="22">
        <f t="shared" si="7"/>
        <v>529.66350304078856</v>
      </c>
    </row>
    <row r="41" spans="1:20" x14ac:dyDescent="0.2">
      <c r="A41" s="5">
        <v>50</v>
      </c>
      <c r="B41" s="1">
        <f t="shared" si="13"/>
        <v>2.1500067685588333</v>
      </c>
      <c r="C41" s="5">
        <f t="shared" si="14"/>
        <v>44431.168831505856</v>
      </c>
      <c r="D41" s="5">
        <f t="shared" si="15"/>
        <v>42211.168831479903</v>
      </c>
      <c r="E41" s="5">
        <f t="shared" si="1"/>
        <v>32711.168831479903</v>
      </c>
      <c r="F41" s="5">
        <f t="shared" si="2"/>
        <v>10981.946623478188</v>
      </c>
      <c r="G41" s="5">
        <f t="shared" si="3"/>
        <v>31229.222208001716</v>
      </c>
      <c r="H41" s="22">
        <f t="shared" si="16"/>
        <v>20324.663398083969</v>
      </c>
      <c r="I41" s="5">
        <f t="shared" si="17"/>
        <v>49988.886524433219</v>
      </c>
      <c r="J41" s="25">
        <f t="shared" si="5"/>
        <v>0.16364073373637505</v>
      </c>
      <c r="L41" s="22">
        <f t="shared" si="18"/>
        <v>56764.959074510829</v>
      </c>
      <c r="M41" s="5">
        <f>scrimecost*Meta!O38</f>
        <v>7881.9840000000004</v>
      </c>
      <c r="N41" s="5">
        <f>L41-Grade12!L41</f>
        <v>6260.9070304661509</v>
      </c>
      <c r="O41" s="5">
        <f>Grade12!M41-M41</f>
        <v>61.57799999999952</v>
      </c>
      <c r="P41" s="22">
        <f t="shared" si="12"/>
        <v>47.529178660404803</v>
      </c>
      <c r="Q41" s="22"/>
      <c r="R41" s="22"/>
      <c r="S41" s="22">
        <f t="shared" ref="S41:S69" si="19">IF(A41&lt;startage,1,0)*(N41-Q41-R41)+IF(A41&gt;=startage,1,0)*completionprob*(N41*spart+O41+P41)</f>
        <v>1796.7619125135602</v>
      </c>
      <c r="T41" s="22">
        <f t="shared" ref="T41:T69" si="20">S41/sreturn^(A41-startage+1)</f>
        <v>517.44919569888805</v>
      </c>
    </row>
    <row r="42" spans="1:20" x14ac:dyDescent="0.2">
      <c r="A42" s="5">
        <v>51</v>
      </c>
      <c r="B42" s="1">
        <f t="shared" si="13"/>
        <v>2.2037569377728037</v>
      </c>
      <c r="C42" s="5">
        <f t="shared" si="14"/>
        <v>45541.94805229349</v>
      </c>
      <c r="D42" s="5">
        <f t="shared" si="15"/>
        <v>43236.41805226689</v>
      </c>
      <c r="E42" s="5">
        <f t="shared" si="1"/>
        <v>33736.41805226689</v>
      </c>
      <c r="F42" s="5">
        <f t="shared" si="2"/>
        <v>11316.69049406514</v>
      </c>
      <c r="G42" s="5">
        <f t="shared" si="3"/>
        <v>31919.72755820175</v>
      </c>
      <c r="H42" s="22">
        <f t="shared" si="16"/>
        <v>20832.779983036064</v>
      </c>
      <c r="I42" s="5">
        <f t="shared" si="17"/>
        <v>51148.383482544043</v>
      </c>
      <c r="J42" s="25">
        <f t="shared" si="5"/>
        <v>0.16511346471376068</v>
      </c>
      <c r="L42" s="22">
        <f t="shared" si="18"/>
        <v>58184.083051373585</v>
      </c>
      <c r="M42" s="5">
        <f>scrimecost*Meta!O39</f>
        <v>7881.9840000000004</v>
      </c>
      <c r="N42" s="5">
        <f>L42-Grade12!L42</f>
        <v>6417.429706227791</v>
      </c>
      <c r="O42" s="5">
        <f>Grade12!M42-M42</f>
        <v>61.57799999999952</v>
      </c>
      <c r="P42" s="22">
        <f t="shared" si="12"/>
        <v>48.482926631416518</v>
      </c>
      <c r="Q42" s="22"/>
      <c r="R42" s="22"/>
      <c r="S42" s="22">
        <f t="shared" si="19"/>
        <v>1840.7993163731328</v>
      </c>
      <c r="T42" s="22">
        <f t="shared" si="20"/>
        <v>509.90487567485059</v>
      </c>
    </row>
    <row r="43" spans="1:20" x14ac:dyDescent="0.2">
      <c r="A43" s="5">
        <v>52</v>
      </c>
      <c r="B43" s="1">
        <f t="shared" si="13"/>
        <v>2.2588508612171236</v>
      </c>
      <c r="C43" s="5">
        <f t="shared" si="14"/>
        <v>46680.496753600826</v>
      </c>
      <c r="D43" s="5">
        <f t="shared" si="15"/>
        <v>44287.298503573562</v>
      </c>
      <c r="E43" s="5">
        <f t="shared" si="1"/>
        <v>34787.298503573562</v>
      </c>
      <c r="F43" s="5">
        <f t="shared" si="2"/>
        <v>11688.532811774125</v>
      </c>
      <c r="G43" s="5">
        <f t="shared" si="3"/>
        <v>32598.765691799439</v>
      </c>
      <c r="H43" s="22">
        <f t="shared" si="16"/>
        <v>21353.59948261196</v>
      </c>
      <c r="I43" s="5">
        <f t="shared" si="17"/>
        <v>52308.138014250275</v>
      </c>
      <c r="J43" s="25">
        <f t="shared" si="5"/>
        <v>0.16700779011322972</v>
      </c>
      <c r="L43" s="22">
        <f t="shared" si="18"/>
        <v>59638.685127657925</v>
      </c>
      <c r="M43" s="5">
        <f>scrimecost*Meta!O40</f>
        <v>7881.9840000000004</v>
      </c>
      <c r="N43" s="5">
        <f>L43-Grade12!L43</f>
        <v>6577.8654488834945</v>
      </c>
      <c r="O43" s="5">
        <f>Grade12!M43-M43</f>
        <v>61.57799999999952</v>
      </c>
      <c r="P43" s="22">
        <f t="shared" si="12"/>
        <v>49.542375025286717</v>
      </c>
      <c r="Q43" s="22"/>
      <c r="R43" s="22"/>
      <c r="S43" s="22">
        <f t="shared" si="19"/>
        <v>1885.9783381208217</v>
      </c>
      <c r="T43" s="22">
        <f t="shared" si="20"/>
        <v>502.48714699767851</v>
      </c>
    </row>
    <row r="44" spans="1:20" x14ac:dyDescent="0.2">
      <c r="A44" s="5">
        <v>53</v>
      </c>
      <c r="B44" s="1">
        <f t="shared" si="13"/>
        <v>2.3153221327475517</v>
      </c>
      <c r="C44" s="5">
        <f t="shared" si="14"/>
        <v>47847.509172440841</v>
      </c>
      <c r="D44" s="5">
        <f t="shared" si="15"/>
        <v>45364.450966162898</v>
      </c>
      <c r="E44" s="5">
        <f t="shared" si="1"/>
        <v>35864.450966162898</v>
      </c>
      <c r="F44" s="5">
        <f t="shared" si="2"/>
        <v>12147.938337068475</v>
      </c>
      <c r="G44" s="5">
        <f t="shared" si="3"/>
        <v>33216.512629094424</v>
      </c>
      <c r="H44" s="22">
        <f t="shared" si="16"/>
        <v>21887.439469677262</v>
      </c>
      <c r="I44" s="5">
        <f t="shared" si="17"/>
        <v>53418.619259606538</v>
      </c>
      <c r="J44" s="25">
        <f t="shared" si="5"/>
        <v>0.17007189497280073</v>
      </c>
      <c r="L44" s="22">
        <f t="shared" si="18"/>
        <v>61129.652255849374</v>
      </c>
      <c r="M44" s="5">
        <f>scrimecost*Meta!O41</f>
        <v>7881.9840000000004</v>
      </c>
      <c r="N44" s="5">
        <f>L44-Grade12!L44</f>
        <v>6742.3120851055864</v>
      </c>
      <c r="O44" s="5">
        <f>Grade12!M44-M44</f>
        <v>61.57799999999952</v>
      </c>
      <c r="P44" s="22">
        <f t="shared" si="12"/>
        <v>50.851307394541983</v>
      </c>
      <c r="Q44" s="22"/>
      <c r="R44" s="22"/>
      <c r="S44" s="22">
        <f t="shared" si="19"/>
        <v>1932.3976653016741</v>
      </c>
      <c r="T44" s="22">
        <f t="shared" si="20"/>
        <v>495.21101753096775</v>
      </c>
    </row>
    <row r="45" spans="1:20" x14ac:dyDescent="0.2">
      <c r="A45" s="5">
        <v>54</v>
      </c>
      <c r="B45" s="1">
        <f t="shared" si="13"/>
        <v>2.3732051860662402</v>
      </c>
      <c r="C45" s="5">
        <f t="shared" si="14"/>
        <v>49043.696901751857</v>
      </c>
      <c r="D45" s="5">
        <f t="shared" si="15"/>
        <v>46468.532240316963</v>
      </c>
      <c r="E45" s="5">
        <f t="shared" si="1"/>
        <v>36968.532240316963</v>
      </c>
      <c r="F45" s="5">
        <f t="shared" si="2"/>
        <v>12618.829000495185</v>
      </c>
      <c r="G45" s="5">
        <f t="shared" si="3"/>
        <v>33849.703239821778</v>
      </c>
      <c r="H45" s="22">
        <f t="shared" si="16"/>
        <v>22434.625456419191</v>
      </c>
      <c r="I45" s="5">
        <f t="shared" si="17"/>
        <v>54556.862536096691</v>
      </c>
      <c r="J45" s="25">
        <f t="shared" si="5"/>
        <v>0.17306126556750417</v>
      </c>
      <c r="L45" s="22">
        <f t="shared" si="18"/>
        <v>62657.893562245597</v>
      </c>
      <c r="M45" s="5">
        <f>scrimecost*Meta!O42</f>
        <v>7881.9840000000004</v>
      </c>
      <c r="N45" s="5">
        <f>L45-Grade12!L45</f>
        <v>6910.8698872332097</v>
      </c>
      <c r="O45" s="5">
        <f>Grade12!M45-M45</f>
        <v>61.57799999999952</v>
      </c>
      <c r="P45" s="22">
        <f t="shared" si="12"/>
        <v>52.192963073028643</v>
      </c>
      <c r="Q45" s="22"/>
      <c r="R45" s="22"/>
      <c r="S45" s="22">
        <f t="shared" si="19"/>
        <v>1979.977475662042</v>
      </c>
      <c r="T45" s="22">
        <f t="shared" si="20"/>
        <v>488.04467767123458</v>
      </c>
    </row>
    <row r="46" spans="1:20" x14ac:dyDescent="0.2">
      <c r="A46" s="5">
        <v>55</v>
      </c>
      <c r="B46" s="1">
        <f t="shared" si="13"/>
        <v>2.4325353157178964</v>
      </c>
      <c r="C46" s="5">
        <f t="shared" si="14"/>
        <v>50269.789324295656</v>
      </c>
      <c r="D46" s="5">
        <f t="shared" si="15"/>
        <v>47600.215546324893</v>
      </c>
      <c r="E46" s="5">
        <f t="shared" si="1"/>
        <v>38100.215546324893</v>
      </c>
      <c r="F46" s="5">
        <f t="shared" si="2"/>
        <v>13101.491930507567</v>
      </c>
      <c r="G46" s="5">
        <f t="shared" si="3"/>
        <v>34498.723615817325</v>
      </c>
      <c r="H46" s="22">
        <f t="shared" si="16"/>
        <v>22995.49109282967</v>
      </c>
      <c r="I46" s="5">
        <f t="shared" si="17"/>
        <v>55723.561894499115</v>
      </c>
      <c r="J46" s="25">
        <f t="shared" si="5"/>
        <v>0.17597772468428807</v>
      </c>
      <c r="L46" s="22">
        <f t="shared" si="18"/>
        <v>64224.340901301744</v>
      </c>
      <c r="M46" s="5">
        <f>scrimecost*Meta!O43</f>
        <v>4371.8399999999992</v>
      </c>
      <c r="N46" s="5">
        <f>L46-Grade12!L46</f>
        <v>7083.6416344140525</v>
      </c>
      <c r="O46" s="5">
        <f>Grade12!M46-M46</f>
        <v>34.155000000000655</v>
      </c>
      <c r="P46" s="22">
        <f t="shared" si="12"/>
        <v>53.568160143477463</v>
      </c>
      <c r="Q46" s="22"/>
      <c r="R46" s="22"/>
      <c r="S46" s="22">
        <f t="shared" si="19"/>
        <v>2015.1175502814281</v>
      </c>
      <c r="T46" s="22">
        <f t="shared" si="20"/>
        <v>477.75501402831702</v>
      </c>
    </row>
    <row r="47" spans="1:20" x14ac:dyDescent="0.2">
      <c r="A47" s="5">
        <v>56</v>
      </c>
      <c r="B47" s="1">
        <f t="shared" si="13"/>
        <v>2.4933486986108435</v>
      </c>
      <c r="C47" s="5">
        <f t="shared" si="14"/>
        <v>51526.534057403042</v>
      </c>
      <c r="D47" s="5">
        <f t="shared" si="15"/>
        <v>48760.190934983009</v>
      </c>
      <c r="E47" s="5">
        <f t="shared" si="1"/>
        <v>39260.190934983009</v>
      </c>
      <c r="F47" s="5">
        <f t="shared" si="2"/>
        <v>13596.221433770253</v>
      </c>
      <c r="G47" s="5">
        <f t="shared" si="3"/>
        <v>35163.969501212756</v>
      </c>
      <c r="H47" s="22">
        <f t="shared" si="16"/>
        <v>23570.378370150407</v>
      </c>
      <c r="I47" s="5">
        <f t="shared" si="17"/>
        <v>56919.428736861584</v>
      </c>
      <c r="J47" s="25">
        <f t="shared" si="5"/>
        <v>0.17882305065188209</v>
      </c>
      <c r="L47" s="22">
        <f t="shared" si="18"/>
        <v>65829.949423834274</v>
      </c>
      <c r="M47" s="5">
        <f>scrimecost*Meta!O44</f>
        <v>4371.8399999999992</v>
      </c>
      <c r="N47" s="5">
        <f>L47-Grade12!L47</f>
        <v>7260.7326752744048</v>
      </c>
      <c r="O47" s="5">
        <f>Grade12!M47-M47</f>
        <v>34.155000000000655</v>
      </c>
      <c r="P47" s="22">
        <f t="shared" si="12"/>
        <v>54.977737140687502</v>
      </c>
      <c r="Q47" s="22"/>
      <c r="R47" s="22"/>
      <c r="S47" s="22">
        <f t="shared" si="19"/>
        <v>2065.1060885412944</v>
      </c>
      <c r="T47" s="22">
        <f t="shared" si="20"/>
        <v>470.92611240276125</v>
      </c>
    </row>
    <row r="48" spans="1:20" x14ac:dyDescent="0.2">
      <c r="A48" s="5">
        <v>57</v>
      </c>
      <c r="B48" s="1">
        <f t="shared" si="13"/>
        <v>2.555682416076114</v>
      </c>
      <c r="C48" s="5">
        <f t="shared" si="14"/>
        <v>52814.697408838103</v>
      </c>
      <c r="D48" s="5">
        <f t="shared" si="15"/>
        <v>49949.16570835757</v>
      </c>
      <c r="E48" s="5">
        <f t="shared" si="1"/>
        <v>40449.16570835757</v>
      </c>
      <c r="F48" s="5">
        <f t="shared" si="2"/>
        <v>14103.319174614504</v>
      </c>
      <c r="G48" s="5">
        <f t="shared" si="3"/>
        <v>35845.846533743068</v>
      </c>
      <c r="H48" s="22">
        <f t="shared" si="16"/>
        <v>24159.637829404168</v>
      </c>
      <c r="I48" s="5">
        <f t="shared" si="17"/>
        <v>58145.192250283115</v>
      </c>
      <c r="J48" s="25">
        <f t="shared" si="5"/>
        <v>0.18159897842514447</v>
      </c>
      <c r="L48" s="22">
        <f t="shared" si="18"/>
        <v>67475.698159430118</v>
      </c>
      <c r="M48" s="5">
        <f>scrimecost*Meta!O45</f>
        <v>4371.8399999999992</v>
      </c>
      <c r="N48" s="5">
        <f>L48-Grade12!L48</f>
        <v>7442.250992156245</v>
      </c>
      <c r="O48" s="5">
        <f>Grade12!M48-M48</f>
        <v>34.155000000000655</v>
      </c>
      <c r="P48" s="22">
        <f t="shared" si="12"/>
        <v>56.42255356282778</v>
      </c>
      <c r="Q48" s="22"/>
      <c r="R48" s="22"/>
      <c r="S48" s="22">
        <f t="shared" si="19"/>
        <v>2116.3443402576518</v>
      </c>
      <c r="T48" s="22">
        <f t="shared" si="20"/>
        <v>464.19694002321722</v>
      </c>
    </row>
    <row r="49" spans="1:20" x14ac:dyDescent="0.2">
      <c r="A49" s="5">
        <v>58</v>
      </c>
      <c r="B49" s="1">
        <f t="shared" si="13"/>
        <v>2.6195744764780171</v>
      </c>
      <c r="C49" s="5">
        <f t="shared" si="14"/>
        <v>54135.064844059067</v>
      </c>
      <c r="D49" s="5">
        <f t="shared" si="15"/>
        <v>51167.864851066515</v>
      </c>
      <c r="E49" s="5">
        <f t="shared" si="1"/>
        <v>41667.864851066515</v>
      </c>
      <c r="F49" s="5">
        <f t="shared" si="2"/>
        <v>14623.094358979868</v>
      </c>
      <c r="G49" s="5">
        <f t="shared" si="3"/>
        <v>36544.770492086645</v>
      </c>
      <c r="H49" s="22">
        <f t="shared" si="16"/>
        <v>24763.62877513927</v>
      </c>
      <c r="I49" s="5">
        <f t="shared" si="17"/>
        <v>59401.599851540188</v>
      </c>
      <c r="J49" s="25">
        <f t="shared" si="5"/>
        <v>0.18430720064296149</v>
      </c>
      <c r="L49" s="22">
        <f t="shared" si="18"/>
        <v>69162.590613415872</v>
      </c>
      <c r="M49" s="5">
        <f>scrimecost*Meta!O46</f>
        <v>4371.8399999999992</v>
      </c>
      <c r="N49" s="5">
        <f>L49-Grade12!L49</f>
        <v>7628.3072669601606</v>
      </c>
      <c r="O49" s="5">
        <f>Grade12!M49-M49</f>
        <v>34.155000000000655</v>
      </c>
      <c r="P49" s="22">
        <f t="shared" si="12"/>
        <v>57.90349039552158</v>
      </c>
      <c r="Q49" s="22"/>
      <c r="R49" s="22"/>
      <c r="S49" s="22">
        <f t="shared" si="19"/>
        <v>2168.863548266927</v>
      </c>
      <c r="T49" s="22">
        <f t="shared" si="20"/>
        <v>457.56596065611558</v>
      </c>
    </row>
    <row r="50" spans="1:20" x14ac:dyDescent="0.2">
      <c r="A50" s="5">
        <v>59</v>
      </c>
      <c r="B50" s="1">
        <f t="shared" si="13"/>
        <v>2.6850638383899672</v>
      </c>
      <c r="C50" s="5">
        <f t="shared" si="14"/>
        <v>55488.441465160533</v>
      </c>
      <c r="D50" s="5">
        <f t="shared" si="15"/>
        <v>52417.031472343173</v>
      </c>
      <c r="E50" s="5">
        <f t="shared" si="1"/>
        <v>42917.031472343173</v>
      </c>
      <c r="F50" s="5">
        <f t="shared" si="2"/>
        <v>15155.863922954362</v>
      </c>
      <c r="G50" s="5">
        <f t="shared" si="3"/>
        <v>37261.167549388811</v>
      </c>
      <c r="H50" s="22">
        <f t="shared" si="16"/>
        <v>25382.719494517751</v>
      </c>
      <c r="I50" s="5">
        <f t="shared" si="17"/>
        <v>60689.417642828696</v>
      </c>
      <c r="J50" s="25">
        <f t="shared" si="5"/>
        <v>0.18694936866034398</v>
      </c>
      <c r="L50" s="22">
        <f t="shared" si="18"/>
        <v>70891.655378751268</v>
      </c>
      <c r="M50" s="5">
        <f>scrimecost*Meta!O47</f>
        <v>4371.8399999999992</v>
      </c>
      <c r="N50" s="5">
        <f>L50-Grade12!L50</f>
        <v>7819.0149486341688</v>
      </c>
      <c r="O50" s="5">
        <f>Grade12!M50-M50</f>
        <v>34.155000000000655</v>
      </c>
      <c r="P50" s="22">
        <f t="shared" si="12"/>
        <v>59.421450649032735</v>
      </c>
      <c r="Q50" s="22"/>
      <c r="R50" s="22"/>
      <c r="S50" s="22">
        <f t="shared" si="19"/>
        <v>2222.6957364764312</v>
      </c>
      <c r="T50" s="22">
        <f t="shared" si="20"/>
        <v>451.03166467290771</v>
      </c>
    </row>
    <row r="51" spans="1:20" x14ac:dyDescent="0.2">
      <c r="A51" s="5">
        <v>60</v>
      </c>
      <c r="B51" s="1">
        <f t="shared" si="13"/>
        <v>2.7521904343497163</v>
      </c>
      <c r="C51" s="5">
        <f t="shared" si="14"/>
        <v>56875.652501789547</v>
      </c>
      <c r="D51" s="5">
        <f t="shared" si="15"/>
        <v>53697.427259151751</v>
      </c>
      <c r="E51" s="5">
        <f t="shared" si="1"/>
        <v>44197.427259151751</v>
      </c>
      <c r="F51" s="5">
        <f t="shared" si="2"/>
        <v>15701.952726028223</v>
      </c>
      <c r="G51" s="5">
        <f t="shared" si="3"/>
        <v>37995.474533123532</v>
      </c>
      <c r="H51" s="22">
        <f t="shared" si="16"/>
        <v>26017.287481880692</v>
      </c>
      <c r="I51" s="5">
        <f t="shared" si="17"/>
        <v>62009.430878899409</v>
      </c>
      <c r="J51" s="25">
        <f t="shared" si="5"/>
        <v>0.18952709355535127</v>
      </c>
      <c r="L51" s="22">
        <f t="shared" si="18"/>
        <v>72663.946763220039</v>
      </c>
      <c r="M51" s="5">
        <f>scrimecost*Meta!O48</f>
        <v>2306.3040000000001</v>
      </c>
      <c r="N51" s="5">
        <f>L51-Grade12!L51</f>
        <v>8014.490322350015</v>
      </c>
      <c r="O51" s="5">
        <f>Grade12!M51-M51</f>
        <v>18.018000000000029</v>
      </c>
      <c r="P51" s="22">
        <f t="shared" si="12"/>
        <v>60.97735990888166</v>
      </c>
      <c r="Q51" s="22"/>
      <c r="R51" s="22"/>
      <c r="S51" s="22">
        <f t="shared" si="19"/>
        <v>2269.8536403911703</v>
      </c>
      <c r="T51" s="22">
        <f t="shared" si="20"/>
        <v>443.02721746556062</v>
      </c>
    </row>
    <row r="52" spans="1:20" x14ac:dyDescent="0.2">
      <c r="A52" s="5">
        <v>61</v>
      </c>
      <c r="B52" s="1">
        <f t="shared" si="13"/>
        <v>2.8209951952084591</v>
      </c>
      <c r="C52" s="5">
        <f t="shared" si="14"/>
        <v>58297.543814334284</v>
      </c>
      <c r="D52" s="5">
        <f t="shared" si="15"/>
        <v>55009.832940630542</v>
      </c>
      <c r="E52" s="5">
        <f t="shared" si="1"/>
        <v>45509.832940630542</v>
      </c>
      <c r="F52" s="5">
        <f t="shared" si="2"/>
        <v>16261.693749178927</v>
      </c>
      <c r="G52" s="5">
        <f t="shared" si="3"/>
        <v>38748.139191451613</v>
      </c>
      <c r="H52" s="22">
        <f t="shared" si="16"/>
        <v>26667.719668927712</v>
      </c>
      <c r="I52" s="5">
        <f t="shared" si="17"/>
        <v>63362.444445871894</v>
      </c>
      <c r="J52" s="25">
        <f t="shared" si="5"/>
        <v>0.19204194711145592</v>
      </c>
      <c r="L52" s="22">
        <f t="shared" si="18"/>
        <v>74480.54543230054</v>
      </c>
      <c r="M52" s="5">
        <f>scrimecost*Meta!O49</f>
        <v>2306.3040000000001</v>
      </c>
      <c r="N52" s="5">
        <f>L52-Grade12!L52</f>
        <v>8214.8525804087549</v>
      </c>
      <c r="O52" s="5">
        <f>Grade12!M52-M52</f>
        <v>18.018000000000029</v>
      </c>
      <c r="P52" s="22">
        <f t="shared" si="12"/>
        <v>62.572166900226797</v>
      </c>
      <c r="Q52" s="22"/>
      <c r="R52" s="22"/>
      <c r="S52" s="22">
        <f t="shared" si="19"/>
        <v>2326.4110831287776</v>
      </c>
      <c r="T52" s="22">
        <f t="shared" si="20"/>
        <v>436.74158740670737</v>
      </c>
    </row>
    <row r="53" spans="1:20" x14ac:dyDescent="0.2">
      <c r="A53" s="5">
        <v>62</v>
      </c>
      <c r="B53" s="1">
        <f t="shared" si="13"/>
        <v>2.8915200750886707</v>
      </c>
      <c r="C53" s="5">
        <f t="shared" si="14"/>
        <v>59754.982409692639</v>
      </c>
      <c r="D53" s="5">
        <f t="shared" si="15"/>
        <v>56355.048764146304</v>
      </c>
      <c r="E53" s="5">
        <f t="shared" si="1"/>
        <v>46855.048764146304</v>
      </c>
      <c r="F53" s="5">
        <f t="shared" si="2"/>
        <v>16835.428297908398</v>
      </c>
      <c r="G53" s="5">
        <f t="shared" si="3"/>
        <v>39519.620466237902</v>
      </c>
      <c r="H53" s="22">
        <f t="shared" si="16"/>
        <v>27334.412660650905</v>
      </c>
      <c r="I53" s="5">
        <f t="shared" si="17"/>
        <v>64749.28335201869</v>
      </c>
      <c r="J53" s="25">
        <f t="shared" si="5"/>
        <v>0.19449546277594826</v>
      </c>
      <c r="L53" s="22">
        <f t="shared" si="18"/>
        <v>76342.559068108065</v>
      </c>
      <c r="M53" s="5">
        <f>scrimecost*Meta!O50</f>
        <v>2306.3040000000001</v>
      </c>
      <c r="N53" s="5">
        <f>L53-Grade12!L53</f>
        <v>8420.2238949190069</v>
      </c>
      <c r="O53" s="5">
        <f>Grade12!M53-M53</f>
        <v>18.018000000000029</v>
      </c>
      <c r="P53" s="22">
        <f t="shared" si="12"/>
        <v>64.206844066355586</v>
      </c>
      <c r="Q53" s="22"/>
      <c r="R53" s="22"/>
      <c r="S53" s="22">
        <f t="shared" si="19"/>
        <v>2384.382461934837</v>
      </c>
      <c r="T53" s="22">
        <f t="shared" si="20"/>
        <v>430.54598718973108</v>
      </c>
    </row>
    <row r="54" spans="1:20" x14ac:dyDescent="0.2">
      <c r="A54" s="5">
        <v>63</v>
      </c>
      <c r="B54" s="1">
        <f t="shared" si="13"/>
        <v>2.9638080769658868</v>
      </c>
      <c r="C54" s="5">
        <f t="shared" si="14"/>
        <v>61248.856969934946</v>
      </c>
      <c r="D54" s="5">
        <f t="shared" si="15"/>
        <v>57733.894983249957</v>
      </c>
      <c r="E54" s="5">
        <f t="shared" si="1"/>
        <v>48233.894983249957</v>
      </c>
      <c r="F54" s="5">
        <f t="shared" si="2"/>
        <v>17423.506210356107</v>
      </c>
      <c r="G54" s="5">
        <f t="shared" si="3"/>
        <v>40310.38877289385</v>
      </c>
      <c r="H54" s="22">
        <f t="shared" si="16"/>
        <v>28017.772977167169</v>
      </c>
      <c r="I54" s="5">
        <f t="shared" si="17"/>
        <v>66170.793230819152</v>
      </c>
      <c r="J54" s="25">
        <f t="shared" si="5"/>
        <v>0.19688913659496518</v>
      </c>
      <c r="L54" s="22">
        <f t="shared" si="18"/>
        <v>78251.123044810738</v>
      </c>
      <c r="M54" s="5">
        <f>scrimecost*Meta!O51</f>
        <v>2306.3040000000001</v>
      </c>
      <c r="N54" s="5">
        <f>L54-Grade12!L54</f>
        <v>8630.7294922919536</v>
      </c>
      <c r="O54" s="5">
        <f>Grade12!M54-M54</f>
        <v>18.018000000000029</v>
      </c>
      <c r="P54" s="22">
        <f t="shared" si="12"/>
        <v>65.882388161637564</v>
      </c>
      <c r="Q54" s="22"/>
      <c r="R54" s="22"/>
      <c r="S54" s="22">
        <f t="shared" si="19"/>
        <v>2443.8031252110304</v>
      </c>
      <c r="T54" s="22">
        <f t="shared" si="20"/>
        <v>424.43909506244984</v>
      </c>
    </row>
    <row r="55" spans="1:20" x14ac:dyDescent="0.2">
      <c r="A55" s="5">
        <v>64</v>
      </c>
      <c r="B55" s="1">
        <f t="shared" si="13"/>
        <v>3.0379032788900342</v>
      </c>
      <c r="C55" s="5">
        <f t="shared" si="14"/>
        <v>62780.078394183329</v>
      </c>
      <c r="D55" s="5">
        <f t="shared" si="15"/>
        <v>59147.212357831209</v>
      </c>
      <c r="E55" s="5">
        <f t="shared" si="1"/>
        <v>49647.212357831209</v>
      </c>
      <c r="F55" s="5">
        <f t="shared" si="2"/>
        <v>18026.28607061501</v>
      </c>
      <c r="G55" s="5">
        <f t="shared" si="3"/>
        <v>41120.9262872162</v>
      </c>
      <c r="H55" s="22">
        <f t="shared" si="16"/>
        <v>28718.217301596353</v>
      </c>
      <c r="I55" s="5">
        <f t="shared" si="17"/>
        <v>67627.840856589639</v>
      </c>
      <c r="J55" s="25">
        <f t="shared" si="5"/>
        <v>0.19922442812571339</v>
      </c>
      <c r="L55" s="22">
        <f t="shared" si="18"/>
        <v>80207.401120931027</v>
      </c>
      <c r="M55" s="5">
        <f>scrimecost*Meta!O52</f>
        <v>2306.3040000000001</v>
      </c>
      <c r="N55" s="5">
        <f>L55-Grade12!L55</f>
        <v>8846.4977295992721</v>
      </c>
      <c r="O55" s="5">
        <f>Grade12!M55-M55</f>
        <v>18.018000000000029</v>
      </c>
      <c r="P55" s="22">
        <f t="shared" si="12"/>
        <v>67.599820859301616</v>
      </c>
      <c r="Q55" s="22"/>
      <c r="R55" s="22"/>
      <c r="S55" s="22">
        <f t="shared" si="19"/>
        <v>2504.7093050691428</v>
      </c>
      <c r="T55" s="22">
        <f t="shared" si="20"/>
        <v>418.41960988943231</v>
      </c>
    </row>
    <row r="56" spans="1:20" x14ac:dyDescent="0.2">
      <c r="A56" s="5">
        <v>65</v>
      </c>
      <c r="B56" s="1">
        <f t="shared" si="13"/>
        <v>3.1138508608622844</v>
      </c>
      <c r="C56" s="5">
        <f t="shared" si="14"/>
        <v>64349.580354037898</v>
      </c>
      <c r="D56" s="5">
        <f t="shared" si="15"/>
        <v>60595.862666776979</v>
      </c>
      <c r="E56" s="5">
        <f t="shared" si="1"/>
        <v>51095.862666776979</v>
      </c>
      <c r="F56" s="5">
        <f t="shared" si="2"/>
        <v>18644.135427380381</v>
      </c>
      <c r="G56" s="5">
        <f t="shared" si="3"/>
        <v>41951.727239396598</v>
      </c>
      <c r="H56" s="22">
        <f t="shared" si="16"/>
        <v>29436.172734136257</v>
      </c>
      <c r="I56" s="5">
        <f t="shared" si="17"/>
        <v>69121.314673004366</v>
      </c>
      <c r="J56" s="25">
        <f t="shared" si="5"/>
        <v>0.2015027613264434</v>
      </c>
      <c r="L56" s="22">
        <f t="shared" si="18"/>
        <v>82212.586148954273</v>
      </c>
      <c r="M56" s="5">
        <f>scrimecost*Meta!O53</f>
        <v>696.96</v>
      </c>
      <c r="N56" s="5">
        <f>L56-Grade12!L56</f>
        <v>9067.6601728392125</v>
      </c>
      <c r="O56" s="5">
        <f>Grade12!M56-M56</f>
        <v>5.4449999999999363</v>
      </c>
      <c r="P56" s="22">
        <f t="shared" si="12"/>
        <v>69.360189374407256</v>
      </c>
      <c r="Q56" s="22"/>
      <c r="R56" s="22"/>
      <c r="S56" s="22">
        <f t="shared" si="19"/>
        <v>2560.8893584236898</v>
      </c>
      <c r="T56" s="22">
        <f t="shared" si="20"/>
        <v>411.48220031938479</v>
      </c>
    </row>
    <row r="57" spans="1:20" x14ac:dyDescent="0.2">
      <c r="A57" s="5">
        <v>66</v>
      </c>
      <c r="C57" s="5"/>
      <c r="H57" s="21"/>
      <c r="I57" s="5"/>
      <c r="M57" s="5">
        <f>scrimecost*Meta!O54</f>
        <v>696.96</v>
      </c>
      <c r="N57" s="5">
        <f>L57-Grade12!L57</f>
        <v>0</v>
      </c>
      <c r="O57" s="5">
        <f>Grade12!M57-M57</f>
        <v>5.4449999999999363</v>
      </c>
      <c r="Q57" s="22"/>
      <c r="R57" s="22"/>
      <c r="S57" s="22">
        <f t="shared" si="19"/>
        <v>2.7061649999999684</v>
      </c>
      <c r="T57" s="22">
        <f t="shared" si="20"/>
        <v>0.41823468593548813</v>
      </c>
    </row>
    <row r="58" spans="1:20" x14ac:dyDescent="0.2">
      <c r="A58" s="5">
        <v>67</v>
      </c>
      <c r="C58" s="5"/>
      <c r="H58" s="21"/>
      <c r="I58" s="5"/>
      <c r="M58" s="5">
        <f>scrimecost*Meta!O55</f>
        <v>696.96</v>
      </c>
      <c r="N58" s="5">
        <f>L58-Grade12!L58</f>
        <v>0</v>
      </c>
      <c r="O58" s="5">
        <f>Grade12!M58-M58</f>
        <v>5.4449999999999363</v>
      </c>
      <c r="Q58" s="22"/>
      <c r="R58" s="22"/>
      <c r="S58" s="22">
        <f t="shared" si="19"/>
        <v>2.7061649999999684</v>
      </c>
      <c r="T58" s="22">
        <f t="shared" si="20"/>
        <v>0.4022773539294181</v>
      </c>
    </row>
    <row r="59" spans="1:20" x14ac:dyDescent="0.2">
      <c r="A59" s="5">
        <v>68</v>
      </c>
      <c r="H59" s="21"/>
      <c r="I59" s="5"/>
      <c r="M59" s="5">
        <f>scrimecost*Meta!O56</f>
        <v>696.96</v>
      </c>
      <c r="N59" s="5">
        <f>L59-Grade12!L59</f>
        <v>0</v>
      </c>
      <c r="O59" s="5">
        <f>Grade12!M59-M59</f>
        <v>5.4449999999999363</v>
      </c>
      <c r="Q59" s="22"/>
      <c r="R59" s="22"/>
      <c r="S59" s="22">
        <f t="shared" si="19"/>
        <v>2.7061649999999684</v>
      </c>
      <c r="T59" s="22">
        <f t="shared" si="20"/>
        <v>0.38692885818995854</v>
      </c>
    </row>
    <row r="60" spans="1:20" x14ac:dyDescent="0.2">
      <c r="A60" s="5">
        <v>69</v>
      </c>
      <c r="H60" s="21"/>
      <c r="I60" s="5"/>
      <c r="M60" s="5">
        <f>scrimecost*Meta!O57</f>
        <v>696.96</v>
      </c>
      <c r="N60" s="5">
        <f>L60-Grade12!L60</f>
        <v>0</v>
      </c>
      <c r="O60" s="5">
        <f>Grade12!M60-M60</f>
        <v>5.4449999999999363</v>
      </c>
      <c r="Q60" s="22"/>
      <c r="R60" s="22"/>
      <c r="S60" s="22">
        <f t="shared" si="19"/>
        <v>2.7061649999999684</v>
      </c>
      <c r="T60" s="22">
        <f t="shared" si="20"/>
        <v>0.37216596916975153</v>
      </c>
    </row>
    <row r="61" spans="1:20" x14ac:dyDescent="0.2">
      <c r="A61" s="5">
        <v>70</v>
      </c>
      <c r="H61" s="21"/>
      <c r="I61" s="5"/>
      <c r="M61" s="5">
        <f>scrimecost*Meta!O58</f>
        <v>696.96</v>
      </c>
      <c r="N61" s="5">
        <f>L61-Grade12!L61</f>
        <v>0</v>
      </c>
      <c r="O61" s="5">
        <f>Grade12!M61-M61</f>
        <v>5.4449999999999363</v>
      </c>
      <c r="Q61" s="22"/>
      <c r="R61" s="22"/>
      <c r="S61" s="22">
        <f t="shared" si="19"/>
        <v>2.7061649999999684</v>
      </c>
      <c r="T61" s="22">
        <f t="shared" si="20"/>
        <v>0.35796634362191121</v>
      </c>
    </row>
    <row r="62" spans="1:20" x14ac:dyDescent="0.2">
      <c r="A62" s="5">
        <v>71</v>
      </c>
      <c r="H62" s="21"/>
      <c r="I62" s="5"/>
      <c r="M62" s="5">
        <f>scrimecost*Meta!O59</f>
        <v>696.96</v>
      </c>
      <c r="N62" s="5">
        <f>L62-Grade12!L62</f>
        <v>0</v>
      </c>
      <c r="O62" s="5">
        <f>Grade12!M62-M62</f>
        <v>5.4449999999999363</v>
      </c>
      <c r="Q62" s="22"/>
      <c r="R62" s="22"/>
      <c r="S62" s="22">
        <f t="shared" si="19"/>
        <v>2.7061649999999684</v>
      </c>
      <c r="T62" s="22">
        <f t="shared" si="20"/>
        <v>0.34430849078410314</v>
      </c>
    </row>
    <row r="63" spans="1:20" x14ac:dyDescent="0.2">
      <c r="A63" s="5">
        <v>72</v>
      </c>
      <c r="H63" s="21"/>
      <c r="M63" s="5">
        <f>scrimecost*Meta!O60</f>
        <v>696.96</v>
      </c>
      <c r="N63" s="5">
        <f>L63-Grade12!L63</f>
        <v>0</v>
      </c>
      <c r="O63" s="5">
        <f>Grade12!M63-M63</f>
        <v>5.4449999999999363</v>
      </c>
      <c r="Q63" s="22"/>
      <c r="R63" s="22"/>
      <c r="S63" s="22">
        <f t="shared" si="19"/>
        <v>2.7061649999999684</v>
      </c>
      <c r="T63" s="22">
        <f t="shared" si="20"/>
        <v>0.33117173985283693</v>
      </c>
    </row>
    <row r="64" spans="1:20" x14ac:dyDescent="0.2">
      <c r="A64" s="5">
        <v>73</v>
      </c>
      <c r="H64" s="21"/>
      <c r="M64" s="5">
        <f>scrimecost*Meta!O61</f>
        <v>696.96</v>
      </c>
      <c r="N64" s="5">
        <f>L64-Grade12!L64</f>
        <v>0</v>
      </c>
      <c r="O64" s="5">
        <f>Grade12!M64-M64</f>
        <v>5.4449999999999363</v>
      </c>
      <c r="Q64" s="22"/>
      <c r="R64" s="22"/>
      <c r="S64" s="22">
        <f t="shared" si="19"/>
        <v>2.7061649999999684</v>
      </c>
      <c r="T64" s="22">
        <f t="shared" si="20"/>
        <v>0.31853620869874549</v>
      </c>
    </row>
    <row r="65" spans="1:20" x14ac:dyDescent="0.2">
      <c r="A65" s="5">
        <v>74</v>
      </c>
      <c r="H65" s="21"/>
      <c r="M65" s="5">
        <f>scrimecost*Meta!O62</f>
        <v>696.96</v>
      </c>
      <c r="N65" s="5">
        <f>L65-Grade12!L65</f>
        <v>0</v>
      </c>
      <c r="O65" s="5">
        <f>Grade12!M65-M65</f>
        <v>5.4449999999999363</v>
      </c>
      <c r="Q65" s="22"/>
      <c r="R65" s="22"/>
      <c r="S65" s="22">
        <f t="shared" si="19"/>
        <v>2.7061649999999684</v>
      </c>
      <c r="T65" s="22">
        <f t="shared" si="20"/>
        <v>0.30638277377550061</v>
      </c>
    </row>
    <row r="66" spans="1:20" x14ac:dyDescent="0.2">
      <c r="A66" s="5">
        <v>75</v>
      </c>
      <c r="H66" s="21"/>
      <c r="M66" s="5">
        <f>scrimecost*Meta!O63</f>
        <v>696.96</v>
      </c>
      <c r="N66" s="5">
        <f>L66-Grade12!L66</f>
        <v>0</v>
      </c>
      <c r="O66" s="5">
        <f>Grade12!M66-M66</f>
        <v>5.4449999999999363</v>
      </c>
      <c r="Q66" s="22"/>
      <c r="R66" s="22"/>
      <c r="S66" s="22">
        <f t="shared" si="19"/>
        <v>2.7061649999999684</v>
      </c>
      <c r="T66" s="22">
        <f t="shared" si="20"/>
        <v>0.29469304117682654</v>
      </c>
    </row>
    <row r="67" spans="1:20" x14ac:dyDescent="0.2">
      <c r="A67" s="5">
        <v>76</v>
      </c>
      <c r="H67" s="21"/>
      <c r="M67" s="5">
        <f>scrimecost*Meta!O64</f>
        <v>696.96</v>
      </c>
      <c r="N67" s="5">
        <f>L67-Grade12!L67</f>
        <v>0</v>
      </c>
      <c r="O67" s="5">
        <f>Grade12!M67-M67</f>
        <v>5.4449999999999363</v>
      </c>
      <c r="Q67" s="22"/>
      <c r="R67" s="22"/>
      <c r="S67" s="22">
        <f t="shared" si="19"/>
        <v>2.7061649999999684</v>
      </c>
      <c r="T67" s="22">
        <f t="shared" si="20"/>
        <v>0.28344931879780211</v>
      </c>
    </row>
    <row r="68" spans="1:20" x14ac:dyDescent="0.2">
      <c r="A68" s="5">
        <v>77</v>
      </c>
      <c r="H68" s="21"/>
      <c r="M68" s="5">
        <f>scrimecost*Meta!O65</f>
        <v>696.96</v>
      </c>
      <c r="N68" s="5">
        <f>L68-Grade12!L68</f>
        <v>0</v>
      </c>
      <c r="O68" s="5">
        <f>Grade12!M68-M68</f>
        <v>5.4449999999999363</v>
      </c>
      <c r="Q68" s="22"/>
      <c r="R68" s="22"/>
      <c r="S68" s="22">
        <f t="shared" si="19"/>
        <v>2.7061649999999684</v>
      </c>
      <c r="T68" s="22">
        <f t="shared" si="20"/>
        <v>0.27263458955832298</v>
      </c>
    </row>
    <row r="69" spans="1:20" x14ac:dyDescent="0.2">
      <c r="A69" s="5">
        <v>78</v>
      </c>
      <c r="H69" s="21"/>
      <c r="M69" s="5">
        <f>scrimecost*Meta!O66</f>
        <v>696.96</v>
      </c>
      <c r="N69" s="5">
        <f>L69-Grade12!L69</f>
        <v>0</v>
      </c>
      <c r="O69" s="5">
        <f>Grade12!M69-M69</f>
        <v>5.4449999999999363</v>
      </c>
      <c r="Q69" s="22"/>
      <c r="R69" s="22"/>
      <c r="S69" s="22">
        <f t="shared" si="19"/>
        <v>2.7061649999999684</v>
      </c>
      <c r="T69" s="22">
        <f t="shared" si="20"/>
        <v>0.26223248564819479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-5.889977394701873E-11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O12" sqref="O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Meta!A8+6</f>
        <v>20</v>
      </c>
      <c r="C2" s="7">
        <f>Meta!B8</f>
        <v>40403</v>
      </c>
      <c r="D2" s="7">
        <f>Meta!C8</f>
        <v>18378</v>
      </c>
      <c r="E2" s="1">
        <f>Meta!D8</f>
        <v>7.4999999999999997E-2</v>
      </c>
      <c r="F2" s="1">
        <f>Meta!F8</f>
        <v>0.621</v>
      </c>
      <c r="G2" s="1">
        <f>Meta!I8</f>
        <v>1.8381311833585117</v>
      </c>
      <c r="H2" s="1">
        <f>Meta!E8</f>
        <v>0.497</v>
      </c>
      <c r="I2" s="13"/>
      <c r="J2" s="1">
        <f>Meta!X7</f>
        <v>0.56000000000000005</v>
      </c>
      <c r="K2" s="1">
        <f>Meta!D7</f>
        <v>7.6999999999999999E-2</v>
      </c>
      <c r="L2" s="28"/>
      <c r="N2" s="22">
        <f>Meta!T8</f>
        <v>42472</v>
      </c>
      <c r="O2" s="22">
        <f>Meta!U8</f>
        <v>19237</v>
      </c>
      <c r="P2" s="1">
        <f>Meta!V8</f>
        <v>9.2999999999999999E-2</v>
      </c>
      <c r="Q2" s="1">
        <f>Meta!X8</f>
        <v>0.56299999999999994</v>
      </c>
      <c r="R2" s="22">
        <f>Meta!W8</f>
        <v>12574</v>
      </c>
      <c r="T2" s="12">
        <f>IRR(S5:S69)+1</f>
        <v>1.0409972203784716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B10" s="1">
        <v>1</v>
      </c>
      <c r="C10" s="5">
        <f>0.1*Grade13!C10</f>
        <v>2066.5594862888929</v>
      </c>
      <c r="D10" s="5">
        <f t="shared" ref="D10:D36" si="0">IF(A10&lt;startage,1,0)*(C10*(1-initialunempprob))+IF(A10=startage,1,0)*(C10*(1-unempprob))+IF(A10&gt;startage,1,0)*(C10*(1-unempprob)+unempprob*300*52)</f>
        <v>1907.4344058446482</v>
      </c>
      <c r="E10" s="5">
        <f t="shared" ref="E10:E56" si="1">IF(D10-9500&gt;0,1,0)*(D10-9500)</f>
        <v>0</v>
      </c>
      <c r="F10" s="5">
        <f t="shared" ref="F10:F56" si="2">IF(E10&lt;=8500,1,0)*(0.1*E10+0.1*E10+0.0765*D10)+IF(AND(E10&gt;8500,E10&lt;=34500),1,0)*(850+0.15*(E10-8500)+0.1*E10+0.0765*D10)+IF(AND(E10&gt;34500,E10&lt;=83600),1,0)*(4750+0.25*(E10-34500)+0.1*E10+0.0765*D10)+IF(AND(E10&gt;83600,E10&lt;=174400,D10&lt;=106800),1,0)*(17025+0.28*(E10-83600)+0.1*E10+0.0765*D10)+IF(AND(E10&gt;83600,E10&lt;=174400,D10&gt;106800),1,0)*(17025+0.28*(E10-83600)+0.1*E10+8170.2+0.0145*(D10-106800))+IF(AND(E10&gt;174400,E10&lt;=379150),1,0)*(42449+0.33*(E10-174400)+0.1*E10+8170.2+0.0145*(D10-106800))+IF(E10&gt;379150,1,0)*(110016.5+0.35*(E10-379150)+0.1*E10+8170.2+0.0145*(D10-106800))</f>
        <v>145.91873204711558</v>
      </c>
      <c r="G10" s="5">
        <f t="shared" ref="G10:G56" si="3">D10-F10</f>
        <v>1761.5156737975326</v>
      </c>
      <c r="H10" s="22">
        <f>0.1*Grade13!H10</f>
        <v>945.33020524897006</v>
      </c>
      <c r="I10" s="5">
        <f t="shared" ref="I10:I36" si="4">G10+IF(A10&lt;startage,1,0)*(H10*(1-initialunempprob))+IF(A10&gt;=startage,1,0)*(H10*(1-unempprob))</f>
        <v>2634.0554532423321</v>
      </c>
      <c r="J10" s="25">
        <f t="shared" ref="J10:J56" si="5">(F10-(IF(A10&gt;startage,1,0)*(unempprob*300*52)))/(IF(A10&lt;startage,1,0)*((C10+H10)*(1-initialunempprob))+IF(A10&gt;=startage,1,0)*((C10+H10)*(1-unempprob)))</f>
        <v>5.2489239943040222E-2</v>
      </c>
      <c r="L10" s="22">
        <f>0.1*Grade13!L10</f>
        <v>2640.222342767825</v>
      </c>
      <c r="M10" s="5">
        <f>scrimecost*Meta!O7</f>
        <v>44298.202000000005</v>
      </c>
      <c r="N10" s="5">
        <f>L10-Grade13!L10</f>
        <v>-23762.001084910422</v>
      </c>
      <c r="O10" s="5"/>
      <c r="P10" s="22"/>
      <c r="Q10" s="22">
        <f>0.05*feel*Grade13!G10</f>
        <v>219.0519901270919</v>
      </c>
      <c r="R10" s="22">
        <f>coltuition</f>
        <v>8279</v>
      </c>
      <c r="S10" s="22">
        <f t="shared" ref="S10:S41" si="6">IF(A10&lt;startage,1,0)*(N10-Q10-R10)+IF(A10&gt;=startage,1,0)*completionprob*(N10*spart+O10+P10)</f>
        <v>-32260.053075037515</v>
      </c>
      <c r="T10" s="22">
        <f t="shared" ref="T10:T41" si="7">S10/sreturn^(A10-startage+1)</f>
        <v>-32260.053075037515</v>
      </c>
    </row>
    <row r="11" spans="1:20" x14ac:dyDescent="0.2">
      <c r="A11" s="5">
        <v>20</v>
      </c>
      <c r="B11" s="1">
        <f t="shared" ref="B11:B36" si="8">(1+experiencepremium)^(A11-startage)</f>
        <v>1</v>
      </c>
      <c r="C11" s="5">
        <f t="shared" ref="C11:C36" si="9">pretaxincome*B11/expnorm</f>
        <v>21980.476891849641</v>
      </c>
      <c r="D11" s="5">
        <f t="shared" si="0"/>
        <v>20331.941124960918</v>
      </c>
      <c r="E11" s="5">
        <f t="shared" si="1"/>
        <v>10831.941124960918</v>
      </c>
      <c r="F11" s="5">
        <f t="shared" si="2"/>
        <v>3838.3787772997398</v>
      </c>
      <c r="G11" s="5">
        <f t="shared" si="3"/>
        <v>16493.56234766118</v>
      </c>
      <c r="H11" s="22">
        <f t="shared" ref="H11:H36" si="10">benefits*B11/expnorm</f>
        <v>9998.1982604859222</v>
      </c>
      <c r="I11" s="5">
        <f t="shared" si="4"/>
        <v>25741.895738610656</v>
      </c>
      <c r="J11" s="25">
        <f t="shared" si="5"/>
        <v>0.12976143190406106</v>
      </c>
      <c r="L11" s="22">
        <f t="shared" ref="L11:L36" si="11">(sincome+sbenefits)*(1-sunemp)*B11/expnorm</f>
        <v>30449.438814119461</v>
      </c>
      <c r="M11" s="5">
        <f>scrimecost*Meta!O8</f>
        <v>42424.675999999999</v>
      </c>
      <c r="N11" s="5">
        <f>L11-Grade13!L11</f>
        <v>3387.1598007492612</v>
      </c>
      <c r="O11" s="5">
        <f>Grade13!M11-M11</f>
        <v>330.65200000000186</v>
      </c>
      <c r="P11" s="22">
        <f t="shared" ref="P11:P56" si="12">(spart-initialspart)*(L11*J11+nptrans)</f>
        <v>31.515488343584572</v>
      </c>
      <c r="Q11" s="22"/>
      <c r="R11" s="22"/>
      <c r="S11" s="22">
        <f t="shared" si="6"/>
        <v>1127.7618127142139</v>
      </c>
      <c r="T11" s="22">
        <f t="shared" si="7"/>
        <v>1083.3475734970718</v>
      </c>
    </row>
    <row r="12" spans="1:20" x14ac:dyDescent="0.2">
      <c r="A12" s="5">
        <v>21</v>
      </c>
      <c r="B12" s="1">
        <f t="shared" si="8"/>
        <v>1.0249999999999999</v>
      </c>
      <c r="C12" s="5">
        <f t="shared" si="9"/>
        <v>22529.98881414588</v>
      </c>
      <c r="D12" s="5">
        <f t="shared" si="0"/>
        <v>22010.23965308494</v>
      </c>
      <c r="E12" s="5">
        <f t="shared" si="1"/>
        <v>12510.23965308494</v>
      </c>
      <c r="F12" s="5">
        <f t="shared" si="2"/>
        <v>4386.3432467322327</v>
      </c>
      <c r="G12" s="5">
        <f t="shared" si="3"/>
        <v>17623.896406352709</v>
      </c>
      <c r="H12" s="22">
        <f t="shared" si="10"/>
        <v>10248.153216998067</v>
      </c>
      <c r="I12" s="5">
        <f t="shared" si="4"/>
        <v>27103.43813207592</v>
      </c>
      <c r="J12" s="25">
        <f t="shared" si="5"/>
        <v>0.10608068727633634</v>
      </c>
      <c r="L12" s="22">
        <f t="shared" si="11"/>
        <v>31210.674784472445</v>
      </c>
      <c r="M12" s="5">
        <f>scrimecost*Meta!O9</f>
        <v>38526.735999999997</v>
      </c>
      <c r="N12" s="5">
        <f>L12-Grade13!L12</f>
        <v>3471.8387957679915</v>
      </c>
      <c r="O12" s="5">
        <f>Grade13!M12-M12</f>
        <v>300.27200000000448</v>
      </c>
      <c r="P12" s="22">
        <f t="shared" si="12"/>
        <v>29.594549494484102</v>
      </c>
      <c r="Q12" s="22"/>
      <c r="R12" s="22"/>
      <c r="S12" s="22">
        <f t="shared" si="6"/>
        <v>1135.4023603813982</v>
      </c>
      <c r="T12" s="22">
        <f t="shared" si="7"/>
        <v>1047.7330725414831</v>
      </c>
    </row>
    <row r="13" spans="1:20" x14ac:dyDescent="0.2">
      <c r="A13" s="5">
        <v>22</v>
      </c>
      <c r="B13" s="1">
        <f t="shared" si="8"/>
        <v>1.0506249999999999</v>
      </c>
      <c r="C13" s="5">
        <f t="shared" si="9"/>
        <v>23093.238534499527</v>
      </c>
      <c r="D13" s="5">
        <f t="shared" si="0"/>
        <v>22531.245644412065</v>
      </c>
      <c r="E13" s="5">
        <f t="shared" si="1"/>
        <v>13031.245644412065</v>
      </c>
      <c r="F13" s="5">
        <f t="shared" si="2"/>
        <v>4556.4517029005392</v>
      </c>
      <c r="G13" s="5">
        <f t="shared" si="3"/>
        <v>17974.793941511525</v>
      </c>
      <c r="H13" s="22">
        <f t="shared" si="10"/>
        <v>10504.357047423022</v>
      </c>
      <c r="I13" s="5">
        <f t="shared" si="4"/>
        <v>27691.324210377821</v>
      </c>
      <c r="J13" s="25">
        <f t="shared" si="5"/>
        <v>0.10896699018457226</v>
      </c>
      <c r="L13" s="22">
        <f t="shared" si="11"/>
        <v>31990.941654084258</v>
      </c>
      <c r="M13" s="5">
        <f>scrimecost*Meta!O10</f>
        <v>35307.792000000001</v>
      </c>
      <c r="N13" s="5">
        <f>L13-Grade13!L13</f>
        <v>3558.6347656621911</v>
      </c>
      <c r="O13" s="5">
        <f>Grade13!M13-M13</f>
        <v>275.18399999999383</v>
      </c>
      <c r="P13" s="22">
        <f t="shared" si="12"/>
        <v>30.119869875646383</v>
      </c>
      <c r="Q13" s="22"/>
      <c r="R13" s="22"/>
      <c r="S13" s="22">
        <f t="shared" si="6"/>
        <v>1147.4811757428963</v>
      </c>
      <c r="T13" s="22">
        <f t="shared" si="7"/>
        <v>1017.1777695604056</v>
      </c>
    </row>
    <row r="14" spans="1:20" x14ac:dyDescent="0.2">
      <c r="A14" s="5">
        <v>23</v>
      </c>
      <c r="B14" s="1">
        <f t="shared" si="8"/>
        <v>1.0768906249999999</v>
      </c>
      <c r="C14" s="5">
        <f t="shared" si="9"/>
        <v>23670.569497862016</v>
      </c>
      <c r="D14" s="5">
        <f t="shared" si="0"/>
        <v>23065.276785522365</v>
      </c>
      <c r="E14" s="5">
        <f t="shared" si="1"/>
        <v>13565.276785522365</v>
      </c>
      <c r="F14" s="5">
        <f t="shared" si="2"/>
        <v>4730.8128704730516</v>
      </c>
      <c r="G14" s="5">
        <f t="shared" si="3"/>
        <v>18334.463915049313</v>
      </c>
      <c r="H14" s="22">
        <f t="shared" si="10"/>
        <v>10766.965973608596</v>
      </c>
      <c r="I14" s="5">
        <f t="shared" si="4"/>
        <v>28293.907440637267</v>
      </c>
      <c r="J14" s="25">
        <f t="shared" si="5"/>
        <v>0.11178289546089996</v>
      </c>
      <c r="L14" s="22">
        <f t="shared" si="11"/>
        <v>32790.715195436365</v>
      </c>
      <c r="M14" s="5">
        <f>scrimecost*Meta!O11</f>
        <v>32994.175999999999</v>
      </c>
      <c r="N14" s="5">
        <f>L14-Grade13!L14</f>
        <v>3647.6006348037517</v>
      </c>
      <c r="O14" s="5">
        <f>Grade13!M14-M14</f>
        <v>257.15200000000186</v>
      </c>
      <c r="P14" s="22">
        <f t="shared" si="12"/>
        <v>30.658323266337714</v>
      </c>
      <c r="Q14" s="22"/>
      <c r="R14" s="22"/>
      <c r="S14" s="22">
        <f t="shared" si="6"/>
        <v>1163.6805118884433</v>
      </c>
      <c r="T14" s="22">
        <f t="shared" si="7"/>
        <v>990.91289892066698</v>
      </c>
    </row>
    <row r="15" spans="1:20" x14ac:dyDescent="0.2">
      <c r="A15" s="5">
        <v>24</v>
      </c>
      <c r="B15" s="1">
        <f t="shared" si="8"/>
        <v>1.1038128906249998</v>
      </c>
      <c r="C15" s="5">
        <f t="shared" si="9"/>
        <v>24262.333735308563</v>
      </c>
      <c r="D15" s="5">
        <f t="shared" si="0"/>
        <v>23612.658705160422</v>
      </c>
      <c r="E15" s="5">
        <f t="shared" si="1"/>
        <v>14112.658705160422</v>
      </c>
      <c r="F15" s="5">
        <f t="shared" si="2"/>
        <v>4909.5330672348773</v>
      </c>
      <c r="G15" s="5">
        <f t="shared" si="3"/>
        <v>18703.125637925543</v>
      </c>
      <c r="H15" s="22">
        <f t="shared" si="10"/>
        <v>11036.140122948809</v>
      </c>
      <c r="I15" s="5">
        <f t="shared" si="4"/>
        <v>28911.55525165319</v>
      </c>
      <c r="J15" s="25">
        <f t="shared" si="5"/>
        <v>0.11453012012073192</v>
      </c>
      <c r="L15" s="22">
        <f t="shared" si="11"/>
        <v>33610.48307532227</v>
      </c>
      <c r="M15" s="5">
        <f>scrimecost*Meta!O12</f>
        <v>31523.018</v>
      </c>
      <c r="N15" s="5">
        <f>L15-Grade13!L15</f>
        <v>3738.7906506738436</v>
      </c>
      <c r="O15" s="5">
        <f>Grade13!M15-M15</f>
        <v>245.68600000000151</v>
      </c>
      <c r="P15" s="22">
        <f t="shared" si="12"/>
        <v>31.21023799179633</v>
      </c>
      <c r="Q15" s="22"/>
      <c r="R15" s="22"/>
      <c r="S15" s="22">
        <f t="shared" si="6"/>
        <v>1183.7721810376224</v>
      </c>
      <c r="T15" s="22">
        <f t="shared" si="7"/>
        <v>968.32307314969967</v>
      </c>
    </row>
    <row r="16" spans="1:20" x14ac:dyDescent="0.2">
      <c r="A16" s="5">
        <v>25</v>
      </c>
      <c r="B16" s="1">
        <f t="shared" si="8"/>
        <v>1.1314082128906247</v>
      </c>
      <c r="C16" s="5">
        <f t="shared" si="9"/>
        <v>24868.892078691275</v>
      </c>
      <c r="D16" s="5">
        <f t="shared" si="0"/>
        <v>24173.725172789429</v>
      </c>
      <c r="E16" s="5">
        <f t="shared" si="1"/>
        <v>14673.725172789429</v>
      </c>
      <c r="F16" s="5">
        <f t="shared" si="2"/>
        <v>5092.7212689157486</v>
      </c>
      <c r="G16" s="5">
        <f t="shared" si="3"/>
        <v>19081.00390387368</v>
      </c>
      <c r="H16" s="22">
        <f t="shared" si="10"/>
        <v>11312.043626022529</v>
      </c>
      <c r="I16" s="5">
        <f t="shared" si="4"/>
        <v>29544.644257944521</v>
      </c>
      <c r="J16" s="25">
        <f t="shared" si="5"/>
        <v>0.11721033930105576</v>
      </c>
      <c r="L16" s="22">
        <f t="shared" si="11"/>
        <v>34450.745152205323</v>
      </c>
      <c r="M16" s="5">
        <f>scrimecost*Meta!O13</f>
        <v>26468.27</v>
      </c>
      <c r="N16" s="5">
        <f>L16-Grade13!L16</f>
        <v>3832.2604169406877</v>
      </c>
      <c r="O16" s="5">
        <f>Grade13!M16-M16</f>
        <v>206.29000000000087</v>
      </c>
      <c r="P16" s="22">
        <f t="shared" si="12"/>
        <v>31.775950585391417</v>
      </c>
      <c r="Q16" s="22"/>
      <c r="R16" s="22"/>
      <c r="S16" s="22">
        <f t="shared" si="6"/>
        <v>1190.6273969655306</v>
      </c>
      <c r="T16" s="22">
        <f t="shared" si="7"/>
        <v>935.57466420164985</v>
      </c>
    </row>
    <row r="17" spans="1:20" x14ac:dyDescent="0.2">
      <c r="A17" s="5">
        <v>26</v>
      </c>
      <c r="B17" s="1">
        <f t="shared" si="8"/>
        <v>1.1596934182128902</v>
      </c>
      <c r="C17" s="5">
        <f t="shared" si="9"/>
        <v>25490.614380658553</v>
      </c>
      <c r="D17" s="5">
        <f t="shared" si="0"/>
        <v>24748.818302109165</v>
      </c>
      <c r="E17" s="5">
        <f t="shared" si="1"/>
        <v>15248.818302109165</v>
      </c>
      <c r="F17" s="5">
        <f t="shared" si="2"/>
        <v>5280.4891756386423</v>
      </c>
      <c r="G17" s="5">
        <f t="shared" si="3"/>
        <v>19468.329126470522</v>
      </c>
      <c r="H17" s="22">
        <f t="shared" si="10"/>
        <v>11594.844716673091</v>
      </c>
      <c r="I17" s="5">
        <f t="shared" si="4"/>
        <v>30193.56048939313</v>
      </c>
      <c r="J17" s="25">
        <f t="shared" si="5"/>
        <v>0.11982518728185952</v>
      </c>
      <c r="L17" s="22">
        <f t="shared" si="11"/>
        <v>35312.01378101045</v>
      </c>
      <c r="M17" s="5">
        <f>scrimecost*Meta!O14</f>
        <v>26468.27</v>
      </c>
      <c r="N17" s="5">
        <f>L17-Grade13!L17</f>
        <v>3928.0669273641979</v>
      </c>
      <c r="O17" s="5">
        <f>Grade13!M17-M17</f>
        <v>206.29000000000087</v>
      </c>
      <c r="P17" s="22">
        <f t="shared" si="12"/>
        <v>32.35580599382638</v>
      </c>
      <c r="Q17" s="22"/>
      <c r="R17" s="22"/>
      <c r="S17" s="22">
        <f t="shared" si="6"/>
        <v>1217.7233005916357</v>
      </c>
      <c r="T17" s="22">
        <f t="shared" si="7"/>
        <v>919.18224520671868</v>
      </c>
    </row>
    <row r="18" spans="1:20" x14ac:dyDescent="0.2">
      <c r="A18" s="5">
        <v>27</v>
      </c>
      <c r="B18" s="1">
        <f t="shared" si="8"/>
        <v>1.1886857536682125</v>
      </c>
      <c r="C18" s="5">
        <f t="shared" si="9"/>
        <v>26127.87974017502</v>
      </c>
      <c r="D18" s="5">
        <f t="shared" si="0"/>
        <v>25338.288759661893</v>
      </c>
      <c r="E18" s="5">
        <f t="shared" si="1"/>
        <v>15838.288759661893</v>
      </c>
      <c r="F18" s="5">
        <f t="shared" si="2"/>
        <v>5472.9512800296079</v>
      </c>
      <c r="G18" s="5">
        <f t="shared" si="3"/>
        <v>19865.337479632286</v>
      </c>
      <c r="H18" s="22">
        <f t="shared" si="10"/>
        <v>11884.715834589919</v>
      </c>
      <c r="I18" s="5">
        <f t="shared" si="4"/>
        <v>30858.69962662796</v>
      </c>
      <c r="J18" s="25">
        <f t="shared" si="5"/>
        <v>0.12237625848264362</v>
      </c>
      <c r="L18" s="22">
        <f t="shared" si="11"/>
        <v>36194.814125535711</v>
      </c>
      <c r="M18" s="5">
        <f>scrimecost*Meta!O15</f>
        <v>26468.27</v>
      </c>
      <c r="N18" s="5">
        <f>L18-Grade13!L18</f>
        <v>4026.2686005483047</v>
      </c>
      <c r="O18" s="5">
        <f>Grade13!M18-M18</f>
        <v>206.29000000000087</v>
      </c>
      <c r="P18" s="22">
        <f t="shared" si="12"/>
        <v>32.950157787472207</v>
      </c>
      <c r="Q18" s="22"/>
      <c r="R18" s="22"/>
      <c r="S18" s="22">
        <f t="shared" si="6"/>
        <v>1245.4966018083958</v>
      </c>
      <c r="T18" s="22">
        <f t="shared" si="7"/>
        <v>903.12109774314774</v>
      </c>
    </row>
    <row r="19" spans="1:20" x14ac:dyDescent="0.2">
      <c r="A19" s="5">
        <v>28</v>
      </c>
      <c r="B19" s="1">
        <f t="shared" si="8"/>
        <v>1.2184028975099177</v>
      </c>
      <c r="C19" s="5">
        <f t="shared" si="9"/>
        <v>26781.076733679394</v>
      </c>
      <c r="D19" s="5">
        <f t="shared" si="0"/>
        <v>25942.495978653442</v>
      </c>
      <c r="E19" s="5">
        <f t="shared" si="1"/>
        <v>16442.495978653442</v>
      </c>
      <c r="F19" s="5">
        <f t="shared" si="2"/>
        <v>5670.2249370303489</v>
      </c>
      <c r="G19" s="5">
        <f t="shared" si="3"/>
        <v>20272.271041623091</v>
      </c>
      <c r="H19" s="22">
        <f t="shared" si="10"/>
        <v>12181.833730454666</v>
      </c>
      <c r="I19" s="5">
        <f t="shared" si="4"/>
        <v>31540.467242293656</v>
      </c>
      <c r="J19" s="25">
        <f t="shared" si="5"/>
        <v>0.1248651084346282</v>
      </c>
      <c r="L19" s="22">
        <f t="shared" si="11"/>
        <v>37099.684478674106</v>
      </c>
      <c r="M19" s="5">
        <f>scrimecost*Meta!O16</f>
        <v>26468.27</v>
      </c>
      <c r="N19" s="5">
        <f>L19-Grade13!L19</f>
        <v>4126.9253155620172</v>
      </c>
      <c r="O19" s="5">
        <f>Grade13!M19-M19</f>
        <v>206.29000000000087</v>
      </c>
      <c r="P19" s="22">
        <f t="shared" si="12"/>
        <v>33.559368375959195</v>
      </c>
      <c r="Q19" s="22"/>
      <c r="R19" s="22"/>
      <c r="S19" s="22">
        <f t="shared" si="6"/>
        <v>1273.9642355555757</v>
      </c>
      <c r="T19" s="22">
        <f t="shared" si="7"/>
        <v>887.38300545667573</v>
      </c>
    </row>
    <row r="20" spans="1:20" x14ac:dyDescent="0.2">
      <c r="A20" s="5">
        <v>29</v>
      </c>
      <c r="B20" s="1">
        <f t="shared" si="8"/>
        <v>1.2488629699476654</v>
      </c>
      <c r="C20" s="5">
        <f t="shared" si="9"/>
        <v>27450.603652021371</v>
      </c>
      <c r="D20" s="5">
        <f t="shared" si="0"/>
        <v>26561.808378119771</v>
      </c>
      <c r="E20" s="5">
        <f t="shared" si="1"/>
        <v>17061.808378119771</v>
      </c>
      <c r="F20" s="5">
        <f t="shared" si="2"/>
        <v>5872.4304354561054</v>
      </c>
      <c r="G20" s="5">
        <f t="shared" si="3"/>
        <v>20689.377942663665</v>
      </c>
      <c r="H20" s="22">
        <f t="shared" si="10"/>
        <v>12486.379573716031</v>
      </c>
      <c r="I20" s="5">
        <f t="shared" si="4"/>
        <v>32239.279048350996</v>
      </c>
      <c r="J20" s="25">
        <f t="shared" si="5"/>
        <v>0.12729325472924724</v>
      </c>
      <c r="L20" s="22">
        <f t="shared" si="11"/>
        <v>38027.176590640949</v>
      </c>
      <c r="M20" s="5">
        <f>scrimecost*Meta!O17</f>
        <v>26468.27</v>
      </c>
      <c r="N20" s="5">
        <f>L20-Grade13!L20</f>
        <v>4230.0984484510627</v>
      </c>
      <c r="O20" s="5">
        <f>Grade13!M20-M20</f>
        <v>206.29000000000087</v>
      </c>
      <c r="P20" s="22">
        <f t="shared" si="12"/>
        <v>34.183809229158342</v>
      </c>
      <c r="Q20" s="22"/>
      <c r="R20" s="22"/>
      <c r="S20" s="22">
        <f t="shared" si="6"/>
        <v>1303.1435601464323</v>
      </c>
      <c r="T20" s="22">
        <f t="shared" si="7"/>
        <v>871.96000135125826</v>
      </c>
    </row>
    <row r="21" spans="1:20" x14ac:dyDescent="0.2">
      <c r="A21" s="5">
        <v>30</v>
      </c>
      <c r="B21" s="1">
        <f t="shared" si="8"/>
        <v>1.2800845441963571</v>
      </c>
      <c r="C21" s="5">
        <f t="shared" si="9"/>
        <v>28136.868743321906</v>
      </c>
      <c r="D21" s="5">
        <f t="shared" si="0"/>
        <v>27196.603587572765</v>
      </c>
      <c r="E21" s="5">
        <f t="shared" si="1"/>
        <v>17696.603587572765</v>
      </c>
      <c r="F21" s="5">
        <f t="shared" si="2"/>
        <v>6079.6910713425077</v>
      </c>
      <c r="G21" s="5">
        <f t="shared" si="3"/>
        <v>21116.912516230259</v>
      </c>
      <c r="H21" s="22">
        <f t="shared" si="10"/>
        <v>12798.53906305893</v>
      </c>
      <c r="I21" s="5">
        <f t="shared" si="4"/>
        <v>32955.56114955977</v>
      </c>
      <c r="J21" s="25">
        <f t="shared" si="5"/>
        <v>0.12966217794350973</v>
      </c>
      <c r="L21" s="22">
        <f t="shared" si="11"/>
        <v>38977.856005406975</v>
      </c>
      <c r="M21" s="5">
        <f>scrimecost*Meta!O18</f>
        <v>21338.078000000001</v>
      </c>
      <c r="N21" s="5">
        <f>L21-Grade13!L21</f>
        <v>4335.8509096623457</v>
      </c>
      <c r="O21" s="5">
        <f>Grade13!M21-M21</f>
        <v>166.30600000000049</v>
      </c>
      <c r="P21" s="22">
        <f t="shared" si="12"/>
        <v>34.823861103687477</v>
      </c>
      <c r="Q21" s="22"/>
      <c r="R21" s="22"/>
      <c r="S21" s="22">
        <f t="shared" si="6"/>
        <v>1313.1803198520633</v>
      </c>
      <c r="T21" s="22">
        <f t="shared" si="7"/>
        <v>844.07122832810967</v>
      </c>
    </row>
    <row r="22" spans="1:20" x14ac:dyDescent="0.2">
      <c r="A22" s="5">
        <v>31</v>
      </c>
      <c r="B22" s="1">
        <f t="shared" si="8"/>
        <v>1.312086657801266</v>
      </c>
      <c r="C22" s="5">
        <f t="shared" si="9"/>
        <v>28840.290461904955</v>
      </c>
      <c r="D22" s="5">
        <f t="shared" si="0"/>
        <v>27847.268677262084</v>
      </c>
      <c r="E22" s="5">
        <f t="shared" si="1"/>
        <v>18347.268677262084</v>
      </c>
      <c r="F22" s="5">
        <f t="shared" si="2"/>
        <v>6292.1332231260703</v>
      </c>
      <c r="G22" s="5">
        <f t="shared" si="3"/>
        <v>21555.135454136012</v>
      </c>
      <c r="H22" s="22">
        <f t="shared" si="10"/>
        <v>13118.502539635403</v>
      </c>
      <c r="I22" s="5">
        <f t="shared" si="4"/>
        <v>33689.750303298759</v>
      </c>
      <c r="J22" s="25">
        <f t="shared" si="5"/>
        <v>0.13197332254279023</v>
      </c>
      <c r="L22" s="22">
        <f t="shared" si="11"/>
        <v>39952.302405542148</v>
      </c>
      <c r="M22" s="5">
        <f>scrimecost*Meta!O19</f>
        <v>21338.078000000001</v>
      </c>
      <c r="N22" s="5">
        <f>L22-Grade13!L22</f>
        <v>4444.2471824039021</v>
      </c>
      <c r="O22" s="5">
        <f>Grade13!M22-M22</f>
        <v>166.30600000000049</v>
      </c>
      <c r="P22" s="22">
        <f t="shared" si="12"/>
        <v>35.479914275079842</v>
      </c>
      <c r="Q22" s="22"/>
      <c r="R22" s="22"/>
      <c r="S22" s="22">
        <f t="shared" si="6"/>
        <v>1343.8368477503329</v>
      </c>
      <c r="T22" s="22">
        <f t="shared" si="7"/>
        <v>829.75849358592518</v>
      </c>
    </row>
    <row r="23" spans="1:20" x14ac:dyDescent="0.2">
      <c r="A23" s="5">
        <v>32</v>
      </c>
      <c r="B23" s="1">
        <f t="shared" si="8"/>
        <v>1.3448888242462975</v>
      </c>
      <c r="C23" s="5">
        <f t="shared" si="9"/>
        <v>29561.297723452572</v>
      </c>
      <c r="D23" s="5">
        <f t="shared" si="0"/>
        <v>28514.200394193631</v>
      </c>
      <c r="E23" s="5">
        <f t="shared" si="1"/>
        <v>19014.200394193631</v>
      </c>
      <c r="F23" s="5">
        <f t="shared" si="2"/>
        <v>6509.8864287042206</v>
      </c>
      <c r="G23" s="5">
        <f t="shared" si="3"/>
        <v>22004.313965489411</v>
      </c>
      <c r="H23" s="22">
        <f t="shared" si="10"/>
        <v>13446.465103126287</v>
      </c>
      <c r="I23" s="5">
        <f t="shared" si="4"/>
        <v>34442.294185881226</v>
      </c>
      <c r="J23" s="25">
        <f t="shared" si="5"/>
        <v>0.13422809776160041</v>
      </c>
      <c r="L23" s="22">
        <f t="shared" si="11"/>
        <v>40951.109965680698</v>
      </c>
      <c r="M23" s="5">
        <f>scrimecost*Meta!O20</f>
        <v>21338.078000000001</v>
      </c>
      <c r="N23" s="5">
        <f>L23-Grade13!L23</f>
        <v>4555.3533619640002</v>
      </c>
      <c r="O23" s="5">
        <f>Grade13!M23-M23</f>
        <v>166.30600000000049</v>
      </c>
      <c r="P23" s="22">
        <f t="shared" si="12"/>
        <v>36.152368775757012</v>
      </c>
      <c r="Q23" s="22"/>
      <c r="R23" s="22"/>
      <c r="S23" s="22">
        <f t="shared" si="6"/>
        <v>1375.2597888460602</v>
      </c>
      <c r="T23" s="22">
        <f t="shared" si="7"/>
        <v>815.71854596776564</v>
      </c>
    </row>
    <row r="24" spans="1:20" x14ac:dyDescent="0.2">
      <c r="A24" s="5">
        <v>33</v>
      </c>
      <c r="B24" s="1">
        <f t="shared" si="8"/>
        <v>1.3785110448524549</v>
      </c>
      <c r="C24" s="5">
        <f t="shared" si="9"/>
        <v>30300.330166538886</v>
      </c>
      <c r="D24" s="5">
        <f t="shared" si="0"/>
        <v>29197.805404048471</v>
      </c>
      <c r="E24" s="5">
        <f t="shared" si="1"/>
        <v>19697.805404048471</v>
      </c>
      <c r="F24" s="5">
        <f t="shared" si="2"/>
        <v>6733.0834644218257</v>
      </c>
      <c r="G24" s="5">
        <f t="shared" si="3"/>
        <v>22464.721939626645</v>
      </c>
      <c r="H24" s="22">
        <f t="shared" si="10"/>
        <v>13782.626730704444</v>
      </c>
      <c r="I24" s="5">
        <f t="shared" si="4"/>
        <v>35213.651665528254</v>
      </c>
      <c r="J24" s="25">
        <f t="shared" si="5"/>
        <v>0.13642787846287868</v>
      </c>
      <c r="L24" s="22">
        <f t="shared" si="11"/>
        <v>41974.887714822711</v>
      </c>
      <c r="M24" s="5">
        <f>scrimecost*Meta!O21</f>
        <v>21338.078000000001</v>
      </c>
      <c r="N24" s="5">
        <f>L24-Grade13!L24</f>
        <v>4669.2371960130986</v>
      </c>
      <c r="O24" s="5">
        <f>Grade13!M24-M24</f>
        <v>166.30600000000049</v>
      </c>
      <c r="P24" s="22">
        <f t="shared" si="12"/>
        <v>36.841634638951113</v>
      </c>
      <c r="Q24" s="22"/>
      <c r="R24" s="22"/>
      <c r="S24" s="22">
        <f t="shared" si="6"/>
        <v>1407.46830346918</v>
      </c>
      <c r="T24" s="22">
        <f t="shared" si="7"/>
        <v>801.94511250438461</v>
      </c>
    </row>
    <row r="25" spans="1:20" x14ac:dyDescent="0.2">
      <c r="A25" s="5">
        <v>34</v>
      </c>
      <c r="B25" s="1">
        <f t="shared" si="8"/>
        <v>1.4129738209737661</v>
      </c>
      <c r="C25" s="5">
        <f t="shared" si="9"/>
        <v>31057.838420702359</v>
      </c>
      <c r="D25" s="5">
        <f t="shared" si="0"/>
        <v>29898.500539149685</v>
      </c>
      <c r="E25" s="5">
        <f t="shared" si="1"/>
        <v>20398.500539149685</v>
      </c>
      <c r="F25" s="5">
        <f t="shared" si="2"/>
        <v>6961.8604260323718</v>
      </c>
      <c r="G25" s="5">
        <f t="shared" si="3"/>
        <v>22936.640113117312</v>
      </c>
      <c r="H25" s="22">
        <f t="shared" si="10"/>
        <v>14127.192398972054</v>
      </c>
      <c r="I25" s="5">
        <f t="shared" si="4"/>
        <v>36004.293082166463</v>
      </c>
      <c r="J25" s="25">
        <f t="shared" si="5"/>
        <v>0.13857400597632091</v>
      </c>
      <c r="L25" s="22">
        <f t="shared" si="11"/>
        <v>43024.259907693282</v>
      </c>
      <c r="M25" s="5">
        <f>scrimecost*Meta!O22</f>
        <v>21338.078000000001</v>
      </c>
      <c r="N25" s="5">
        <f>L25-Grade13!L25</f>
        <v>4785.9681259134231</v>
      </c>
      <c r="O25" s="5">
        <f>Grade13!M25-M25</f>
        <v>166.30600000000049</v>
      </c>
      <c r="P25" s="22">
        <f t="shared" si="12"/>
        <v>37.548132148725067</v>
      </c>
      <c r="Q25" s="22"/>
      <c r="R25" s="22"/>
      <c r="S25" s="22">
        <f t="shared" si="6"/>
        <v>1440.4820309578774</v>
      </c>
      <c r="T25" s="22">
        <f t="shared" si="7"/>
        <v>788.43209857955401</v>
      </c>
    </row>
    <row r="26" spans="1:20" x14ac:dyDescent="0.2">
      <c r="A26" s="5">
        <v>35</v>
      </c>
      <c r="B26" s="1">
        <f t="shared" si="8"/>
        <v>1.4482981664981105</v>
      </c>
      <c r="C26" s="5">
        <f t="shared" si="9"/>
        <v>31834.284381219921</v>
      </c>
      <c r="D26" s="5">
        <f t="shared" si="0"/>
        <v>30616.713052628427</v>
      </c>
      <c r="E26" s="5">
        <f t="shared" si="1"/>
        <v>21116.713052628427</v>
      </c>
      <c r="F26" s="5">
        <f t="shared" si="2"/>
        <v>7196.3568116831811</v>
      </c>
      <c r="G26" s="5">
        <f t="shared" si="3"/>
        <v>23420.356240945246</v>
      </c>
      <c r="H26" s="22">
        <f t="shared" si="10"/>
        <v>14480.372208946359</v>
      </c>
      <c r="I26" s="5">
        <f t="shared" si="4"/>
        <v>36814.700534220625</v>
      </c>
      <c r="J26" s="25">
        <f t="shared" si="5"/>
        <v>0.14066778891626452</v>
      </c>
      <c r="L26" s="22">
        <f t="shared" si="11"/>
        <v>44099.866405385619</v>
      </c>
      <c r="M26" s="5">
        <f>scrimecost*Meta!O23</f>
        <v>16559.957999999999</v>
      </c>
      <c r="N26" s="5">
        <f>L26-Grade13!L26</f>
        <v>4905.6173290612642</v>
      </c>
      <c r="O26" s="5">
        <f>Grade13!M26-M26</f>
        <v>129.06599999999889</v>
      </c>
      <c r="P26" s="22">
        <f t="shared" si="12"/>
        <v>38.272292096243362</v>
      </c>
      <c r="Q26" s="22"/>
      <c r="R26" s="22"/>
      <c r="S26" s="22">
        <f t="shared" si="6"/>
        <v>1455.8128216337936</v>
      </c>
      <c r="T26" s="22">
        <f t="shared" si="7"/>
        <v>765.44223531835939</v>
      </c>
    </row>
    <row r="27" spans="1:20" x14ac:dyDescent="0.2">
      <c r="A27" s="5">
        <v>36</v>
      </c>
      <c r="B27" s="1">
        <f t="shared" si="8"/>
        <v>1.4845056206605631</v>
      </c>
      <c r="C27" s="5">
        <f t="shared" si="9"/>
        <v>32630.141490750415</v>
      </c>
      <c r="D27" s="5">
        <f t="shared" si="0"/>
        <v>31352.880878944135</v>
      </c>
      <c r="E27" s="5">
        <f t="shared" si="1"/>
        <v>21852.880878944135</v>
      </c>
      <c r="F27" s="5">
        <f t="shared" si="2"/>
        <v>7436.7156069752609</v>
      </c>
      <c r="G27" s="5">
        <f t="shared" si="3"/>
        <v>23916.165271968875</v>
      </c>
      <c r="H27" s="22">
        <f t="shared" si="10"/>
        <v>14842.381514170016</v>
      </c>
      <c r="I27" s="5">
        <f t="shared" si="4"/>
        <v>37645.368172576142</v>
      </c>
      <c r="J27" s="25">
        <f t="shared" si="5"/>
        <v>0.14271050397962418</v>
      </c>
      <c r="L27" s="22">
        <f t="shared" si="11"/>
        <v>45202.363065520251</v>
      </c>
      <c r="M27" s="5">
        <f>scrimecost*Meta!O24</f>
        <v>16559.957999999999</v>
      </c>
      <c r="N27" s="5">
        <f>L27-Grade13!L27</f>
        <v>5028.2577622877943</v>
      </c>
      <c r="O27" s="5">
        <f>Grade13!M27-M27</f>
        <v>129.06599999999889</v>
      </c>
      <c r="P27" s="22">
        <f t="shared" si="12"/>
        <v>39.014556042449627</v>
      </c>
      <c r="Q27" s="22"/>
      <c r="R27" s="22"/>
      <c r="S27" s="22">
        <f t="shared" si="6"/>
        <v>1490.497869076607</v>
      </c>
      <c r="T27" s="22">
        <f t="shared" si="7"/>
        <v>752.81570654747873</v>
      </c>
    </row>
    <row r="28" spans="1:20" x14ac:dyDescent="0.2">
      <c r="A28" s="5">
        <v>37</v>
      </c>
      <c r="B28" s="1">
        <f t="shared" si="8"/>
        <v>1.521618261177077</v>
      </c>
      <c r="C28" s="5">
        <f t="shared" si="9"/>
        <v>33445.895028019171</v>
      </c>
      <c r="D28" s="5">
        <f t="shared" si="0"/>
        <v>32107.452900917735</v>
      </c>
      <c r="E28" s="5">
        <f t="shared" si="1"/>
        <v>22607.452900917735</v>
      </c>
      <c r="F28" s="5">
        <f t="shared" si="2"/>
        <v>7683.0833721496401</v>
      </c>
      <c r="G28" s="5">
        <f t="shared" si="3"/>
        <v>24424.369528768097</v>
      </c>
      <c r="H28" s="22">
        <f t="shared" si="10"/>
        <v>15213.441052024265</v>
      </c>
      <c r="I28" s="5">
        <f t="shared" si="4"/>
        <v>38496.802501890546</v>
      </c>
      <c r="J28" s="25">
        <f t="shared" si="5"/>
        <v>0.14470339672436525</v>
      </c>
      <c r="L28" s="22">
        <f t="shared" si="11"/>
        <v>46332.422142158255</v>
      </c>
      <c r="M28" s="5">
        <f>scrimecost*Meta!O25</f>
        <v>16559.957999999999</v>
      </c>
      <c r="N28" s="5">
        <f>L28-Grade13!L28</f>
        <v>5153.9642063449865</v>
      </c>
      <c r="O28" s="5">
        <f>Grade13!M28-M28</f>
        <v>129.06599999999889</v>
      </c>
      <c r="P28" s="22">
        <f t="shared" si="12"/>
        <v>39.775376587311037</v>
      </c>
      <c r="Q28" s="22"/>
      <c r="R28" s="22"/>
      <c r="S28" s="22">
        <f t="shared" si="6"/>
        <v>1526.0500427054901</v>
      </c>
      <c r="T28" s="22">
        <f t="shared" si="7"/>
        <v>740.41723174120375</v>
      </c>
    </row>
    <row r="29" spans="1:20" x14ac:dyDescent="0.2">
      <c r="A29" s="5">
        <v>38</v>
      </c>
      <c r="B29" s="1">
        <f t="shared" si="8"/>
        <v>1.559658717706504</v>
      </c>
      <c r="C29" s="5">
        <f t="shared" si="9"/>
        <v>34282.04240371965</v>
      </c>
      <c r="D29" s="5">
        <f t="shared" si="0"/>
        <v>32880.889223440681</v>
      </c>
      <c r="E29" s="5">
        <f t="shared" si="1"/>
        <v>23380.889223440681</v>
      </c>
      <c r="F29" s="5">
        <f t="shared" si="2"/>
        <v>7935.610331453383</v>
      </c>
      <c r="G29" s="5">
        <f t="shared" si="3"/>
        <v>24945.278891987298</v>
      </c>
      <c r="H29" s="22">
        <f t="shared" si="10"/>
        <v>15593.777078324872</v>
      </c>
      <c r="I29" s="5">
        <f t="shared" si="4"/>
        <v>39369.522689437807</v>
      </c>
      <c r="J29" s="25">
        <f t="shared" si="5"/>
        <v>0.14664768232899078</v>
      </c>
      <c r="L29" s="22">
        <f t="shared" si="11"/>
        <v>47490.732695712213</v>
      </c>
      <c r="M29" s="5">
        <f>scrimecost*Meta!O26</f>
        <v>16559.957999999999</v>
      </c>
      <c r="N29" s="5">
        <f>L29-Grade13!L29</f>
        <v>5282.8133115036107</v>
      </c>
      <c r="O29" s="5">
        <f>Grade13!M29-M29</f>
        <v>129.06599999999889</v>
      </c>
      <c r="P29" s="22">
        <f t="shared" si="12"/>
        <v>40.555217645793995</v>
      </c>
      <c r="Q29" s="22"/>
      <c r="R29" s="22"/>
      <c r="S29" s="22">
        <f t="shared" si="6"/>
        <v>1562.4910206750958</v>
      </c>
      <c r="T29" s="22">
        <f t="shared" si="7"/>
        <v>728.24196657009463</v>
      </c>
    </row>
    <row r="30" spans="1:20" x14ac:dyDescent="0.2">
      <c r="A30" s="5">
        <v>39</v>
      </c>
      <c r="B30" s="1">
        <f t="shared" si="8"/>
        <v>1.5986501856491666</v>
      </c>
      <c r="C30" s="5">
        <f t="shared" si="9"/>
        <v>35139.093463812642</v>
      </c>
      <c r="D30" s="5">
        <f t="shared" si="0"/>
        <v>33673.661454026696</v>
      </c>
      <c r="E30" s="5">
        <f t="shared" si="1"/>
        <v>24173.661454026696</v>
      </c>
      <c r="F30" s="5">
        <f t="shared" si="2"/>
        <v>8194.4504647397152</v>
      </c>
      <c r="G30" s="5">
        <f t="shared" si="3"/>
        <v>25479.210989286981</v>
      </c>
      <c r="H30" s="22">
        <f t="shared" si="10"/>
        <v>15983.621505282994</v>
      </c>
      <c r="I30" s="5">
        <f t="shared" si="4"/>
        <v>40264.060881673751</v>
      </c>
      <c r="J30" s="25">
        <f t="shared" si="5"/>
        <v>0.14854454633350339</v>
      </c>
      <c r="L30" s="22">
        <f t="shared" si="11"/>
        <v>48678.001013105015</v>
      </c>
      <c r="M30" s="5">
        <f>scrimecost*Meta!O27</f>
        <v>16559.957999999999</v>
      </c>
      <c r="N30" s="5">
        <f>L30-Grade13!L30</f>
        <v>5414.8836442911997</v>
      </c>
      <c r="O30" s="5">
        <f>Grade13!M30-M30</f>
        <v>129.06599999999889</v>
      </c>
      <c r="P30" s="22">
        <f t="shared" si="12"/>
        <v>41.354554730739018</v>
      </c>
      <c r="Q30" s="22"/>
      <c r="R30" s="22"/>
      <c r="S30" s="22">
        <f t="shared" si="6"/>
        <v>1599.8430230939416</v>
      </c>
      <c r="T30" s="22">
        <f t="shared" si="7"/>
        <v>716.28519391247721</v>
      </c>
    </row>
    <row r="31" spans="1:20" x14ac:dyDescent="0.2">
      <c r="A31" s="5">
        <v>40</v>
      </c>
      <c r="B31" s="1">
        <f t="shared" si="8"/>
        <v>1.6386164402903955</v>
      </c>
      <c r="C31" s="5">
        <f t="shared" si="9"/>
        <v>36017.57080040795</v>
      </c>
      <c r="D31" s="5">
        <f t="shared" si="0"/>
        <v>34486.252990377354</v>
      </c>
      <c r="E31" s="5">
        <f t="shared" si="1"/>
        <v>24986.252990377354</v>
      </c>
      <c r="F31" s="5">
        <f t="shared" si="2"/>
        <v>8459.7616013582065</v>
      </c>
      <c r="G31" s="5">
        <f t="shared" si="3"/>
        <v>26026.491389019146</v>
      </c>
      <c r="H31" s="22">
        <f t="shared" si="10"/>
        <v>16383.212042915065</v>
      </c>
      <c r="I31" s="5">
        <f t="shared" si="4"/>
        <v>41180.96252871558</v>
      </c>
      <c r="J31" s="25">
        <f t="shared" si="5"/>
        <v>0.1503951453622962</v>
      </c>
      <c r="L31" s="22">
        <f t="shared" si="11"/>
        <v>49894.951038432642</v>
      </c>
      <c r="M31" s="5">
        <f>scrimecost*Meta!O28</f>
        <v>14485.248</v>
      </c>
      <c r="N31" s="5">
        <f>L31-Grade13!L31</f>
        <v>5550.2557353984885</v>
      </c>
      <c r="O31" s="5">
        <f>Grade13!M31-M31</f>
        <v>112.89599999999882</v>
      </c>
      <c r="P31" s="22">
        <f t="shared" si="12"/>
        <v>42.173875242807661</v>
      </c>
      <c r="Q31" s="22"/>
      <c r="R31" s="22"/>
      <c r="S31" s="22">
        <f t="shared" si="6"/>
        <v>1630.0923355732612</v>
      </c>
      <c r="T31" s="22">
        <f t="shared" si="7"/>
        <v>701.08590832369032</v>
      </c>
    </row>
    <row r="32" spans="1:20" x14ac:dyDescent="0.2">
      <c r="A32" s="5">
        <v>41</v>
      </c>
      <c r="B32" s="1">
        <f t="shared" si="8"/>
        <v>1.6795818512976552</v>
      </c>
      <c r="C32" s="5">
        <f t="shared" si="9"/>
        <v>36918.010070418146</v>
      </c>
      <c r="D32" s="5">
        <f t="shared" si="0"/>
        <v>35319.159315136785</v>
      </c>
      <c r="E32" s="5">
        <f t="shared" si="1"/>
        <v>25819.159315136785</v>
      </c>
      <c r="F32" s="5">
        <f t="shared" si="2"/>
        <v>8731.7055163921614</v>
      </c>
      <c r="G32" s="5">
        <f t="shared" si="3"/>
        <v>26587.453798744624</v>
      </c>
      <c r="H32" s="22">
        <f t="shared" si="10"/>
        <v>16792.792343987941</v>
      </c>
      <c r="I32" s="5">
        <f t="shared" si="4"/>
        <v>42120.786716933471</v>
      </c>
      <c r="J32" s="25">
        <f t="shared" si="5"/>
        <v>0.15220060782941117</v>
      </c>
      <c r="L32" s="22">
        <f t="shared" si="11"/>
        <v>51142.324814393447</v>
      </c>
      <c r="M32" s="5">
        <f>scrimecost*Meta!O29</f>
        <v>14485.248</v>
      </c>
      <c r="N32" s="5">
        <f>L32-Grade13!L32</f>
        <v>5689.0121287834409</v>
      </c>
      <c r="O32" s="5">
        <f>Grade13!M32-M32</f>
        <v>112.89599999999882</v>
      </c>
      <c r="P32" s="22">
        <f t="shared" si="12"/>
        <v>43.01367876767803</v>
      </c>
      <c r="Q32" s="22"/>
      <c r="R32" s="22"/>
      <c r="S32" s="22">
        <f t="shared" si="6"/>
        <v>1669.3352831145585</v>
      </c>
      <c r="T32" s="22">
        <f t="shared" si="7"/>
        <v>689.68858075390222</v>
      </c>
    </row>
    <row r="33" spans="1:20" x14ac:dyDescent="0.2">
      <c r="A33" s="5">
        <v>42</v>
      </c>
      <c r="B33" s="1">
        <f t="shared" si="8"/>
        <v>1.7215713975800966</v>
      </c>
      <c r="C33" s="5">
        <f t="shared" si="9"/>
        <v>37840.960322178609</v>
      </c>
      <c r="D33" s="5">
        <f t="shared" si="0"/>
        <v>36172.888298015212</v>
      </c>
      <c r="E33" s="5">
        <f t="shared" si="1"/>
        <v>26672.888298015212</v>
      </c>
      <c r="F33" s="5">
        <f t="shared" si="2"/>
        <v>9010.448029301966</v>
      </c>
      <c r="G33" s="5">
        <f t="shared" si="3"/>
        <v>27162.440268713246</v>
      </c>
      <c r="H33" s="22">
        <f t="shared" si="10"/>
        <v>17212.612152587641</v>
      </c>
      <c r="I33" s="5">
        <f t="shared" si="4"/>
        <v>43084.106509856814</v>
      </c>
      <c r="J33" s="25">
        <f t="shared" si="5"/>
        <v>0.15396203462659649</v>
      </c>
      <c r="L33" s="22">
        <f t="shared" si="11"/>
        <v>52420.882934753281</v>
      </c>
      <c r="M33" s="5">
        <f>scrimecost*Meta!O30</f>
        <v>14485.248</v>
      </c>
      <c r="N33" s="5">
        <f>L33-Grade13!L33</f>
        <v>5831.2374320030285</v>
      </c>
      <c r="O33" s="5">
        <f>Grade13!M33-M33</f>
        <v>112.89599999999882</v>
      </c>
      <c r="P33" s="22">
        <f t="shared" si="12"/>
        <v>43.87447738067015</v>
      </c>
      <c r="Q33" s="22"/>
      <c r="R33" s="22"/>
      <c r="S33" s="22">
        <f t="shared" si="6"/>
        <v>1709.5593043443916</v>
      </c>
      <c r="T33" s="22">
        <f t="shared" si="7"/>
        <v>678.49095709652636</v>
      </c>
    </row>
    <row r="34" spans="1:20" x14ac:dyDescent="0.2">
      <c r="A34" s="5">
        <v>43</v>
      </c>
      <c r="B34" s="1">
        <f t="shared" si="8"/>
        <v>1.7646106825195991</v>
      </c>
      <c r="C34" s="5">
        <f t="shared" si="9"/>
        <v>38786.98433023307</v>
      </c>
      <c r="D34" s="5">
        <f t="shared" si="0"/>
        <v>37047.960505465591</v>
      </c>
      <c r="E34" s="5">
        <f t="shared" si="1"/>
        <v>27547.960505465591</v>
      </c>
      <c r="F34" s="5">
        <f t="shared" si="2"/>
        <v>9296.159105034516</v>
      </c>
      <c r="G34" s="5">
        <f t="shared" si="3"/>
        <v>27751.801400431075</v>
      </c>
      <c r="H34" s="22">
        <f t="shared" si="10"/>
        <v>17642.927456402329</v>
      </c>
      <c r="I34" s="5">
        <f t="shared" si="4"/>
        <v>44071.509297603232</v>
      </c>
      <c r="J34" s="25">
        <f t="shared" si="5"/>
        <v>0.15568049979458221</v>
      </c>
      <c r="L34" s="22">
        <f t="shared" si="11"/>
        <v>53731.405008122114</v>
      </c>
      <c r="M34" s="5">
        <f>scrimecost*Meta!O31</f>
        <v>14485.248</v>
      </c>
      <c r="N34" s="5">
        <f>L34-Grade13!L34</f>
        <v>5977.0183678031026</v>
      </c>
      <c r="O34" s="5">
        <f>Grade13!M34-M34</f>
        <v>112.89599999999882</v>
      </c>
      <c r="P34" s="22">
        <f t="shared" si="12"/>
        <v>44.756795958987084</v>
      </c>
      <c r="Q34" s="22"/>
      <c r="R34" s="22"/>
      <c r="S34" s="22">
        <f t="shared" si="6"/>
        <v>1750.7889261049697</v>
      </c>
      <c r="T34" s="22">
        <f t="shared" si="7"/>
        <v>667.48900126912531</v>
      </c>
    </row>
    <row r="35" spans="1:20" x14ac:dyDescent="0.2">
      <c r="A35" s="5">
        <v>44</v>
      </c>
      <c r="B35" s="1">
        <f t="shared" si="8"/>
        <v>1.8087259495825889</v>
      </c>
      <c r="C35" s="5">
        <f t="shared" si="9"/>
        <v>39756.658938488894</v>
      </c>
      <c r="D35" s="5">
        <f t="shared" si="0"/>
        <v>37944.909518102228</v>
      </c>
      <c r="E35" s="5">
        <f t="shared" si="1"/>
        <v>28444.909518102228</v>
      </c>
      <c r="F35" s="5">
        <f t="shared" si="2"/>
        <v>9589.0129576603777</v>
      </c>
      <c r="G35" s="5">
        <f t="shared" si="3"/>
        <v>28355.896560441848</v>
      </c>
      <c r="H35" s="22">
        <f t="shared" si="10"/>
        <v>18084.000642812385</v>
      </c>
      <c r="I35" s="5">
        <f t="shared" si="4"/>
        <v>45083.597155043302</v>
      </c>
      <c r="J35" s="25">
        <f t="shared" si="5"/>
        <v>0.15735705117798285</v>
      </c>
      <c r="L35" s="22">
        <f t="shared" si="11"/>
        <v>55074.690133325159</v>
      </c>
      <c r="M35" s="5">
        <f>scrimecost*Meta!O32</f>
        <v>14485.248</v>
      </c>
      <c r="N35" s="5">
        <f>L35-Grade13!L35</f>
        <v>6126.4438269981838</v>
      </c>
      <c r="O35" s="5">
        <f>Grade13!M35-M35</f>
        <v>112.89599999999882</v>
      </c>
      <c r="P35" s="22">
        <f t="shared" si="12"/>
        <v>45.661172501761932</v>
      </c>
      <c r="Q35" s="22"/>
      <c r="R35" s="22"/>
      <c r="S35" s="22">
        <f t="shared" si="6"/>
        <v>1793.0492884095636</v>
      </c>
      <c r="T35" s="22">
        <f t="shared" si="7"/>
        <v>656.67877730311488</v>
      </c>
    </row>
    <row r="36" spans="1:20" x14ac:dyDescent="0.2">
      <c r="A36" s="5">
        <v>45</v>
      </c>
      <c r="B36" s="1">
        <f t="shared" si="8"/>
        <v>1.8539440983221533</v>
      </c>
      <c r="C36" s="5">
        <f t="shared" si="9"/>
        <v>40750.575411951111</v>
      </c>
      <c r="D36" s="5">
        <f t="shared" si="0"/>
        <v>38864.282256054779</v>
      </c>
      <c r="E36" s="5">
        <f t="shared" si="1"/>
        <v>29364.282256054779</v>
      </c>
      <c r="F36" s="5">
        <f t="shared" si="2"/>
        <v>9889.1881566018856</v>
      </c>
      <c r="G36" s="5">
        <f t="shared" si="3"/>
        <v>28975.094099452894</v>
      </c>
      <c r="H36" s="22">
        <f t="shared" si="10"/>
        <v>18536.100658882693</v>
      </c>
      <c r="I36" s="5">
        <f t="shared" si="4"/>
        <v>46120.987208919381</v>
      </c>
      <c r="J36" s="25">
        <f t="shared" si="5"/>
        <v>0.15899271106422741</v>
      </c>
      <c r="L36" s="22">
        <f t="shared" si="11"/>
        <v>56451.557386658278</v>
      </c>
      <c r="M36" s="5">
        <f>scrimecost*Meta!O33</f>
        <v>11706.394</v>
      </c>
      <c r="N36" s="5">
        <f>L36-Grade13!L36</f>
        <v>6279.6049226731266</v>
      </c>
      <c r="O36" s="5">
        <f>Grade13!M36-M36</f>
        <v>91.238000000001193</v>
      </c>
      <c r="P36" s="22">
        <f t="shared" si="12"/>
        <v>46.588158458106157</v>
      </c>
      <c r="Q36" s="22"/>
      <c r="R36" s="22"/>
      <c r="S36" s="22">
        <f t="shared" si="6"/>
        <v>1825.6021337717693</v>
      </c>
      <c r="T36" s="22">
        <f t="shared" si="7"/>
        <v>642.26952813067328</v>
      </c>
    </row>
    <row r="37" spans="1:20" x14ac:dyDescent="0.2">
      <c r="A37" s="5">
        <v>46</v>
      </c>
      <c r="B37" s="1">
        <f t="shared" ref="B37:B56" si="13">(1+experiencepremium)^(A37-startage)</f>
        <v>1.9002927007802071</v>
      </c>
      <c r="C37" s="5">
        <f t="shared" ref="C37:C56" si="14">pretaxincome*B37/expnorm</f>
        <v>41769.339797249886</v>
      </c>
      <c r="D37" s="5">
        <f t="shared" ref="D37:D56" si="15">IF(A37&lt;startage,1,0)*(C37*(1-initialunempprob))+IF(A37=startage,1,0)*(C37*(1-unempprob))+IF(A37&gt;startage,1,0)*(C37*(1-unempprob)+unempprob*300*52)</f>
        <v>39806.639312456144</v>
      </c>
      <c r="E37" s="5">
        <f t="shared" si="1"/>
        <v>30306.639312456144</v>
      </c>
      <c r="F37" s="5">
        <f t="shared" si="2"/>
        <v>10196.867735516931</v>
      </c>
      <c r="G37" s="5">
        <f t="shared" si="3"/>
        <v>29609.771576939213</v>
      </c>
      <c r="H37" s="22">
        <f t="shared" ref="H37:H56" si="16">benefits*B37/expnorm</f>
        <v>18999.503175354759</v>
      </c>
      <c r="I37" s="5">
        <f t="shared" ref="I37:I56" si="17">G37+IF(A37&lt;startage,1,0)*(H37*(1-initialunempprob))+IF(A37&gt;=startage,1,0)*(H37*(1-unempprob))</f>
        <v>47184.312014142364</v>
      </c>
      <c r="J37" s="25">
        <f t="shared" si="5"/>
        <v>0.16058847680690502</v>
      </c>
      <c r="L37" s="22">
        <f t="shared" ref="L37:L56" si="18">(sincome+sbenefits)*(1-sunemp)*B37/expnorm</f>
        <v>57862.846321324738</v>
      </c>
      <c r="M37" s="5">
        <f>scrimecost*Meta!O34</f>
        <v>11706.394</v>
      </c>
      <c r="N37" s="5">
        <f>L37-Grade13!L37</f>
        <v>6436.5950457399595</v>
      </c>
      <c r="O37" s="5">
        <f>Grade13!M37-M37</f>
        <v>91.238000000001193</v>
      </c>
      <c r="P37" s="22">
        <f t="shared" si="12"/>
        <v>47.538319063358983</v>
      </c>
      <c r="Q37" s="22"/>
      <c r="R37" s="22"/>
      <c r="S37" s="22">
        <f t="shared" si="6"/>
        <v>1870.0019269180336</v>
      </c>
      <c r="T37" s="22">
        <f t="shared" si="7"/>
        <v>631.98048419101008</v>
      </c>
    </row>
    <row r="38" spans="1:20" x14ac:dyDescent="0.2">
      <c r="A38" s="5">
        <v>47</v>
      </c>
      <c r="B38" s="1">
        <f t="shared" si="13"/>
        <v>1.9478000182997122</v>
      </c>
      <c r="C38" s="5">
        <f t="shared" si="14"/>
        <v>42813.573292181136</v>
      </c>
      <c r="D38" s="5">
        <f t="shared" si="15"/>
        <v>40772.55529526755</v>
      </c>
      <c r="E38" s="5">
        <f t="shared" si="1"/>
        <v>31272.55529526755</v>
      </c>
      <c r="F38" s="5">
        <f t="shared" si="2"/>
        <v>10512.239303904855</v>
      </c>
      <c r="G38" s="5">
        <f t="shared" si="3"/>
        <v>30260.315991362695</v>
      </c>
      <c r="H38" s="22">
        <f t="shared" si="16"/>
        <v>19474.490754738628</v>
      </c>
      <c r="I38" s="5">
        <f t="shared" si="17"/>
        <v>48274.219939495932</v>
      </c>
      <c r="J38" s="25">
        <f t="shared" si="5"/>
        <v>0.16214532143390756</v>
      </c>
      <c r="L38" s="22">
        <f t="shared" si="18"/>
        <v>59309.41747935785</v>
      </c>
      <c r="M38" s="5">
        <f>scrimecost*Meta!O35</f>
        <v>11706.394</v>
      </c>
      <c r="N38" s="5">
        <f>L38-Grade13!L38</f>
        <v>6597.5099218834584</v>
      </c>
      <c r="O38" s="5">
        <f>Grade13!M38-M38</f>
        <v>91.238000000001193</v>
      </c>
      <c r="P38" s="22">
        <f t="shared" si="12"/>
        <v>48.512233683743126</v>
      </c>
      <c r="Q38" s="22"/>
      <c r="R38" s="22"/>
      <c r="S38" s="22">
        <f t="shared" si="6"/>
        <v>1915.5117148929533</v>
      </c>
      <c r="T38" s="22">
        <f t="shared" si="7"/>
        <v>621.86606154772392</v>
      </c>
    </row>
    <row r="39" spans="1:20" x14ac:dyDescent="0.2">
      <c r="A39" s="5">
        <v>48</v>
      </c>
      <c r="B39" s="1">
        <f t="shared" si="13"/>
        <v>1.9964950187572048</v>
      </c>
      <c r="C39" s="5">
        <f t="shared" si="14"/>
        <v>43883.912624485652</v>
      </c>
      <c r="D39" s="5">
        <f t="shared" si="15"/>
        <v>41762.619177649227</v>
      </c>
      <c r="E39" s="5">
        <f t="shared" si="1"/>
        <v>32262.619177649227</v>
      </c>
      <c r="F39" s="5">
        <f t="shared" si="2"/>
        <v>10835.495161502473</v>
      </c>
      <c r="G39" s="5">
        <f t="shared" si="3"/>
        <v>30927.124016146754</v>
      </c>
      <c r="H39" s="22">
        <f t="shared" si="16"/>
        <v>19961.353023607095</v>
      </c>
      <c r="I39" s="5">
        <f t="shared" si="17"/>
        <v>49391.375562983318</v>
      </c>
      <c r="J39" s="25">
        <f t="shared" si="5"/>
        <v>0.1636641942407393</v>
      </c>
      <c r="L39" s="22">
        <f t="shared" si="18"/>
        <v>60792.152916341794</v>
      </c>
      <c r="M39" s="5">
        <f>scrimecost*Meta!O36</f>
        <v>11706.394</v>
      </c>
      <c r="N39" s="5">
        <f>L39-Grade13!L39</f>
        <v>6762.4476699305305</v>
      </c>
      <c r="O39" s="5">
        <f>Grade13!M39-M39</f>
        <v>91.238000000001193</v>
      </c>
      <c r="P39" s="22">
        <f t="shared" si="12"/>
        <v>49.510496169636887</v>
      </c>
      <c r="Q39" s="22"/>
      <c r="R39" s="22"/>
      <c r="S39" s="22">
        <f t="shared" si="6"/>
        <v>1962.1592475672419</v>
      </c>
      <c r="T39" s="22">
        <f t="shared" si="7"/>
        <v>611.9229266532077</v>
      </c>
    </row>
    <row r="40" spans="1:20" x14ac:dyDescent="0.2">
      <c r="A40" s="5">
        <v>49</v>
      </c>
      <c r="B40" s="1">
        <f t="shared" si="13"/>
        <v>2.0464073942261352</v>
      </c>
      <c r="C40" s="5">
        <f t="shared" si="14"/>
        <v>44981.010440097802</v>
      </c>
      <c r="D40" s="5">
        <f t="shared" si="15"/>
        <v>42777.434657090467</v>
      </c>
      <c r="E40" s="5">
        <f t="shared" si="1"/>
        <v>33277.434657090467</v>
      </c>
      <c r="F40" s="5">
        <f t="shared" si="2"/>
        <v>11166.832415540037</v>
      </c>
      <c r="G40" s="5">
        <f t="shared" si="3"/>
        <v>31610.60224155043</v>
      </c>
      <c r="H40" s="22">
        <f t="shared" si="16"/>
        <v>20460.386849197272</v>
      </c>
      <c r="I40" s="5">
        <f t="shared" si="17"/>
        <v>50536.460077057913</v>
      </c>
      <c r="J40" s="25">
        <f t="shared" si="5"/>
        <v>0.16514602136935569</v>
      </c>
      <c r="L40" s="22">
        <f t="shared" si="18"/>
        <v>62311.956739250345</v>
      </c>
      <c r="M40" s="5">
        <f>scrimecost*Meta!O37</f>
        <v>11706.394</v>
      </c>
      <c r="N40" s="5">
        <f>L40-Grade13!L40</f>
        <v>6931.5088616788125</v>
      </c>
      <c r="O40" s="5">
        <f>Grade13!M40-M40</f>
        <v>91.238000000001193</v>
      </c>
      <c r="P40" s="22">
        <f t="shared" si="12"/>
        <v>50.533715217677987</v>
      </c>
      <c r="Q40" s="22"/>
      <c r="R40" s="22"/>
      <c r="S40" s="22">
        <f t="shared" si="6"/>
        <v>2009.9729685583966</v>
      </c>
      <c r="T40" s="22">
        <f t="shared" si="7"/>
        <v>602.14782279006465</v>
      </c>
    </row>
    <row r="41" spans="1:20" x14ac:dyDescent="0.2">
      <c r="A41" s="5">
        <v>50</v>
      </c>
      <c r="B41" s="1">
        <f t="shared" si="13"/>
        <v>2.097567579081788</v>
      </c>
      <c r="C41" s="5">
        <f t="shared" si="14"/>
        <v>46105.535701100234</v>
      </c>
      <c r="D41" s="5">
        <f t="shared" si="15"/>
        <v>43817.620523517719</v>
      </c>
      <c r="E41" s="5">
        <f t="shared" si="1"/>
        <v>34317.620523517719</v>
      </c>
      <c r="F41" s="5">
        <f t="shared" si="2"/>
        <v>11506.453100928535</v>
      </c>
      <c r="G41" s="5">
        <f t="shared" si="3"/>
        <v>32311.167422589184</v>
      </c>
      <c r="H41" s="22">
        <f t="shared" si="16"/>
        <v>20971.896520427199</v>
      </c>
      <c r="I41" s="5">
        <f t="shared" si="17"/>
        <v>51710.171703984342</v>
      </c>
      <c r="J41" s="25">
        <f t="shared" si="5"/>
        <v>0.16659170637288381</v>
      </c>
      <c r="L41" s="22">
        <f t="shared" si="18"/>
        <v>63869.755657731592</v>
      </c>
      <c r="M41" s="5">
        <f>scrimecost*Meta!O38</f>
        <v>7821.0280000000002</v>
      </c>
      <c r="N41" s="5">
        <f>L41-Grade13!L41</f>
        <v>7104.7965832207628</v>
      </c>
      <c r="O41" s="5">
        <f>Grade13!M41-M41</f>
        <v>60.956000000000131</v>
      </c>
      <c r="P41" s="22">
        <f t="shared" si="12"/>
        <v>51.582514741920107</v>
      </c>
      <c r="Q41" s="22"/>
      <c r="R41" s="22"/>
      <c r="S41" s="22">
        <f t="shared" si="6"/>
        <v>2043.9318785743194</v>
      </c>
      <c r="T41" s="22">
        <f t="shared" si="7"/>
        <v>588.206407383228</v>
      </c>
    </row>
    <row r="42" spans="1:20" x14ac:dyDescent="0.2">
      <c r="A42" s="5">
        <v>51</v>
      </c>
      <c r="B42" s="1">
        <f t="shared" si="13"/>
        <v>2.1500067685588333</v>
      </c>
      <c r="C42" s="5">
        <f t="shared" si="14"/>
        <v>47258.174093627749</v>
      </c>
      <c r="D42" s="5">
        <f t="shared" si="15"/>
        <v>44883.811036605672</v>
      </c>
      <c r="E42" s="5">
        <f t="shared" si="1"/>
        <v>35383.811036605672</v>
      </c>
      <c r="F42" s="5">
        <f t="shared" si="2"/>
        <v>11942.945407112318</v>
      </c>
      <c r="G42" s="5">
        <f t="shared" si="3"/>
        <v>32940.865629493353</v>
      </c>
      <c r="H42" s="22">
        <f t="shared" si="16"/>
        <v>21496.193933437884</v>
      </c>
      <c r="I42" s="5">
        <f t="shared" si="17"/>
        <v>52824.845017923399</v>
      </c>
      <c r="J42" s="25">
        <f t="shared" si="5"/>
        <v>0.16939181904142808</v>
      </c>
      <c r="L42" s="22">
        <f t="shared" si="18"/>
        <v>65466.4995491749</v>
      </c>
      <c r="M42" s="5">
        <f>scrimecost*Meta!O39</f>
        <v>7821.0280000000002</v>
      </c>
      <c r="N42" s="5">
        <f>L42-Grade13!L42</f>
        <v>7282.4164978013141</v>
      </c>
      <c r="O42" s="5">
        <f>Grade13!M42-M42</f>
        <v>60.956000000000131</v>
      </c>
      <c r="P42" s="22">
        <f t="shared" si="12"/>
        <v>52.93046833472679</v>
      </c>
      <c r="Q42" s="22"/>
      <c r="R42" s="22"/>
      <c r="S42" s="22">
        <f t="shared" ref="S42:S69" si="19">IF(A42&lt;startage,1,0)*(N42-Q42-R42)+IF(A42&gt;=startage,1,0)*completionprob*(N42*spart+O42+P42)</f>
        <v>2094.3018174286426</v>
      </c>
      <c r="T42" s="22">
        <f t="shared" ref="T42:T69" si="20">S42/sreturn^(A42-startage+1)</f>
        <v>578.96596413231214</v>
      </c>
    </row>
    <row r="43" spans="1:20" x14ac:dyDescent="0.2">
      <c r="A43" s="5">
        <v>52</v>
      </c>
      <c r="B43" s="1">
        <f t="shared" si="13"/>
        <v>2.2037569377728037</v>
      </c>
      <c r="C43" s="5">
        <f t="shared" si="14"/>
        <v>48439.628445968432</v>
      </c>
      <c r="D43" s="5">
        <f t="shared" si="15"/>
        <v>45976.656312520805</v>
      </c>
      <c r="E43" s="5">
        <f t="shared" si="1"/>
        <v>36476.656312520805</v>
      </c>
      <c r="F43" s="5">
        <f t="shared" si="2"/>
        <v>12409.043917290124</v>
      </c>
      <c r="G43" s="5">
        <f t="shared" si="3"/>
        <v>33567.612395230681</v>
      </c>
      <c r="H43" s="22">
        <f t="shared" si="16"/>
        <v>22033.598781773828</v>
      </c>
      <c r="I43" s="5">
        <f t="shared" si="17"/>
        <v>53948.691268371476</v>
      </c>
      <c r="J43" s="25">
        <f t="shared" si="5"/>
        <v>0.17241040642507571</v>
      </c>
      <c r="L43" s="22">
        <f t="shared" si="18"/>
        <v>67103.162037904258</v>
      </c>
      <c r="M43" s="5">
        <f>scrimecost*Meta!O40</f>
        <v>7821.0280000000002</v>
      </c>
      <c r="N43" s="5">
        <f>L43-Grade13!L43</f>
        <v>7464.4769102463324</v>
      </c>
      <c r="O43" s="5">
        <f>Grade13!M43-M43</f>
        <v>60.956000000000131</v>
      </c>
      <c r="P43" s="22">
        <f t="shared" si="12"/>
        <v>54.369850318086392</v>
      </c>
      <c r="Q43" s="22"/>
      <c r="R43" s="22"/>
      <c r="S43" s="22">
        <f t="shared" si="19"/>
        <v>2145.9596963410254</v>
      </c>
      <c r="T43" s="22">
        <f t="shared" si="20"/>
        <v>569.88306988000068</v>
      </c>
    </row>
    <row r="44" spans="1:20" x14ac:dyDescent="0.2">
      <c r="A44" s="5">
        <v>53</v>
      </c>
      <c r="B44" s="1">
        <f t="shared" si="13"/>
        <v>2.2588508612171236</v>
      </c>
      <c r="C44" s="5">
        <f t="shared" si="14"/>
        <v>49650.619157117646</v>
      </c>
      <c r="D44" s="5">
        <f t="shared" si="15"/>
        <v>47096.822720333825</v>
      </c>
      <c r="E44" s="5">
        <f t="shared" si="1"/>
        <v>37596.822720333825</v>
      </c>
      <c r="F44" s="5">
        <f t="shared" si="2"/>
        <v>12886.794890222376</v>
      </c>
      <c r="G44" s="5">
        <f t="shared" si="3"/>
        <v>34210.027830111445</v>
      </c>
      <c r="H44" s="22">
        <f t="shared" si="16"/>
        <v>22584.438751318172</v>
      </c>
      <c r="I44" s="5">
        <f t="shared" si="17"/>
        <v>55100.633675080753</v>
      </c>
      <c r="J44" s="25">
        <f t="shared" si="5"/>
        <v>0.17535536972619531</v>
      </c>
      <c r="L44" s="22">
        <f t="shared" si="18"/>
        <v>68780.741088851864</v>
      </c>
      <c r="M44" s="5">
        <f>scrimecost*Meta!O41</f>
        <v>7821.0280000000002</v>
      </c>
      <c r="N44" s="5">
        <f>L44-Grade13!L44</f>
        <v>7651.08883300249</v>
      </c>
      <c r="O44" s="5">
        <f>Grade13!M44-M44</f>
        <v>60.956000000000131</v>
      </c>
      <c r="P44" s="22">
        <f t="shared" si="12"/>
        <v>55.845216851029974</v>
      </c>
      <c r="Q44" s="22"/>
      <c r="R44" s="22"/>
      <c r="S44" s="22">
        <f t="shared" si="19"/>
        <v>2198.9090222262216</v>
      </c>
      <c r="T44" s="22">
        <f t="shared" si="20"/>
        <v>560.94707180531418</v>
      </c>
    </row>
    <row r="45" spans="1:20" x14ac:dyDescent="0.2">
      <c r="A45" s="5">
        <v>54</v>
      </c>
      <c r="B45" s="1">
        <f t="shared" si="13"/>
        <v>2.3153221327475517</v>
      </c>
      <c r="C45" s="5">
        <f t="shared" si="14"/>
        <v>50891.884636045586</v>
      </c>
      <c r="D45" s="5">
        <f t="shared" si="15"/>
        <v>48244.993288342172</v>
      </c>
      <c r="E45" s="5">
        <f t="shared" si="1"/>
        <v>38744.993288342172</v>
      </c>
      <c r="F45" s="5">
        <f t="shared" si="2"/>
        <v>13376.489637477936</v>
      </c>
      <c r="G45" s="5">
        <f t="shared" si="3"/>
        <v>34868.503650864237</v>
      </c>
      <c r="H45" s="22">
        <f t="shared" si="16"/>
        <v>23149.049720101128</v>
      </c>
      <c r="I45" s="5">
        <f t="shared" si="17"/>
        <v>56281.37464195778</v>
      </c>
      <c r="J45" s="25">
        <f t="shared" si="5"/>
        <v>0.17822850465411691</v>
      </c>
      <c r="L45" s="22">
        <f t="shared" si="18"/>
        <v>70500.259616073148</v>
      </c>
      <c r="M45" s="5">
        <f>scrimecost*Meta!O42</f>
        <v>7821.0280000000002</v>
      </c>
      <c r="N45" s="5">
        <f>L45-Grade13!L45</f>
        <v>7842.3660538275508</v>
      </c>
      <c r="O45" s="5">
        <f>Grade13!M45-M45</f>
        <v>60.956000000000131</v>
      </c>
      <c r="P45" s="22">
        <f t="shared" si="12"/>
        <v>57.357467547297155</v>
      </c>
      <c r="Q45" s="22"/>
      <c r="R45" s="22"/>
      <c r="S45" s="22">
        <f t="shared" si="19"/>
        <v>2253.1820812585474</v>
      </c>
      <c r="T45" s="22">
        <f t="shared" si="20"/>
        <v>552.15542434344252</v>
      </c>
    </row>
    <row r="46" spans="1:20" x14ac:dyDescent="0.2">
      <c r="A46" s="5">
        <v>55</v>
      </c>
      <c r="B46" s="1">
        <f t="shared" si="13"/>
        <v>2.3732051860662402</v>
      </c>
      <c r="C46" s="5">
        <f t="shared" si="14"/>
        <v>52164.181751946715</v>
      </c>
      <c r="D46" s="5">
        <f t="shared" si="15"/>
        <v>49421.868120550716</v>
      </c>
      <c r="E46" s="5">
        <f t="shared" si="1"/>
        <v>39921.868120550716</v>
      </c>
      <c r="F46" s="5">
        <f t="shared" si="2"/>
        <v>13878.42675341488</v>
      </c>
      <c r="G46" s="5">
        <f t="shared" si="3"/>
        <v>35543.441367135834</v>
      </c>
      <c r="H46" s="22">
        <f t="shared" si="16"/>
        <v>23727.775963103653</v>
      </c>
      <c r="I46" s="5">
        <f t="shared" si="17"/>
        <v>57491.634133006715</v>
      </c>
      <c r="J46" s="25">
        <f t="shared" si="5"/>
        <v>0.18103156312038182</v>
      </c>
      <c r="L46" s="22">
        <f t="shared" si="18"/>
        <v>72262.76610647497</v>
      </c>
      <c r="M46" s="5">
        <f>scrimecost*Meta!O43</f>
        <v>4338.03</v>
      </c>
      <c r="N46" s="5">
        <f>L46-Grade13!L46</f>
        <v>8038.4252051732255</v>
      </c>
      <c r="O46" s="5">
        <f>Grade13!M46-M46</f>
        <v>33.809999999999491</v>
      </c>
      <c r="P46" s="22">
        <f t="shared" si="12"/>
        <v>58.907524510971015</v>
      </c>
      <c r="Q46" s="22"/>
      <c r="R46" s="22"/>
      <c r="S46" s="22">
        <f t="shared" si="19"/>
        <v>2295.3204047666773</v>
      </c>
      <c r="T46" s="22">
        <f t="shared" si="20"/>
        <v>540.32965269743534</v>
      </c>
    </row>
    <row r="47" spans="1:20" x14ac:dyDescent="0.2">
      <c r="A47" s="5">
        <v>56</v>
      </c>
      <c r="B47" s="1">
        <f t="shared" si="13"/>
        <v>2.4325353157178964</v>
      </c>
      <c r="C47" s="5">
        <f t="shared" si="14"/>
        <v>53468.286295745398</v>
      </c>
      <c r="D47" s="5">
        <f t="shared" si="15"/>
        <v>50628.164823564497</v>
      </c>
      <c r="E47" s="5">
        <f t="shared" si="1"/>
        <v>41128.164823564497</v>
      </c>
      <c r="F47" s="5">
        <f t="shared" si="2"/>
        <v>14392.912297250259</v>
      </c>
      <c r="G47" s="5">
        <f t="shared" si="3"/>
        <v>36235.252526314238</v>
      </c>
      <c r="H47" s="22">
        <f t="shared" si="16"/>
        <v>24320.970362181244</v>
      </c>
      <c r="I47" s="5">
        <f t="shared" si="17"/>
        <v>58732.150111331888</v>
      </c>
      <c r="J47" s="25">
        <f t="shared" si="5"/>
        <v>0.18376625430698187</v>
      </c>
      <c r="L47" s="22">
        <f t="shared" si="18"/>
        <v>74069.33525913686</v>
      </c>
      <c r="M47" s="5">
        <f>scrimecost*Meta!O44</f>
        <v>4338.03</v>
      </c>
      <c r="N47" s="5">
        <f>L47-Grade13!L47</f>
        <v>8239.3858353025862</v>
      </c>
      <c r="O47" s="5">
        <f>Grade13!M47-M47</f>
        <v>33.809999999999491</v>
      </c>
      <c r="P47" s="22">
        <f t="shared" si="12"/>
        <v>60.496332898736739</v>
      </c>
      <c r="Q47" s="22"/>
      <c r="R47" s="22"/>
      <c r="S47" s="22">
        <f t="shared" si="19"/>
        <v>2352.3410374125237</v>
      </c>
      <c r="T47" s="22">
        <f t="shared" si="20"/>
        <v>531.94434888448916</v>
      </c>
    </row>
    <row r="48" spans="1:20" x14ac:dyDescent="0.2">
      <c r="A48" s="5">
        <v>57</v>
      </c>
      <c r="B48" s="1">
        <f t="shared" si="13"/>
        <v>2.4933486986108435</v>
      </c>
      <c r="C48" s="5">
        <f t="shared" si="14"/>
        <v>54804.993453139024</v>
      </c>
      <c r="D48" s="5">
        <f t="shared" si="15"/>
        <v>51864.618944153597</v>
      </c>
      <c r="E48" s="5">
        <f t="shared" si="1"/>
        <v>42364.618944153597</v>
      </c>
      <c r="F48" s="5">
        <f t="shared" si="2"/>
        <v>14920.259979681508</v>
      </c>
      <c r="G48" s="5">
        <f t="shared" si="3"/>
        <v>36944.358964472092</v>
      </c>
      <c r="H48" s="22">
        <f t="shared" si="16"/>
        <v>24928.994621235772</v>
      </c>
      <c r="I48" s="5">
        <f t="shared" si="17"/>
        <v>60003.678989115186</v>
      </c>
      <c r="J48" s="25">
        <f t="shared" si="5"/>
        <v>0.18643424570854275</v>
      </c>
      <c r="L48" s="22">
        <f t="shared" si="18"/>
        <v>75921.068640615253</v>
      </c>
      <c r="M48" s="5">
        <f>scrimecost*Meta!O45</f>
        <v>4338.03</v>
      </c>
      <c r="N48" s="5">
        <f>L48-Grade13!L48</f>
        <v>8445.3704811851348</v>
      </c>
      <c r="O48" s="5">
        <f>Grade13!M48-M48</f>
        <v>33.809999999999491</v>
      </c>
      <c r="P48" s="22">
        <f t="shared" si="12"/>
        <v>62.124861496196573</v>
      </c>
      <c r="Q48" s="22"/>
      <c r="R48" s="22"/>
      <c r="S48" s="22">
        <f t="shared" si="19"/>
        <v>2410.7871858745029</v>
      </c>
      <c r="T48" s="22">
        <f t="shared" si="20"/>
        <v>523.6911310209731</v>
      </c>
    </row>
    <row r="49" spans="1:20" x14ac:dyDescent="0.2">
      <c r="A49" s="5">
        <v>58</v>
      </c>
      <c r="B49" s="1">
        <f t="shared" si="13"/>
        <v>2.555682416076114</v>
      </c>
      <c r="C49" s="5">
        <f t="shared" si="14"/>
        <v>56175.118289467486</v>
      </c>
      <c r="D49" s="5">
        <f t="shared" si="15"/>
        <v>53131.984417757427</v>
      </c>
      <c r="E49" s="5">
        <f t="shared" si="1"/>
        <v>43631.984417757427</v>
      </c>
      <c r="F49" s="5">
        <f t="shared" si="2"/>
        <v>15460.791354173543</v>
      </c>
      <c r="G49" s="5">
        <f t="shared" si="3"/>
        <v>37671.19306358388</v>
      </c>
      <c r="H49" s="22">
        <f t="shared" si="16"/>
        <v>25552.219486766659</v>
      </c>
      <c r="I49" s="5">
        <f t="shared" si="17"/>
        <v>61306.996088843036</v>
      </c>
      <c r="J49" s="25">
        <f t="shared" si="5"/>
        <v>0.18903716414909003</v>
      </c>
      <c r="L49" s="22">
        <f t="shared" si="18"/>
        <v>77819.095356630642</v>
      </c>
      <c r="M49" s="5">
        <f>scrimecost*Meta!O46</f>
        <v>4338.03</v>
      </c>
      <c r="N49" s="5">
        <f>L49-Grade13!L49</f>
        <v>8656.5047432147694</v>
      </c>
      <c r="O49" s="5">
        <f>Grade13!M49-M49</f>
        <v>33.809999999999491</v>
      </c>
      <c r="P49" s="22">
        <f t="shared" si="12"/>
        <v>63.794103308592916</v>
      </c>
      <c r="Q49" s="22"/>
      <c r="R49" s="22"/>
      <c r="S49" s="22">
        <f t="shared" si="19"/>
        <v>2470.6944880480378</v>
      </c>
      <c r="T49" s="22">
        <f t="shared" si="20"/>
        <v>515.56784221725104</v>
      </c>
    </row>
    <row r="50" spans="1:20" x14ac:dyDescent="0.2">
      <c r="A50" s="5">
        <v>59</v>
      </c>
      <c r="B50" s="1">
        <f t="shared" si="13"/>
        <v>2.6195744764780171</v>
      </c>
      <c r="C50" s="5">
        <f t="shared" si="14"/>
        <v>57579.496246704177</v>
      </c>
      <c r="D50" s="5">
        <f t="shared" si="15"/>
        <v>54431.034028201364</v>
      </c>
      <c r="E50" s="5">
        <f t="shared" si="1"/>
        <v>44931.034028201364</v>
      </c>
      <c r="F50" s="5">
        <f t="shared" si="2"/>
        <v>16014.836013027882</v>
      </c>
      <c r="G50" s="5">
        <f t="shared" si="3"/>
        <v>38416.198015173482</v>
      </c>
      <c r="H50" s="22">
        <f t="shared" si="16"/>
        <v>26191.02497393583</v>
      </c>
      <c r="I50" s="5">
        <f t="shared" si="17"/>
        <v>62642.896116064127</v>
      </c>
      <c r="J50" s="25">
        <f t="shared" si="5"/>
        <v>0.19157659677401417</v>
      </c>
      <c r="L50" s="22">
        <f t="shared" si="18"/>
        <v>79764.572740546399</v>
      </c>
      <c r="M50" s="5">
        <f>scrimecost*Meta!O47</f>
        <v>4338.03</v>
      </c>
      <c r="N50" s="5">
        <f>L50-Grade13!L50</f>
        <v>8872.917361795131</v>
      </c>
      <c r="O50" s="5">
        <f>Grade13!M50-M50</f>
        <v>33.809999999999491</v>
      </c>
      <c r="P50" s="22">
        <f t="shared" si="12"/>
        <v>65.505076166299176</v>
      </c>
      <c r="Q50" s="22"/>
      <c r="R50" s="22"/>
      <c r="S50" s="22">
        <f t="shared" si="19"/>
        <v>2532.0994727759075</v>
      </c>
      <c r="T50" s="22">
        <f t="shared" si="20"/>
        <v>507.57236373448404</v>
      </c>
    </row>
    <row r="51" spans="1:20" x14ac:dyDescent="0.2">
      <c r="A51" s="5">
        <v>60</v>
      </c>
      <c r="B51" s="1">
        <f t="shared" si="13"/>
        <v>2.6850638383899672</v>
      </c>
      <c r="C51" s="5">
        <f t="shared" si="14"/>
        <v>59018.983652871771</v>
      </c>
      <c r="D51" s="5">
        <f t="shared" si="15"/>
        <v>55762.559878906388</v>
      </c>
      <c r="E51" s="5">
        <f t="shared" si="1"/>
        <v>46262.559878906388</v>
      </c>
      <c r="F51" s="5">
        <f t="shared" si="2"/>
        <v>16582.731788353572</v>
      </c>
      <c r="G51" s="5">
        <f t="shared" si="3"/>
        <v>39179.828090552815</v>
      </c>
      <c r="H51" s="22">
        <f t="shared" si="16"/>
        <v>26845.800598284222</v>
      </c>
      <c r="I51" s="5">
        <f t="shared" si="17"/>
        <v>64012.193643965722</v>
      </c>
      <c r="J51" s="25">
        <f t="shared" si="5"/>
        <v>0.19405409201784254</v>
      </c>
      <c r="L51" s="22">
        <f t="shared" si="18"/>
        <v>81758.687059060059</v>
      </c>
      <c r="M51" s="5">
        <f>scrimecost*Meta!O48</f>
        <v>2288.4679999999998</v>
      </c>
      <c r="N51" s="5">
        <f>L51-Grade13!L51</f>
        <v>9094.7402958400198</v>
      </c>
      <c r="O51" s="5">
        <f>Grade13!M51-M51</f>
        <v>17.83600000000024</v>
      </c>
      <c r="P51" s="22">
        <f t="shared" si="12"/>
        <v>67.258823345448079</v>
      </c>
      <c r="Q51" s="22"/>
      <c r="R51" s="22"/>
      <c r="S51" s="22">
        <f t="shared" si="19"/>
        <v>2587.1005041219792</v>
      </c>
      <c r="T51" s="22">
        <f t="shared" si="20"/>
        <v>498.1738598584264</v>
      </c>
    </row>
    <row r="52" spans="1:20" x14ac:dyDescent="0.2">
      <c r="A52" s="5">
        <v>61</v>
      </c>
      <c r="B52" s="1">
        <f t="shared" si="13"/>
        <v>2.7521904343497163</v>
      </c>
      <c r="C52" s="5">
        <f t="shared" si="14"/>
        <v>60494.458244193571</v>
      </c>
      <c r="D52" s="5">
        <f t="shared" si="15"/>
        <v>57127.373875879057</v>
      </c>
      <c r="E52" s="5">
        <f t="shared" si="1"/>
        <v>47627.373875879057</v>
      </c>
      <c r="F52" s="5">
        <f t="shared" si="2"/>
        <v>17164.824958062418</v>
      </c>
      <c r="G52" s="5">
        <f t="shared" si="3"/>
        <v>39962.548917816639</v>
      </c>
      <c r="H52" s="22">
        <f t="shared" si="16"/>
        <v>27516.945613241325</v>
      </c>
      <c r="I52" s="5">
        <f t="shared" si="17"/>
        <v>65415.723610064866</v>
      </c>
      <c r="J52" s="25">
        <f t="shared" si="5"/>
        <v>0.19647116054840696</v>
      </c>
      <c r="L52" s="22">
        <f t="shared" si="18"/>
        <v>83802.654235536553</v>
      </c>
      <c r="M52" s="5">
        <f>scrimecost*Meta!O49</f>
        <v>2288.4679999999998</v>
      </c>
      <c r="N52" s="5">
        <f>L52-Grade13!L52</f>
        <v>9322.108803236013</v>
      </c>
      <c r="O52" s="5">
        <f>Grade13!M52-M52</f>
        <v>17.83600000000024</v>
      </c>
      <c r="P52" s="22">
        <f t="shared" si="12"/>
        <v>69.056414204075722</v>
      </c>
      <c r="Q52" s="22"/>
      <c r="R52" s="22"/>
      <c r="S52" s="22">
        <f t="shared" si="19"/>
        <v>2651.6141162016975</v>
      </c>
      <c r="T52" s="22">
        <f t="shared" si="20"/>
        <v>490.48800089137649</v>
      </c>
    </row>
    <row r="53" spans="1:20" x14ac:dyDescent="0.2">
      <c r="A53" s="5">
        <v>62</v>
      </c>
      <c r="B53" s="1">
        <f t="shared" si="13"/>
        <v>2.8209951952084591</v>
      </c>
      <c r="C53" s="5">
        <f t="shared" si="14"/>
        <v>62006.819700298402</v>
      </c>
      <c r="D53" s="5">
        <f t="shared" si="15"/>
        <v>58526.308222776024</v>
      </c>
      <c r="E53" s="5">
        <f t="shared" si="1"/>
        <v>49026.308222776024</v>
      </c>
      <c r="F53" s="5">
        <f t="shared" si="2"/>
        <v>17761.470457013973</v>
      </c>
      <c r="G53" s="5">
        <f t="shared" si="3"/>
        <v>40764.837765762051</v>
      </c>
      <c r="H53" s="22">
        <f t="shared" si="16"/>
        <v>28204.86925357236</v>
      </c>
      <c r="I53" s="5">
        <f t="shared" si="17"/>
        <v>66854.341825316485</v>
      </c>
      <c r="J53" s="25">
        <f t="shared" si="5"/>
        <v>0.19882927618798188</v>
      </c>
      <c r="L53" s="22">
        <f t="shared" si="18"/>
        <v>85897.720591424964</v>
      </c>
      <c r="M53" s="5">
        <f>scrimecost*Meta!O50</f>
        <v>2288.4679999999998</v>
      </c>
      <c r="N53" s="5">
        <f>L53-Grade13!L53</f>
        <v>9555.1615233168995</v>
      </c>
      <c r="O53" s="5">
        <f>Grade13!M53-M53</f>
        <v>17.83600000000024</v>
      </c>
      <c r="P53" s="22">
        <f t="shared" si="12"/>
        <v>70.898944834169043</v>
      </c>
      <c r="Q53" s="22"/>
      <c r="R53" s="22"/>
      <c r="S53" s="22">
        <f t="shared" si="19"/>
        <v>2717.7405685834069</v>
      </c>
      <c r="T53" s="22">
        <f t="shared" si="20"/>
        <v>482.92144611155732</v>
      </c>
    </row>
    <row r="54" spans="1:20" x14ac:dyDescent="0.2">
      <c r="A54" s="5">
        <v>63</v>
      </c>
      <c r="B54" s="1">
        <f t="shared" si="13"/>
        <v>2.8915200750886707</v>
      </c>
      <c r="C54" s="5">
        <f t="shared" si="14"/>
        <v>63556.990192805868</v>
      </c>
      <c r="D54" s="5">
        <f t="shared" si="15"/>
        <v>59960.215928345431</v>
      </c>
      <c r="E54" s="5">
        <f t="shared" si="1"/>
        <v>50460.215928345431</v>
      </c>
      <c r="F54" s="5">
        <f t="shared" si="2"/>
        <v>18373.032093439328</v>
      </c>
      <c r="G54" s="5">
        <f t="shared" si="3"/>
        <v>41587.1838349061</v>
      </c>
      <c r="H54" s="22">
        <f t="shared" si="16"/>
        <v>28909.99098491167</v>
      </c>
      <c r="I54" s="5">
        <f t="shared" si="17"/>
        <v>68328.925495949399</v>
      </c>
      <c r="J54" s="25">
        <f t="shared" si="5"/>
        <v>0.20112987681195751</v>
      </c>
      <c r="L54" s="22">
        <f t="shared" si="18"/>
        <v>88045.163606210597</v>
      </c>
      <c r="M54" s="5">
        <f>scrimecost*Meta!O51</f>
        <v>2288.4679999999998</v>
      </c>
      <c r="N54" s="5">
        <f>L54-Grade13!L54</f>
        <v>9794.0405613998591</v>
      </c>
      <c r="O54" s="5">
        <f>Grade13!M54-M54</f>
        <v>17.83600000000024</v>
      </c>
      <c r="P54" s="22">
        <f t="shared" si="12"/>
        <v>72.787538730014717</v>
      </c>
      <c r="Q54" s="22"/>
      <c r="R54" s="22"/>
      <c r="S54" s="22">
        <f t="shared" si="19"/>
        <v>2785.5201822746731</v>
      </c>
      <c r="T54" s="22">
        <f t="shared" si="20"/>
        <v>475.4723151240039</v>
      </c>
    </row>
    <row r="55" spans="1:20" x14ac:dyDescent="0.2">
      <c r="A55" s="5">
        <v>64</v>
      </c>
      <c r="B55" s="1">
        <f t="shared" si="13"/>
        <v>2.9638080769658868</v>
      </c>
      <c r="C55" s="5">
        <f t="shared" si="14"/>
        <v>65145.914947625999</v>
      </c>
      <c r="D55" s="5">
        <f t="shared" si="15"/>
        <v>61429.971326554049</v>
      </c>
      <c r="E55" s="5">
        <f t="shared" si="1"/>
        <v>51929.971326554049</v>
      </c>
      <c r="F55" s="5">
        <f t="shared" si="2"/>
        <v>18999.882770775301</v>
      </c>
      <c r="G55" s="5">
        <f t="shared" si="3"/>
        <v>42430.088555778748</v>
      </c>
      <c r="H55" s="22">
        <f t="shared" si="16"/>
        <v>29632.740759534452</v>
      </c>
      <c r="I55" s="5">
        <f t="shared" si="17"/>
        <v>69840.373758348112</v>
      </c>
      <c r="J55" s="25">
        <f t="shared" si="5"/>
        <v>0.20337436522559213</v>
      </c>
      <c r="L55" s="22">
        <f t="shared" si="18"/>
        <v>90246.292696365825</v>
      </c>
      <c r="M55" s="5">
        <f>scrimecost*Meta!O52</f>
        <v>2288.4679999999998</v>
      </c>
      <c r="N55" s="5">
        <f>L55-Grade13!L55</f>
        <v>10038.891575434798</v>
      </c>
      <c r="O55" s="5">
        <f>Grade13!M55-M55</f>
        <v>17.83600000000024</v>
      </c>
      <c r="P55" s="22">
        <f t="shared" si="12"/>
        <v>74.723347473256467</v>
      </c>
      <c r="Q55" s="22"/>
      <c r="R55" s="22"/>
      <c r="S55" s="22">
        <f t="shared" si="19"/>
        <v>2854.9942863081947</v>
      </c>
      <c r="T55" s="22">
        <f t="shared" si="20"/>
        <v>468.13875828204158</v>
      </c>
    </row>
    <row r="56" spans="1:20" x14ac:dyDescent="0.2">
      <c r="A56" s="5">
        <v>65</v>
      </c>
      <c r="B56" s="1">
        <f t="shared" si="13"/>
        <v>3.0379032788900342</v>
      </c>
      <c r="C56" s="5">
        <f t="shared" si="14"/>
        <v>66774.562821316649</v>
      </c>
      <c r="D56" s="5">
        <f t="shared" si="15"/>
        <v>62936.470609717901</v>
      </c>
      <c r="E56" s="5">
        <f t="shared" si="1"/>
        <v>53436.470609717901</v>
      </c>
      <c r="F56" s="5">
        <f t="shared" si="2"/>
        <v>19642.404715044686</v>
      </c>
      <c r="G56" s="5">
        <f t="shared" si="3"/>
        <v>43294.065894673215</v>
      </c>
      <c r="H56" s="22">
        <f t="shared" si="16"/>
        <v>30373.559278522815</v>
      </c>
      <c r="I56" s="5">
        <f t="shared" si="17"/>
        <v>71389.608227306817</v>
      </c>
      <c r="J56" s="25">
        <f t="shared" si="5"/>
        <v>0.2055641100193821</v>
      </c>
      <c r="L56" s="22">
        <f t="shared" si="18"/>
        <v>92502.450013774986</v>
      </c>
      <c r="M56" s="5">
        <f>scrimecost*Meta!O53</f>
        <v>691.57</v>
      </c>
      <c r="N56" s="5">
        <f>L56-Grade13!L56</f>
        <v>10289.863864820712</v>
      </c>
      <c r="O56" s="5">
        <f>Grade13!M56-M56</f>
        <v>5.3899999999999864</v>
      </c>
      <c r="P56" s="22">
        <f t="shared" si="12"/>
        <v>76.707551435079338</v>
      </c>
      <c r="Q56" s="22"/>
      <c r="R56" s="22"/>
      <c r="S56" s="22">
        <f t="shared" si="19"/>
        <v>2920.0195809425827</v>
      </c>
      <c r="T56" s="22">
        <f t="shared" si="20"/>
        <v>459.94462637502318</v>
      </c>
    </row>
    <row r="57" spans="1:20" x14ac:dyDescent="0.2">
      <c r="A57" s="5">
        <v>66</v>
      </c>
      <c r="C57" s="5"/>
      <c r="H57" s="21"/>
      <c r="I57" s="5"/>
      <c r="M57" s="5">
        <f>scrimecost*Meta!O54</f>
        <v>691.57</v>
      </c>
      <c r="N57" s="5">
        <f>L57-Grade13!L57</f>
        <v>0</v>
      </c>
      <c r="O57" s="5">
        <f>Grade13!M57-M57</f>
        <v>5.3899999999999864</v>
      </c>
      <c r="Q57" s="22"/>
      <c r="R57" s="22"/>
      <c r="S57" s="22">
        <f t="shared" si="19"/>
        <v>2.6788299999999934</v>
      </c>
      <c r="T57" s="22">
        <f t="shared" si="20"/>
        <v>0.40533617936105354</v>
      </c>
    </row>
    <row r="58" spans="1:20" x14ac:dyDescent="0.2">
      <c r="A58" s="5">
        <v>67</v>
      </c>
      <c r="C58" s="5"/>
      <c r="H58" s="21"/>
      <c r="I58" s="5"/>
      <c r="M58" s="5">
        <f>scrimecost*Meta!O55</f>
        <v>691.57</v>
      </c>
      <c r="N58" s="5">
        <f>L58-Grade13!L58</f>
        <v>0</v>
      </c>
      <c r="O58" s="5">
        <f>Grade13!M58-M58</f>
        <v>5.3899999999999864</v>
      </c>
      <c r="Q58" s="22"/>
      <c r="R58" s="22"/>
      <c r="S58" s="22">
        <f t="shared" si="19"/>
        <v>2.6788299999999934</v>
      </c>
      <c r="T58" s="22">
        <f t="shared" si="20"/>
        <v>0.38937296990446041</v>
      </c>
    </row>
    <row r="59" spans="1:20" x14ac:dyDescent="0.2">
      <c r="A59" s="5">
        <v>68</v>
      </c>
      <c r="H59" s="21"/>
      <c r="I59" s="5"/>
      <c r="M59" s="5">
        <f>scrimecost*Meta!O56</f>
        <v>691.57</v>
      </c>
      <c r="N59" s="5">
        <f>L59-Grade13!L59</f>
        <v>0</v>
      </c>
      <c r="O59" s="5">
        <f>Grade13!M59-M59</f>
        <v>5.3899999999999864</v>
      </c>
      <c r="Q59" s="22"/>
      <c r="R59" s="22"/>
      <c r="S59" s="22">
        <f t="shared" si="19"/>
        <v>2.6788299999999934</v>
      </c>
      <c r="T59" s="22">
        <f t="shared" si="20"/>
        <v>0.37403843380378815</v>
      </c>
    </row>
    <row r="60" spans="1:20" x14ac:dyDescent="0.2">
      <c r="A60" s="5">
        <v>69</v>
      </c>
      <c r="H60" s="21"/>
      <c r="I60" s="5"/>
      <c r="M60" s="5">
        <f>scrimecost*Meta!O57</f>
        <v>691.57</v>
      </c>
      <c r="N60" s="5">
        <f>L60-Grade13!L60</f>
        <v>0</v>
      </c>
      <c r="O60" s="5">
        <f>Grade13!M60-M60</f>
        <v>5.3899999999999864</v>
      </c>
      <c r="Q60" s="22"/>
      <c r="R60" s="22"/>
      <c r="S60" s="22">
        <f t="shared" si="19"/>
        <v>2.6788299999999934</v>
      </c>
      <c r="T60" s="22">
        <f t="shared" si="20"/>
        <v>0.35930781224161218</v>
      </c>
    </row>
    <row r="61" spans="1:20" x14ac:dyDescent="0.2">
      <c r="A61" s="5">
        <v>70</v>
      </c>
      <c r="H61" s="21"/>
      <c r="I61" s="5"/>
      <c r="M61" s="5">
        <f>scrimecost*Meta!O58</f>
        <v>691.57</v>
      </c>
      <c r="N61" s="5">
        <f>L61-Grade13!L61</f>
        <v>0</v>
      </c>
      <c r="O61" s="5">
        <f>Grade13!M61-M61</f>
        <v>5.3899999999999864</v>
      </c>
      <c r="Q61" s="22"/>
      <c r="R61" s="22"/>
      <c r="S61" s="22">
        <f t="shared" si="19"/>
        <v>2.6788299999999934</v>
      </c>
      <c r="T61" s="22">
        <f t="shared" si="20"/>
        <v>0.34515732146813988</v>
      </c>
    </row>
    <row r="62" spans="1:20" x14ac:dyDescent="0.2">
      <c r="A62" s="5">
        <v>71</v>
      </c>
      <c r="H62" s="21"/>
      <c r="I62" s="5"/>
      <c r="M62" s="5">
        <f>scrimecost*Meta!O59</f>
        <v>691.57</v>
      </c>
      <c r="N62" s="5">
        <f>L62-Grade13!L62</f>
        <v>0</v>
      </c>
      <c r="O62" s="5">
        <f>Grade13!M62-M62</f>
        <v>5.3899999999999864</v>
      </c>
      <c r="Q62" s="22"/>
      <c r="R62" s="22"/>
      <c r="S62" s="22">
        <f t="shared" si="19"/>
        <v>2.6788299999999934</v>
      </c>
      <c r="T62" s="22">
        <f t="shared" si="20"/>
        <v>0.33156411440047107</v>
      </c>
    </row>
    <row r="63" spans="1:20" x14ac:dyDescent="0.2">
      <c r="A63" s="5">
        <v>72</v>
      </c>
      <c r="H63" s="21"/>
      <c r="M63" s="5">
        <f>scrimecost*Meta!O60</f>
        <v>691.57</v>
      </c>
      <c r="N63" s="5">
        <f>L63-Grade13!L63</f>
        <v>0</v>
      </c>
      <c r="O63" s="5">
        <f>Grade13!M63-M63</f>
        <v>5.3899999999999864</v>
      </c>
      <c r="Q63" s="22"/>
      <c r="R63" s="22"/>
      <c r="S63" s="22">
        <f t="shared" si="19"/>
        <v>2.6788299999999934</v>
      </c>
      <c r="T63" s="22">
        <f t="shared" si="20"/>
        <v>0.31850624373418152</v>
      </c>
    </row>
    <row r="64" spans="1:20" x14ac:dyDescent="0.2">
      <c r="A64" s="5">
        <v>73</v>
      </c>
      <c r="H64" s="21"/>
      <c r="M64" s="5">
        <f>scrimecost*Meta!O61</f>
        <v>691.57</v>
      </c>
      <c r="N64" s="5">
        <f>L64-Grade13!L64</f>
        <v>0</v>
      </c>
      <c r="O64" s="5">
        <f>Grade13!M64-M64</f>
        <v>5.3899999999999864</v>
      </c>
      <c r="Q64" s="22"/>
      <c r="R64" s="22"/>
      <c r="S64" s="22">
        <f t="shared" si="19"/>
        <v>2.6788299999999934</v>
      </c>
      <c r="T64" s="22">
        <f t="shared" si="20"/>
        <v>0.30596262650767053</v>
      </c>
    </row>
    <row r="65" spans="1:20" x14ac:dyDescent="0.2">
      <c r="A65" s="5">
        <v>74</v>
      </c>
      <c r="H65" s="21"/>
      <c r="M65" s="5">
        <f>scrimecost*Meta!O62</f>
        <v>691.57</v>
      </c>
      <c r="N65" s="5">
        <f>L65-Grade13!L65</f>
        <v>0</v>
      </c>
      <c r="O65" s="5">
        <f>Grade13!M65-M65</f>
        <v>5.3899999999999864</v>
      </c>
      <c r="Q65" s="22"/>
      <c r="R65" s="22"/>
      <c r="S65" s="22">
        <f t="shared" si="19"/>
        <v>2.6788299999999934</v>
      </c>
      <c r="T65" s="22">
        <f t="shared" si="20"/>
        <v>0.29391301006205639</v>
      </c>
    </row>
    <row r="66" spans="1:20" x14ac:dyDescent="0.2">
      <c r="A66" s="5">
        <v>75</v>
      </c>
      <c r="H66" s="21"/>
      <c r="M66" s="5">
        <f>scrimecost*Meta!O63</f>
        <v>691.57</v>
      </c>
      <c r="N66" s="5">
        <f>L66-Grade13!L66</f>
        <v>0</v>
      </c>
      <c r="O66" s="5">
        <f>Grade13!M66-M66</f>
        <v>5.3899999999999864</v>
      </c>
      <c r="Q66" s="22"/>
      <c r="R66" s="22"/>
      <c r="S66" s="22">
        <f t="shared" si="19"/>
        <v>2.6788299999999934</v>
      </c>
      <c r="T66" s="22">
        <f t="shared" si="20"/>
        <v>0.28233793934166274</v>
      </c>
    </row>
    <row r="67" spans="1:20" x14ac:dyDescent="0.2">
      <c r="A67" s="5">
        <v>76</v>
      </c>
      <c r="H67" s="21"/>
      <c r="M67" s="5">
        <f>scrimecost*Meta!O64</f>
        <v>691.57</v>
      </c>
      <c r="N67" s="5">
        <f>L67-Grade13!L67</f>
        <v>0</v>
      </c>
      <c r="O67" s="5">
        <f>Grade13!M67-M67</f>
        <v>5.3899999999999864</v>
      </c>
      <c r="Q67" s="22"/>
      <c r="R67" s="22"/>
      <c r="S67" s="22">
        <f t="shared" si="19"/>
        <v>2.6788299999999934</v>
      </c>
      <c r="T67" s="22">
        <f t="shared" si="20"/>
        <v>0.27121872548229681</v>
      </c>
    </row>
    <row r="68" spans="1:20" x14ac:dyDescent="0.2">
      <c r="A68" s="5">
        <v>77</v>
      </c>
      <c r="H68" s="21"/>
      <c r="M68" s="5">
        <f>scrimecost*Meta!O65</f>
        <v>691.57</v>
      </c>
      <c r="N68" s="5">
        <f>L68-Grade13!L68</f>
        <v>0</v>
      </c>
      <c r="O68" s="5">
        <f>Grade13!M68-M68</f>
        <v>5.3899999999999864</v>
      </c>
      <c r="Q68" s="22"/>
      <c r="R68" s="22"/>
      <c r="S68" s="22">
        <f t="shared" si="19"/>
        <v>2.6788299999999934</v>
      </c>
      <c r="T68" s="22">
        <f t="shared" si="20"/>
        <v>0.26053741563660543</v>
      </c>
    </row>
    <row r="69" spans="1:20" x14ac:dyDescent="0.2">
      <c r="A69" s="5">
        <v>78</v>
      </c>
      <c r="H69" s="21"/>
      <c r="M69" s="5">
        <f>scrimecost*Meta!O66</f>
        <v>691.57</v>
      </c>
      <c r="N69" s="5">
        <f>L69-Grade13!L69</f>
        <v>0</v>
      </c>
      <c r="O69" s="5">
        <f>Grade13!M69-M69</f>
        <v>5.3899999999999864</v>
      </c>
      <c r="Q69" s="22"/>
      <c r="R69" s="22"/>
      <c r="S69" s="22">
        <f t="shared" si="19"/>
        <v>2.6788299999999934</v>
      </c>
      <c r="T69" s="22">
        <f t="shared" si="20"/>
        <v>0.25027676398778731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2.934922249675509E-9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272</vt:i4>
      </vt:variant>
    </vt:vector>
  </HeadingPairs>
  <TitlesOfParts>
    <vt:vector size="285" baseType="lpstr">
      <vt:lpstr>Meta</vt:lpstr>
      <vt:lpstr>Output</vt:lpstr>
      <vt:lpstr>Grade8</vt:lpstr>
      <vt:lpstr>Grade9</vt:lpstr>
      <vt:lpstr>Grade10</vt:lpstr>
      <vt:lpstr>Grade11</vt:lpstr>
      <vt:lpstr>Grade12</vt:lpstr>
      <vt:lpstr>Grade13</vt:lpstr>
      <vt:lpstr>Grade14</vt:lpstr>
      <vt:lpstr>Grade15</vt:lpstr>
      <vt:lpstr>Grade16</vt:lpstr>
      <vt:lpstr>Grade17</vt:lpstr>
      <vt:lpstr>Grade18</vt:lpstr>
      <vt:lpstr>Meta!_edn1</vt:lpstr>
      <vt:lpstr>Output!_edn1</vt:lpstr>
      <vt:lpstr>Meta!_ednref1</vt:lpstr>
      <vt:lpstr>Output!_ednref1</vt:lpstr>
      <vt:lpstr>Meta!baseincome</vt:lpstr>
      <vt:lpstr>Grade10!benefits</vt:lpstr>
      <vt:lpstr>Grade11!benefits</vt:lpstr>
      <vt:lpstr>Grade12!benefits</vt:lpstr>
      <vt:lpstr>Grade13!benefits</vt:lpstr>
      <vt:lpstr>Grade14!benefits</vt:lpstr>
      <vt:lpstr>Grade15!benefits</vt:lpstr>
      <vt:lpstr>Grade16!benefits</vt:lpstr>
      <vt:lpstr>Grade17!benefits</vt:lpstr>
      <vt:lpstr>Grade18!benefits</vt:lpstr>
      <vt:lpstr>Grade9!benefits</vt:lpstr>
      <vt:lpstr>benefits</vt:lpstr>
      <vt:lpstr>Grade10!benrat</vt:lpstr>
      <vt:lpstr>Grade11!benrat</vt:lpstr>
      <vt:lpstr>Grade12!benrat</vt:lpstr>
      <vt:lpstr>Grade13!benrat</vt:lpstr>
      <vt:lpstr>Grade14!benrat</vt:lpstr>
      <vt:lpstr>Grade15!benrat</vt:lpstr>
      <vt:lpstr>Grade16!benrat</vt:lpstr>
      <vt:lpstr>Grade17!benrat</vt:lpstr>
      <vt:lpstr>Grade18!benrat</vt:lpstr>
      <vt:lpstr>Grade9!benrat</vt:lpstr>
      <vt:lpstr>benrat</vt:lpstr>
      <vt:lpstr>coltuition</vt:lpstr>
      <vt:lpstr>Grade10!completionprob</vt:lpstr>
      <vt:lpstr>Grade11!completionprob</vt:lpstr>
      <vt:lpstr>Grade12!completionprob</vt:lpstr>
      <vt:lpstr>Grade13!completionprob</vt:lpstr>
      <vt:lpstr>Grade14!completionprob</vt:lpstr>
      <vt:lpstr>Grade15!completionprob</vt:lpstr>
      <vt:lpstr>Grade16!completionprob</vt:lpstr>
      <vt:lpstr>Grade17!completionprob</vt:lpstr>
      <vt:lpstr>Grade18!completionprob</vt:lpstr>
      <vt:lpstr>completionprob</vt:lpstr>
      <vt:lpstr>Grade10!comprat</vt:lpstr>
      <vt:lpstr>Grade11!comprat</vt:lpstr>
      <vt:lpstr>Grade12!comprat</vt:lpstr>
      <vt:lpstr>Grade13!comprat</vt:lpstr>
      <vt:lpstr>Grade14!comprat</vt:lpstr>
      <vt:lpstr>Grade15!comprat</vt:lpstr>
      <vt:lpstr>Grade16!comprat</vt:lpstr>
      <vt:lpstr>Grade17!comprat</vt:lpstr>
      <vt:lpstr>Grade18!comprat</vt:lpstr>
      <vt:lpstr>Grade9!comprat</vt:lpstr>
      <vt:lpstr>comprat</vt:lpstr>
      <vt:lpstr>experiencepremium</vt:lpstr>
      <vt:lpstr>Grade10!expnorm</vt:lpstr>
      <vt:lpstr>Grade11!expnorm</vt:lpstr>
      <vt:lpstr>Grade12!expnorm</vt:lpstr>
      <vt:lpstr>Grade13!expnorm</vt:lpstr>
      <vt:lpstr>Grade14!expnorm</vt:lpstr>
      <vt:lpstr>Grade15!expnorm</vt:lpstr>
      <vt:lpstr>Grade16!expnorm</vt:lpstr>
      <vt:lpstr>Grade17!expnorm</vt:lpstr>
      <vt:lpstr>Grade18!expnorm</vt:lpstr>
      <vt:lpstr>Grade9!expnorm</vt:lpstr>
      <vt:lpstr>expnorm</vt:lpstr>
      <vt:lpstr>Grade10!expnorm8</vt:lpstr>
      <vt:lpstr>Grade11!expnorm8</vt:lpstr>
      <vt:lpstr>Grade12!expnorm8</vt:lpstr>
      <vt:lpstr>Grade13!expnorm8</vt:lpstr>
      <vt:lpstr>Grade14!expnorm8</vt:lpstr>
      <vt:lpstr>Grade15!expnorm8</vt:lpstr>
      <vt:lpstr>Grade16!expnorm8</vt:lpstr>
      <vt:lpstr>Grade17!expnorm8</vt:lpstr>
      <vt:lpstr>Grade18!expnorm8</vt:lpstr>
      <vt:lpstr>Grade9!expnorm8</vt:lpstr>
      <vt:lpstr>expnorm8</vt:lpstr>
      <vt:lpstr>feel</vt:lpstr>
      <vt:lpstr>hstuition</vt:lpstr>
      <vt:lpstr>Meta!incomeindex</vt:lpstr>
      <vt:lpstr>Grade10!initialbenrat</vt:lpstr>
      <vt:lpstr>Grade11!initialbenrat</vt:lpstr>
      <vt:lpstr>Grade12!initialbenrat</vt:lpstr>
      <vt:lpstr>Grade13!initialbenrat</vt:lpstr>
      <vt:lpstr>Grade14!initialbenrat</vt:lpstr>
      <vt:lpstr>Grade15!initialbenrat</vt:lpstr>
      <vt:lpstr>Grade16!initialbenrat</vt:lpstr>
      <vt:lpstr>Grade17!initialbenrat</vt:lpstr>
      <vt:lpstr>Grade18!initialbenrat</vt:lpstr>
      <vt:lpstr>Grade9!initialbenrat</vt:lpstr>
      <vt:lpstr>initialbenrat</vt:lpstr>
      <vt:lpstr>Grade10!initialpart</vt:lpstr>
      <vt:lpstr>Grade11!initialpart</vt:lpstr>
      <vt:lpstr>Grade12!initialpart</vt:lpstr>
      <vt:lpstr>Grade13!initialpart</vt:lpstr>
      <vt:lpstr>Grade14!initialpart</vt:lpstr>
      <vt:lpstr>Grade15!initialpart</vt:lpstr>
      <vt:lpstr>Grade16!initialpart</vt:lpstr>
      <vt:lpstr>Grade17!initialpart</vt:lpstr>
      <vt:lpstr>Grade18!initialpart</vt:lpstr>
      <vt:lpstr>initialpart</vt:lpstr>
      <vt:lpstr>Grade10!initialspart</vt:lpstr>
      <vt:lpstr>Grade11!initialspart</vt:lpstr>
      <vt:lpstr>Grade12!initialspart</vt:lpstr>
      <vt:lpstr>Grade13!initialspart</vt:lpstr>
      <vt:lpstr>Grade14!initialspart</vt:lpstr>
      <vt:lpstr>Grade15!initialspart</vt:lpstr>
      <vt:lpstr>Grade16!initialspart</vt:lpstr>
      <vt:lpstr>Grade17!initialspart</vt:lpstr>
      <vt:lpstr>Grade18!initialspart</vt:lpstr>
      <vt:lpstr>initialspart</vt:lpstr>
      <vt:lpstr>Grade10!initialunempprob</vt:lpstr>
      <vt:lpstr>Grade11!initialunempprob</vt:lpstr>
      <vt:lpstr>Grade12!initialunempprob</vt:lpstr>
      <vt:lpstr>Grade13!initialunempprob</vt:lpstr>
      <vt:lpstr>Grade14!initialunempprob</vt:lpstr>
      <vt:lpstr>Grade15!initialunempprob</vt:lpstr>
      <vt:lpstr>Grade16!initialunempprob</vt:lpstr>
      <vt:lpstr>Grade17!initialunempprob</vt:lpstr>
      <vt:lpstr>Grade18!initialunempprob</vt:lpstr>
      <vt:lpstr>Grade9!initialunempprob</vt:lpstr>
      <vt:lpstr>initialunempprob</vt:lpstr>
      <vt:lpstr>nptrans</vt:lpstr>
      <vt:lpstr>part10</vt:lpstr>
      <vt:lpstr>part11</vt:lpstr>
      <vt:lpstr>part12</vt:lpstr>
      <vt:lpstr>part13</vt:lpstr>
      <vt:lpstr>part14</vt:lpstr>
      <vt:lpstr>part15</vt:lpstr>
      <vt:lpstr>part16</vt:lpstr>
      <vt:lpstr>part17</vt:lpstr>
      <vt:lpstr>part18</vt:lpstr>
      <vt:lpstr>part8</vt:lpstr>
      <vt:lpstr>part9</vt:lpstr>
      <vt:lpstr>Grade10!pretaxincome</vt:lpstr>
      <vt:lpstr>Grade11!pretaxincome</vt:lpstr>
      <vt:lpstr>Grade12!pretaxincome</vt:lpstr>
      <vt:lpstr>Grade13!pretaxincome</vt:lpstr>
      <vt:lpstr>Grade14!pretaxincome</vt:lpstr>
      <vt:lpstr>Grade15!pretaxincome</vt:lpstr>
      <vt:lpstr>Grade16!pretaxincome</vt:lpstr>
      <vt:lpstr>Grade17!pretaxincome</vt:lpstr>
      <vt:lpstr>Grade18!pretaxincome</vt:lpstr>
      <vt:lpstr>Grade9!pretaxincome</vt:lpstr>
      <vt:lpstr>pretaxincome</vt:lpstr>
      <vt:lpstr>Grade10!pretaxincome8</vt:lpstr>
      <vt:lpstr>Grade11!pretaxincome8</vt:lpstr>
      <vt:lpstr>Grade12!pretaxincome8</vt:lpstr>
      <vt:lpstr>Grade13!pretaxincome8</vt:lpstr>
      <vt:lpstr>Grade14!pretaxincome8</vt:lpstr>
      <vt:lpstr>Grade15!pretaxincome8</vt:lpstr>
      <vt:lpstr>Grade16!pretaxincome8</vt:lpstr>
      <vt:lpstr>Grade17!pretaxincome8</vt:lpstr>
      <vt:lpstr>Grade18!pretaxincome8</vt:lpstr>
      <vt:lpstr>Grade9!pretaxincome8</vt:lpstr>
      <vt:lpstr>pretaxincome8</vt:lpstr>
      <vt:lpstr>Grade10!pretaxincomey8</vt:lpstr>
      <vt:lpstr>Grade11!pretaxincomey8</vt:lpstr>
      <vt:lpstr>Grade12!pretaxincomey8</vt:lpstr>
      <vt:lpstr>Grade13!pretaxincomey8</vt:lpstr>
      <vt:lpstr>Grade14!pretaxincomey8</vt:lpstr>
      <vt:lpstr>Grade15!pretaxincomey8</vt:lpstr>
      <vt:lpstr>Grade16!pretaxincomey8</vt:lpstr>
      <vt:lpstr>Grade17!pretaxincomey8</vt:lpstr>
      <vt:lpstr>Grade18!pretaxincomey8</vt:lpstr>
      <vt:lpstr>Grade9!pretaxincomey8</vt:lpstr>
      <vt:lpstr>pretaxincomey8</vt:lpstr>
      <vt:lpstr>returntoexperience</vt:lpstr>
      <vt:lpstr>Grade10!sbenefits</vt:lpstr>
      <vt:lpstr>Grade11!sbenefits</vt:lpstr>
      <vt:lpstr>Grade12!sbenefits</vt:lpstr>
      <vt:lpstr>Grade13!sbenefits</vt:lpstr>
      <vt:lpstr>Grade14!sbenefits</vt:lpstr>
      <vt:lpstr>Grade15!sbenefits</vt:lpstr>
      <vt:lpstr>Grade16!sbenefits</vt:lpstr>
      <vt:lpstr>Grade17!sbenefits</vt:lpstr>
      <vt:lpstr>Grade18!sbenefits</vt:lpstr>
      <vt:lpstr>Grade9!sbenefits</vt:lpstr>
      <vt:lpstr>sbenefits</vt:lpstr>
      <vt:lpstr>Grade10!scrimecost</vt:lpstr>
      <vt:lpstr>Grade11!scrimecost</vt:lpstr>
      <vt:lpstr>Grade12!scrimecost</vt:lpstr>
      <vt:lpstr>Grade13!scrimecost</vt:lpstr>
      <vt:lpstr>Grade14!scrimecost</vt:lpstr>
      <vt:lpstr>Grade15!scrimecost</vt:lpstr>
      <vt:lpstr>Grade16!scrimecost</vt:lpstr>
      <vt:lpstr>Grade17!scrimecost</vt:lpstr>
      <vt:lpstr>Grade18!scrimecost</vt:lpstr>
      <vt:lpstr>Grade9!scrimecost</vt:lpstr>
      <vt:lpstr>scrimecost</vt:lpstr>
      <vt:lpstr>Grade10!sincome</vt:lpstr>
      <vt:lpstr>Grade11!sincome</vt:lpstr>
      <vt:lpstr>Grade12!sincome</vt:lpstr>
      <vt:lpstr>Grade13!sincome</vt:lpstr>
      <vt:lpstr>Grade14!sincome</vt:lpstr>
      <vt:lpstr>Grade15!sincome</vt:lpstr>
      <vt:lpstr>Grade16!sincome</vt:lpstr>
      <vt:lpstr>Grade17!sincome</vt:lpstr>
      <vt:lpstr>Grade18!sincome</vt:lpstr>
      <vt:lpstr>Grade9!sincome</vt:lpstr>
      <vt:lpstr>sincome</vt:lpstr>
      <vt:lpstr>Grade10!spart</vt:lpstr>
      <vt:lpstr>Grade11!spart</vt:lpstr>
      <vt:lpstr>Grade12!spart</vt:lpstr>
      <vt:lpstr>Grade13!spart</vt:lpstr>
      <vt:lpstr>Grade14!spart</vt:lpstr>
      <vt:lpstr>Grade15!spart</vt:lpstr>
      <vt:lpstr>Grade16!spart</vt:lpstr>
      <vt:lpstr>Grade17!spart</vt:lpstr>
      <vt:lpstr>Grade18!spart</vt:lpstr>
      <vt:lpstr>Grade9!spart</vt:lpstr>
      <vt:lpstr>spart</vt:lpstr>
      <vt:lpstr>Grade10!sreturn</vt:lpstr>
      <vt:lpstr>Grade11!sreturn</vt:lpstr>
      <vt:lpstr>Grade12!sreturn</vt:lpstr>
      <vt:lpstr>Grade13!sreturn</vt:lpstr>
      <vt:lpstr>Grade14!sreturn</vt:lpstr>
      <vt:lpstr>Grade15!sreturn</vt:lpstr>
      <vt:lpstr>Grade16!sreturn</vt:lpstr>
      <vt:lpstr>Grade17!sreturn</vt:lpstr>
      <vt:lpstr>Grade18!sreturn</vt:lpstr>
      <vt:lpstr>sreturn</vt:lpstr>
      <vt:lpstr>Grade10!startage</vt:lpstr>
      <vt:lpstr>Grade11!startage</vt:lpstr>
      <vt:lpstr>Grade12!startage</vt:lpstr>
      <vt:lpstr>Grade13!startage</vt:lpstr>
      <vt:lpstr>Grade14!startage</vt:lpstr>
      <vt:lpstr>Grade15!startage</vt:lpstr>
      <vt:lpstr>Grade16!startage</vt:lpstr>
      <vt:lpstr>Grade17!startage</vt:lpstr>
      <vt:lpstr>Grade18!startage</vt:lpstr>
      <vt:lpstr>Grade9!startage</vt:lpstr>
      <vt:lpstr>startage</vt:lpstr>
      <vt:lpstr>Grade10!sunemp</vt:lpstr>
      <vt:lpstr>Grade11!sunemp</vt:lpstr>
      <vt:lpstr>Grade12!sunemp</vt:lpstr>
      <vt:lpstr>Grade13!sunemp</vt:lpstr>
      <vt:lpstr>Grade14!sunemp</vt:lpstr>
      <vt:lpstr>Grade15!sunemp</vt:lpstr>
      <vt:lpstr>Grade16!sunemp</vt:lpstr>
      <vt:lpstr>Grade17!sunemp</vt:lpstr>
      <vt:lpstr>Grade18!sunemp</vt:lpstr>
      <vt:lpstr>Grade9!sunemp</vt:lpstr>
      <vt:lpstr>sunemp</vt:lpstr>
      <vt:lpstr>Grade10!unempprob</vt:lpstr>
      <vt:lpstr>Grade11!unempprob</vt:lpstr>
      <vt:lpstr>Grade12!unempprob</vt:lpstr>
      <vt:lpstr>Grade13!unempprob</vt:lpstr>
      <vt:lpstr>Grade14!unempprob</vt:lpstr>
      <vt:lpstr>Grade15!unempprob</vt:lpstr>
      <vt:lpstr>Grade16!unempprob</vt:lpstr>
      <vt:lpstr>Grade17!unempprob</vt:lpstr>
      <vt:lpstr>Grade18!unempprob</vt:lpstr>
      <vt:lpstr>Grade9!unempprob</vt:lpstr>
      <vt:lpstr>unempprob</vt:lpstr>
      <vt:lpstr>Grade10!unempprob8</vt:lpstr>
      <vt:lpstr>Grade11!unempprob8</vt:lpstr>
      <vt:lpstr>Grade12!unempprob8</vt:lpstr>
      <vt:lpstr>Grade13!unempprob8</vt:lpstr>
      <vt:lpstr>Grade14!unempprob8</vt:lpstr>
      <vt:lpstr>Grade15!unempprob8</vt:lpstr>
      <vt:lpstr>Grade16!unempprob8</vt:lpstr>
      <vt:lpstr>Grade17!unempprob8</vt:lpstr>
      <vt:lpstr>Grade18!unempprob8</vt:lpstr>
      <vt:lpstr>Grade9!unempprob8</vt:lpstr>
      <vt:lpstr>unempprob8</vt:lpstr>
      <vt:lpstr>Grade10!unempproby8</vt:lpstr>
      <vt:lpstr>Grade11!unempproby8</vt:lpstr>
      <vt:lpstr>Grade12!unempproby8</vt:lpstr>
      <vt:lpstr>Grade13!unempproby8</vt:lpstr>
      <vt:lpstr>Grade14!unempproby8</vt:lpstr>
      <vt:lpstr>Grade15!unempproby8</vt:lpstr>
      <vt:lpstr>Grade16!unempproby8</vt:lpstr>
      <vt:lpstr>Grade17!unempproby8</vt:lpstr>
      <vt:lpstr>Grade18!unempproby8</vt:lpstr>
      <vt:lpstr>Grade9!unempproby8</vt:lpstr>
      <vt:lpstr>unempproby8</vt:lpstr>
    </vt:vector>
  </TitlesOfParts>
  <Company>GMU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bcaplan</dc:creator>
  <cp:lastModifiedBy>root</cp:lastModifiedBy>
  <dcterms:created xsi:type="dcterms:W3CDTF">2014-05-28T17:05:58Z</dcterms:created>
  <dcterms:modified xsi:type="dcterms:W3CDTF">2017-09-08T19:14:05Z</dcterms:modified>
</cp:coreProperties>
</file>