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research\edubook2014oct\social return - cut\"/>
    </mc:Choice>
  </mc:AlternateContent>
  <bookViews>
    <workbookView xWindow="480" yWindow="45" windowWidth="15180" windowHeight="11760"/>
  </bookViews>
  <sheets>
    <sheet name="Meta" sheetId="4" r:id="rId1"/>
    <sheet name="Output" sheetId="50" r:id="rId2"/>
    <sheet name="Grade8" sheetId="1" r:id="rId3"/>
    <sheet name="Grade9" sheetId="52" r:id="rId4"/>
    <sheet name="Grade10" sheetId="53" r:id="rId5"/>
    <sheet name="Grade11" sheetId="54" r:id="rId6"/>
    <sheet name="Grade12" sheetId="55" r:id="rId7"/>
    <sheet name="Grade13" sheetId="56" r:id="rId8"/>
    <sheet name="Grade14" sheetId="57" r:id="rId9"/>
    <sheet name="Grade15" sheetId="58" r:id="rId10"/>
    <sheet name="Grade16" sheetId="59" r:id="rId11"/>
    <sheet name="Grade17" sheetId="60" r:id="rId12"/>
    <sheet name="Grade18" sheetId="61" r:id="rId13"/>
  </sheets>
  <definedNames>
    <definedName name="_edn1" localSheetId="0">Meta!$E$10</definedName>
    <definedName name="_edn1" localSheetId="1">Output!$B$10</definedName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benrat" localSheetId="4">Grade10!$I$2</definedName>
    <definedName name="benrat" localSheetId="5">Grade11!$I$2</definedName>
    <definedName name="benrat" localSheetId="6">Grade12!$I$2</definedName>
    <definedName name="benrat" localSheetId="7">Grade13!$I$2</definedName>
    <definedName name="benrat" localSheetId="8">Grade14!$I$2</definedName>
    <definedName name="benrat" localSheetId="9">Grade15!$I$2</definedName>
    <definedName name="benrat" localSheetId="10">Grade16!$I$2</definedName>
    <definedName name="benrat" localSheetId="11">Grade17!$I$2</definedName>
    <definedName name="benrat" localSheetId="12">Grade18!$I$2</definedName>
    <definedName name="benrat" localSheetId="3">Grade9!$I$2</definedName>
    <definedName name="benrat">Grade8!$I$2</definedName>
    <definedName name="coltuition">Meta!$Q$2</definedName>
    <definedName name="compensationratio">#REF!</definedName>
    <definedName name="completionprob" localSheetId="4">Grade10!$H$2</definedName>
    <definedName name="completionprob" localSheetId="5">Grade11!$H$2</definedName>
    <definedName name="completionprob" localSheetId="6">Grade12!$H$2</definedName>
    <definedName name="completionprob" localSheetId="7">Grade13!$H$2</definedName>
    <definedName name="completionprob" localSheetId="8">Grade14!$H$2</definedName>
    <definedName name="completionprob" localSheetId="9">Grade15!$H$2</definedName>
    <definedName name="completionprob" localSheetId="10">Grade16!$H$2</definedName>
    <definedName name="completionprob" localSheetId="11">Grade17!$H$2</definedName>
    <definedName name="completionprob" localSheetId="12">Grade18!$H$2</definedName>
    <definedName name="completionprob">Grade9!$H$2</definedName>
    <definedName name="comprat" localSheetId="4">Grade10!$I$2</definedName>
    <definedName name="comprat" localSheetId="5">Grade11!$I$2</definedName>
    <definedName name="comprat" localSheetId="6">Grade12!$I$2</definedName>
    <definedName name="comprat" localSheetId="7">Grade13!$I$2</definedName>
    <definedName name="comprat" localSheetId="8">Grade14!$I$2</definedName>
    <definedName name="comprat" localSheetId="9">Grade15!$I$2</definedName>
    <definedName name="comprat" localSheetId="10">Grade16!$I$2</definedName>
    <definedName name="comprat" localSheetId="11">Grade17!$I$2</definedName>
    <definedName name="comprat" localSheetId="12">Grade18!$I$2</definedName>
    <definedName name="comprat" localSheetId="3">Grade9!$I$2</definedName>
    <definedName name="comprat">Grade8!$I$2</definedName>
    <definedName name="experiencepremium" localSheetId="1">Output!#REF!</definedName>
    <definedName name="experiencepremium">Meta!$H$2</definedName>
    <definedName name="expnorm" localSheetId="4">Grade10!$G$2</definedName>
    <definedName name="expnorm" localSheetId="5">Grade11!$G$2</definedName>
    <definedName name="expnorm" localSheetId="6">Grade12!$G$2</definedName>
    <definedName name="expnorm" localSheetId="7">Grade13!$G$2</definedName>
    <definedName name="expnorm" localSheetId="8">Grade14!$G$2</definedName>
    <definedName name="expnorm" localSheetId="9">Grade15!$G$2</definedName>
    <definedName name="expnorm" localSheetId="10">Grade16!$G$2</definedName>
    <definedName name="expnorm" localSheetId="11">Grade17!$G$2</definedName>
    <definedName name="expnorm" localSheetId="12">Grade18!$G$2</definedName>
    <definedName name="expnorm" localSheetId="3">Grade9!$G$2</definedName>
    <definedName name="expnorm">Grade8!$G$2</definedName>
    <definedName name="expnorm8" localSheetId="4">Grade10!$G$2</definedName>
    <definedName name="expnorm8" localSheetId="5">Grade11!$G$2</definedName>
    <definedName name="expnorm8" localSheetId="6">Grade12!$G$2</definedName>
    <definedName name="expnorm8" localSheetId="7">Grade13!$G$2</definedName>
    <definedName name="expnorm8" localSheetId="8">Grade14!$G$2</definedName>
    <definedName name="expnorm8" localSheetId="9">Grade15!$G$2</definedName>
    <definedName name="expnorm8" localSheetId="10">Grade16!$G$2</definedName>
    <definedName name="expnorm8" localSheetId="11">Grade17!$G$2</definedName>
    <definedName name="expnorm8" localSheetId="12">Grade18!$G$2</definedName>
    <definedName name="expnorm8" localSheetId="3">Grade9!$G$2</definedName>
    <definedName name="expnorm8">Grade8!$G$2</definedName>
    <definedName name="feel">Meta!$R$2</definedName>
    <definedName name="hstuition">Meta!$P$2</definedName>
    <definedName name="incomeindex" localSheetId="0">Meta!$E$2</definedName>
    <definedName name="initialbenrat" localSheetId="4">Grade10!$L$2</definedName>
    <definedName name="initialbenrat" localSheetId="5">Grade11!$L$2</definedName>
    <definedName name="initialbenrat" localSheetId="6">Grade12!$L$2</definedName>
    <definedName name="initialbenrat" localSheetId="7">Grade13!$L$2</definedName>
    <definedName name="initialbenrat" localSheetId="8">Grade14!$L$2</definedName>
    <definedName name="initialbenrat" localSheetId="9">Grade15!$L$2</definedName>
    <definedName name="initialbenrat" localSheetId="10">Grade16!$L$2</definedName>
    <definedName name="initialbenrat" localSheetId="11">Grade17!$L$2</definedName>
    <definedName name="initialbenrat" localSheetId="12">Grade18!$L$2</definedName>
    <definedName name="initialbenrat" localSheetId="3">Grade9!$L$2</definedName>
    <definedName name="initialbenrat">Grade8!$L$2</definedName>
    <definedName name="initialcompensationratio">#REF!</definedName>
    <definedName name="initialcomprat">#REF!</definedName>
    <definedName name="initialpart" localSheetId="4">Grade10!$L$2</definedName>
    <definedName name="initialpart" localSheetId="5">Grade11!$L$2</definedName>
    <definedName name="initialpart" localSheetId="6">Grade12!$L$2</definedName>
    <definedName name="initialpart" localSheetId="7">Grade13!$L$2</definedName>
    <definedName name="initialpart" localSheetId="8">Grade14!$L$2</definedName>
    <definedName name="initialpart" localSheetId="9">Grade15!$L$2</definedName>
    <definedName name="initialpart" localSheetId="10">Grade16!$L$2</definedName>
    <definedName name="initialpart" localSheetId="11">Grade17!$L$2</definedName>
    <definedName name="initialpart" localSheetId="12">Grade18!$L$2</definedName>
    <definedName name="initialpart">Grade9!$L$2</definedName>
    <definedName name="initialspart" localSheetId="4">Grade10!$J$2</definedName>
    <definedName name="initialspart" localSheetId="5">Grade11!$J$2</definedName>
    <definedName name="initialspart" localSheetId="6">Grade12!$J$2</definedName>
    <definedName name="initialspart" localSheetId="7">Grade13!$J$2</definedName>
    <definedName name="initialspart" localSheetId="8">Grade14!$J$2</definedName>
    <definedName name="initialspart" localSheetId="9">Grade15!$J$2</definedName>
    <definedName name="initialspart" localSheetId="10">Grade16!$J$2</definedName>
    <definedName name="initialspart" localSheetId="11">Grade17!$J$2</definedName>
    <definedName name="initialspart" localSheetId="12">Grade18!$J$2</definedName>
    <definedName name="initialspart">Grade9!$J$2</definedName>
    <definedName name="initialunempprob" localSheetId="4">Grade10!$K$2</definedName>
    <definedName name="initialunempprob" localSheetId="5">Grade11!$K$2</definedName>
    <definedName name="initialunempprob" localSheetId="6">Grade12!$K$2</definedName>
    <definedName name="initialunempprob" localSheetId="7">Grade13!$K$2</definedName>
    <definedName name="initialunempprob" localSheetId="8">Grade14!$K$2</definedName>
    <definedName name="initialunempprob" localSheetId="9">Grade15!$K$2</definedName>
    <definedName name="initialunempprob" localSheetId="10">Grade16!$K$2</definedName>
    <definedName name="initialunempprob" localSheetId="11">Grade17!$K$2</definedName>
    <definedName name="initialunempprob" localSheetId="12">Grade18!$K$2</definedName>
    <definedName name="initialunempprob" localSheetId="3">Grade9!$K$2</definedName>
    <definedName name="initialunempprob">Grade8!$K$2</definedName>
    <definedName name="nptrans">Meta!$S$2</definedName>
    <definedName name="part10">Meta!$F$4</definedName>
    <definedName name="part11">Meta!$F$5</definedName>
    <definedName name="part12">Meta!$F$6</definedName>
    <definedName name="part13">Meta!$F$7</definedName>
    <definedName name="part14">Meta!$F$8</definedName>
    <definedName name="part15">Meta!$F$9</definedName>
    <definedName name="part16">Meta!$F$10</definedName>
    <definedName name="part17">Meta!$F$11</definedName>
    <definedName name="part18">Meta!$F$12</definedName>
    <definedName name="part8">Meta!$F$2</definedName>
    <definedName name="part9">Meta!$F$3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>#REF!</definedName>
    <definedName name="returntoeducation">#REF!</definedName>
    <definedName name="returntoexperience" localSheetId="1">Output!#REF!</definedName>
    <definedName name="returntoexperience">Meta!$H$2</definedName>
    <definedName name="sbenefits" localSheetId="4">Grade10!$O$2</definedName>
    <definedName name="sbenefits" localSheetId="5">Grade11!$O$2</definedName>
    <definedName name="sbenefits" localSheetId="6">Grade12!$O$2</definedName>
    <definedName name="sbenefits" localSheetId="7">Grade13!$O$2</definedName>
    <definedName name="sbenefits" localSheetId="8">Grade14!$O$2</definedName>
    <definedName name="sbenefits" localSheetId="9">Grade15!$O$2</definedName>
    <definedName name="sbenefits" localSheetId="10">Grade16!$O$2</definedName>
    <definedName name="sbenefits" localSheetId="11">Grade17!$O$2</definedName>
    <definedName name="sbenefits" localSheetId="12">Grade18!$O$2</definedName>
    <definedName name="sbenefits" localSheetId="3">Grade9!$O$2</definedName>
    <definedName name="sbenefits">Grade8!$O$2</definedName>
    <definedName name="scrimecost" localSheetId="4">Grade10!$R$2</definedName>
    <definedName name="scrimecost" localSheetId="5">Grade11!$R$2</definedName>
    <definedName name="scrimecost" localSheetId="6">Grade12!$R$2</definedName>
    <definedName name="scrimecost" localSheetId="7">Grade13!$R$2</definedName>
    <definedName name="scrimecost" localSheetId="8">Grade14!$R$2</definedName>
    <definedName name="scrimecost" localSheetId="9">Grade15!$R$2</definedName>
    <definedName name="scrimecost" localSheetId="10">Grade16!$R$2</definedName>
    <definedName name="scrimecost" localSheetId="11">Grade17!$R$2</definedName>
    <definedName name="scrimecost" localSheetId="12">Grade18!$R$2</definedName>
    <definedName name="scrimecost" localSheetId="3">Grade9!$R$2</definedName>
    <definedName name="scrimecost">Grade8!$R$2</definedName>
    <definedName name="sincome" localSheetId="4">Grade10!$N$2</definedName>
    <definedName name="sincome" localSheetId="5">Grade11!$N$2</definedName>
    <definedName name="sincome" localSheetId="6">Grade12!$N$2</definedName>
    <definedName name="sincome" localSheetId="7">Grade13!$N$2</definedName>
    <definedName name="sincome" localSheetId="8">Grade14!$N$2</definedName>
    <definedName name="sincome" localSheetId="9">Grade15!$N$2</definedName>
    <definedName name="sincome" localSheetId="10">Grade16!$N$2</definedName>
    <definedName name="sincome" localSheetId="11">Grade17!$N$2</definedName>
    <definedName name="sincome" localSheetId="12">Grade18!$N$2</definedName>
    <definedName name="sincome" localSheetId="3">Grade9!$N$2</definedName>
    <definedName name="sincome">Grade8!$N$2</definedName>
    <definedName name="spart" localSheetId="4">Grade10!$Q$2</definedName>
    <definedName name="spart" localSheetId="5">Grade11!$Q$2</definedName>
    <definedName name="spart" localSheetId="6">Grade12!$Q$2</definedName>
    <definedName name="spart" localSheetId="7">Grade13!$Q$2</definedName>
    <definedName name="spart" localSheetId="8">Grade14!$Q$2</definedName>
    <definedName name="spart" localSheetId="9">Grade15!$Q$2</definedName>
    <definedName name="spart" localSheetId="10">Grade16!$Q$2</definedName>
    <definedName name="spart" localSheetId="11">Grade17!$Q$2</definedName>
    <definedName name="spart" localSheetId="12">Grade18!$Q$2</definedName>
    <definedName name="spart" localSheetId="3">Grade9!$Q$2</definedName>
    <definedName name="spart">Grade8!$Q$2</definedName>
    <definedName name="sreturn" localSheetId="4">Grade10!$T$2</definedName>
    <definedName name="sreturn" localSheetId="5">Grade11!$T$2</definedName>
    <definedName name="sreturn" localSheetId="6">Grade12!$T$2</definedName>
    <definedName name="sreturn" localSheetId="7">Grade13!$T$2</definedName>
    <definedName name="sreturn" localSheetId="8">Grade14!$T$2</definedName>
    <definedName name="sreturn" localSheetId="9">Grade15!$T$2</definedName>
    <definedName name="sreturn" localSheetId="10">Grade16!$T$2</definedName>
    <definedName name="sreturn" localSheetId="11">Grade17!$T$2</definedName>
    <definedName name="sreturn" localSheetId="12">Grade18!$T$2</definedName>
    <definedName name="sreturn">Grade9!$T$2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sunemp" localSheetId="4">Grade10!$P$2</definedName>
    <definedName name="sunemp" localSheetId="5">Grade11!$P$2</definedName>
    <definedName name="sunemp" localSheetId="6">Grade12!$P$2</definedName>
    <definedName name="sunemp" localSheetId="7">Grade13!$P$2</definedName>
    <definedName name="sunemp" localSheetId="8">Grade14!$P$2</definedName>
    <definedName name="sunemp" localSheetId="9">Grade15!$P$2</definedName>
    <definedName name="sunemp" localSheetId="10">Grade16!$P$2</definedName>
    <definedName name="sunemp" localSheetId="11">Grade17!$P$2</definedName>
    <definedName name="sunemp" localSheetId="12">Grade18!$P$2</definedName>
    <definedName name="sunemp" localSheetId="3">Grade9!$P$2</definedName>
    <definedName name="sunemp">Grade8!$P$2</definedName>
    <definedName name="ttd">#REF!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  <definedName name="unempprob8" localSheetId="4">Grade10!$E$2</definedName>
    <definedName name="unempprob8" localSheetId="5">Grade11!$E$2</definedName>
    <definedName name="unempprob8" localSheetId="6">Grade12!$E$2</definedName>
    <definedName name="unempprob8" localSheetId="7">Grade13!$E$2</definedName>
    <definedName name="unempprob8" localSheetId="8">Grade14!$E$2</definedName>
    <definedName name="unempprob8" localSheetId="9">Grade15!$E$2</definedName>
    <definedName name="unempprob8" localSheetId="10">Grade16!$E$2</definedName>
    <definedName name="unempprob8" localSheetId="11">Grade17!$E$2</definedName>
    <definedName name="unempprob8" localSheetId="12">Grade18!$E$2</definedName>
    <definedName name="unempprob8" localSheetId="3">Grade9!$E$2</definedName>
    <definedName name="unempprob8">Grade8!$E$2</definedName>
    <definedName name="unempproby8" localSheetId="4">Grade10!$E$2</definedName>
    <definedName name="unempproby8" localSheetId="5">Grade11!$E$2</definedName>
    <definedName name="unempproby8" localSheetId="6">Grade12!$E$2</definedName>
    <definedName name="unempproby8" localSheetId="7">Grade13!$E$2</definedName>
    <definedName name="unempproby8" localSheetId="8">Grade14!$E$2</definedName>
    <definedName name="unempproby8" localSheetId="9">Grade15!$E$2</definedName>
    <definedName name="unempproby8" localSheetId="10">Grade16!$E$2</definedName>
    <definedName name="unempproby8" localSheetId="11">Grade17!$E$2</definedName>
    <definedName name="unempproby8" localSheetId="12">Grade18!$E$2</definedName>
    <definedName name="unempproby8" localSheetId="3">Grade9!$E$2</definedName>
    <definedName name="unempproby8">Grade8!$E$2</definedName>
  </definedNames>
  <calcPr calcId="162913"/>
</workbook>
</file>

<file path=xl/calcChain.xml><?xml version="1.0" encoding="utf-8"?>
<calcChain xmlns="http://schemas.openxmlformats.org/spreadsheetml/2006/main">
  <c r="R14" i="61" l="1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R2" i="61"/>
  <c r="Q2" i="61"/>
  <c r="P2" i="61"/>
  <c r="O2" i="61"/>
  <c r="N2" i="61"/>
  <c r="K2" i="61"/>
  <c r="J2" i="61"/>
  <c r="H2" i="61"/>
  <c r="F2" i="61"/>
  <c r="E2" i="61"/>
  <c r="D2" i="61"/>
  <c r="C2" i="61"/>
  <c r="B2" i="61"/>
  <c r="B47" i="61" s="1"/>
  <c r="R13" i="60"/>
  <c r="N57" i="60"/>
  <c r="N58" i="60"/>
  <c r="N59" i="60"/>
  <c r="N60" i="60"/>
  <c r="N61" i="60"/>
  <c r="N62" i="60"/>
  <c r="N63" i="60"/>
  <c r="N64" i="60"/>
  <c r="N65" i="60"/>
  <c r="N66" i="60"/>
  <c r="N67" i="60"/>
  <c r="N68" i="60"/>
  <c r="N69" i="60"/>
  <c r="R2" i="60"/>
  <c r="Q2" i="60"/>
  <c r="P2" i="60"/>
  <c r="O2" i="60"/>
  <c r="N2" i="60"/>
  <c r="K2" i="60"/>
  <c r="J2" i="60"/>
  <c r="H2" i="60"/>
  <c r="F2" i="60"/>
  <c r="E2" i="60"/>
  <c r="D2" i="60"/>
  <c r="C2" i="60"/>
  <c r="B2" i="60"/>
  <c r="R12" i="59"/>
  <c r="N57" i="59"/>
  <c r="N58" i="59"/>
  <c r="N59" i="59"/>
  <c r="N60" i="59"/>
  <c r="N61" i="59"/>
  <c r="N62" i="59"/>
  <c r="N63" i="59"/>
  <c r="N64" i="59"/>
  <c r="N65" i="59"/>
  <c r="N66" i="59"/>
  <c r="N67" i="59"/>
  <c r="N68" i="59"/>
  <c r="N69" i="59"/>
  <c r="R2" i="59"/>
  <c r="Q2" i="59"/>
  <c r="P2" i="59"/>
  <c r="O2" i="59"/>
  <c r="N2" i="59"/>
  <c r="K2" i="59"/>
  <c r="J2" i="59"/>
  <c r="H2" i="59"/>
  <c r="F2" i="59"/>
  <c r="E2" i="59"/>
  <c r="D2" i="59"/>
  <c r="C2" i="59"/>
  <c r="B2" i="59"/>
  <c r="R11" i="58"/>
  <c r="N57" i="58"/>
  <c r="N58" i="58"/>
  <c r="N59" i="58"/>
  <c r="N60" i="58"/>
  <c r="N61" i="58"/>
  <c r="N62" i="58"/>
  <c r="N63" i="58"/>
  <c r="N64" i="58"/>
  <c r="N65" i="58"/>
  <c r="N66" i="58"/>
  <c r="N67" i="58"/>
  <c r="N68" i="58"/>
  <c r="N69" i="58"/>
  <c r="R2" i="58"/>
  <c r="M40" i="58" s="1"/>
  <c r="Q2" i="58"/>
  <c r="P2" i="58"/>
  <c r="O2" i="58"/>
  <c r="N2" i="58"/>
  <c r="K2" i="58"/>
  <c r="J2" i="58"/>
  <c r="H2" i="58"/>
  <c r="F2" i="58"/>
  <c r="E2" i="58"/>
  <c r="D2" i="58"/>
  <c r="C2" i="58"/>
  <c r="B2" i="58"/>
  <c r="R10" i="57"/>
  <c r="N57" i="57"/>
  <c r="N58" i="57"/>
  <c r="N59" i="57"/>
  <c r="N60" i="57"/>
  <c r="N61" i="57"/>
  <c r="N62" i="57"/>
  <c r="N63" i="57"/>
  <c r="N64" i="57"/>
  <c r="N65" i="57"/>
  <c r="N66" i="57"/>
  <c r="N67" i="57"/>
  <c r="N68" i="57"/>
  <c r="N69" i="57"/>
  <c r="R2" i="57"/>
  <c r="Q2" i="57"/>
  <c r="S66" i="57" s="1"/>
  <c r="P2" i="57"/>
  <c r="O2" i="57"/>
  <c r="N2" i="57"/>
  <c r="K2" i="57"/>
  <c r="J2" i="57"/>
  <c r="H2" i="57"/>
  <c r="F2" i="57"/>
  <c r="E2" i="57"/>
  <c r="D2" i="57"/>
  <c r="C2" i="57"/>
  <c r="B2" i="57"/>
  <c r="B15" i="57"/>
  <c r="R9" i="56"/>
  <c r="N57" i="56"/>
  <c r="N58" i="56"/>
  <c r="N59" i="56"/>
  <c r="N60" i="56"/>
  <c r="N61" i="56"/>
  <c r="N62" i="56"/>
  <c r="N63" i="56"/>
  <c r="N64" i="56"/>
  <c r="N65" i="56"/>
  <c r="N66" i="56"/>
  <c r="N67" i="56"/>
  <c r="N68" i="56"/>
  <c r="N69" i="56"/>
  <c r="R2" i="56"/>
  <c r="M53" i="56"/>
  <c r="O53" i="57" s="1"/>
  <c r="Q2" i="56"/>
  <c r="P2" i="56"/>
  <c r="O2" i="56"/>
  <c r="N2" i="56"/>
  <c r="K2" i="56"/>
  <c r="J2" i="56"/>
  <c r="H2" i="56"/>
  <c r="F2" i="56"/>
  <c r="E2" i="56"/>
  <c r="D2" i="56"/>
  <c r="C2" i="56"/>
  <c r="B2" i="56"/>
  <c r="B35" i="56" s="1"/>
  <c r="R8" i="55"/>
  <c r="N57" i="55"/>
  <c r="N58" i="55"/>
  <c r="N59" i="55"/>
  <c r="N60" i="55"/>
  <c r="N61" i="55"/>
  <c r="N62" i="55"/>
  <c r="N63" i="55"/>
  <c r="N64" i="55"/>
  <c r="N65" i="55"/>
  <c r="N66" i="55"/>
  <c r="N67" i="55"/>
  <c r="N68" i="55"/>
  <c r="N69" i="55"/>
  <c r="R2" i="55"/>
  <c r="Q2" i="55"/>
  <c r="P2" i="55"/>
  <c r="O2" i="55"/>
  <c r="N2" i="55"/>
  <c r="K2" i="55"/>
  <c r="J2" i="55"/>
  <c r="H2" i="55"/>
  <c r="F2" i="55"/>
  <c r="E2" i="55"/>
  <c r="D2" i="55"/>
  <c r="C2" i="55"/>
  <c r="B2" i="55"/>
  <c r="R7" i="54"/>
  <c r="R6" i="53"/>
  <c r="N57" i="54"/>
  <c r="N58" i="54"/>
  <c r="N59" i="54"/>
  <c r="N60" i="54"/>
  <c r="N61" i="54"/>
  <c r="N62" i="54"/>
  <c r="N63" i="54"/>
  <c r="N64" i="54"/>
  <c r="N65" i="54"/>
  <c r="N66" i="54"/>
  <c r="N67" i="54"/>
  <c r="N68" i="54"/>
  <c r="N69" i="54"/>
  <c r="R2" i="54"/>
  <c r="M8" i="54"/>
  <c r="Q2" i="54"/>
  <c r="P2" i="54"/>
  <c r="O2" i="54"/>
  <c r="N2" i="54"/>
  <c r="K2" i="54"/>
  <c r="J2" i="54"/>
  <c r="H2" i="54"/>
  <c r="F2" i="54"/>
  <c r="E2" i="54"/>
  <c r="D2" i="54"/>
  <c r="C2" i="54"/>
  <c r="B2" i="54"/>
  <c r="N57" i="53"/>
  <c r="N58" i="53"/>
  <c r="N59" i="53"/>
  <c r="N60" i="53"/>
  <c r="N61" i="53"/>
  <c r="N62" i="53"/>
  <c r="N63" i="53"/>
  <c r="N64" i="53"/>
  <c r="N65" i="53"/>
  <c r="N66" i="53"/>
  <c r="N67" i="53"/>
  <c r="N68" i="53"/>
  <c r="N69" i="53"/>
  <c r="R2" i="53"/>
  <c r="Q2" i="53"/>
  <c r="P2" i="53"/>
  <c r="O2" i="53"/>
  <c r="N2" i="53"/>
  <c r="K2" i="53"/>
  <c r="J2" i="53"/>
  <c r="H2" i="53"/>
  <c r="F2" i="53"/>
  <c r="E2" i="53"/>
  <c r="D2" i="53"/>
  <c r="C2" i="53"/>
  <c r="B2" i="53"/>
  <c r="N57" i="52"/>
  <c r="N58" i="52"/>
  <c r="N59" i="52"/>
  <c r="N60" i="52"/>
  <c r="N61" i="52"/>
  <c r="N62" i="52"/>
  <c r="N63" i="52"/>
  <c r="N64" i="52"/>
  <c r="N65" i="52"/>
  <c r="N66" i="52"/>
  <c r="N67" i="52"/>
  <c r="N68" i="52"/>
  <c r="N69" i="52"/>
  <c r="J2" i="52"/>
  <c r="Q2" i="52"/>
  <c r="R5" i="52"/>
  <c r="R2" i="52"/>
  <c r="M68" i="52" s="1"/>
  <c r="P2" i="52"/>
  <c r="O2" i="52"/>
  <c r="N2" i="52"/>
  <c r="H2" i="52"/>
  <c r="F2" i="52"/>
  <c r="E2" i="52"/>
  <c r="D2" i="52"/>
  <c r="C2" i="52"/>
  <c r="B2" i="52"/>
  <c r="B32" i="52" s="1"/>
  <c r="K2" i="52"/>
  <c r="R2" i="1"/>
  <c r="M62" i="1"/>
  <c r="S2" i="4"/>
  <c r="F2" i="1"/>
  <c r="E2" i="1"/>
  <c r="Q2" i="1"/>
  <c r="P2" i="1"/>
  <c r="O2" i="1"/>
  <c r="N2" i="1"/>
  <c r="D2" i="1"/>
  <c r="C2" i="1"/>
  <c r="B7" i="50"/>
  <c r="B3" i="50"/>
  <c r="B4" i="50"/>
  <c r="B5" i="50"/>
  <c r="Q5" i="50" s="1"/>
  <c r="B6" i="50"/>
  <c r="B8" i="50"/>
  <c r="B9" i="50"/>
  <c r="B10" i="50"/>
  <c r="B11" i="50"/>
  <c r="K11" i="50" s="1"/>
  <c r="B12" i="50"/>
  <c r="B2" i="50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B2" i="1"/>
  <c r="B54" i="1"/>
  <c r="K2" i="1"/>
  <c r="H2" i="1"/>
  <c r="M15" i="61"/>
  <c r="M23" i="61"/>
  <c r="B35" i="61"/>
  <c r="M55" i="61"/>
  <c r="M47" i="61"/>
  <c r="M60" i="61"/>
  <c r="M34" i="59"/>
  <c r="O34" i="60" s="1"/>
  <c r="M30" i="59"/>
  <c r="B23" i="59"/>
  <c r="B52" i="59"/>
  <c r="B50" i="59"/>
  <c r="B48" i="59"/>
  <c r="B46" i="59"/>
  <c r="B44" i="59"/>
  <c r="B42" i="59"/>
  <c r="B40" i="59"/>
  <c r="B38" i="59"/>
  <c r="B36" i="59"/>
  <c r="B34" i="59"/>
  <c r="B32" i="59"/>
  <c r="B55" i="59"/>
  <c r="B53" i="59"/>
  <c r="B15" i="59"/>
  <c r="B20" i="59"/>
  <c r="B28" i="59"/>
  <c r="M67" i="59"/>
  <c r="M55" i="59"/>
  <c r="M51" i="59"/>
  <c r="M47" i="59"/>
  <c r="M43" i="59"/>
  <c r="M39" i="59"/>
  <c r="M57" i="59"/>
  <c r="B25" i="59"/>
  <c r="M35" i="59"/>
  <c r="B17" i="59"/>
  <c r="B22" i="59"/>
  <c r="B30" i="59"/>
  <c r="M28" i="57"/>
  <c r="B17" i="57"/>
  <c r="B30" i="57"/>
  <c r="M17" i="56"/>
  <c r="M46" i="56"/>
  <c r="O46" i="57" s="1"/>
  <c r="M31" i="56"/>
  <c r="B55" i="53"/>
  <c r="B51" i="53"/>
  <c r="B23" i="53"/>
  <c r="B19" i="53"/>
  <c r="B23" i="52"/>
  <c r="B47" i="52"/>
  <c r="B40" i="52"/>
  <c r="M52" i="53"/>
  <c r="M63" i="55"/>
  <c r="M66" i="1"/>
  <c r="M50" i="1"/>
  <c r="M46" i="1"/>
  <c r="M34" i="1"/>
  <c r="M18" i="1"/>
  <c r="M14" i="1"/>
  <c r="M65" i="1"/>
  <c r="M49" i="1"/>
  <c r="M45" i="1"/>
  <c r="M33" i="1"/>
  <c r="M17" i="1"/>
  <c r="M13" i="1"/>
  <c r="M5" i="1"/>
  <c r="M56" i="1"/>
  <c r="M52" i="1"/>
  <c r="M40" i="1"/>
  <c r="M24" i="1"/>
  <c r="M20" i="1"/>
  <c r="M44" i="61"/>
  <c r="O44" i="61" s="1"/>
  <c r="M52" i="61"/>
  <c r="M18" i="61"/>
  <c r="M68" i="61"/>
  <c r="M48" i="61"/>
  <c r="M56" i="61"/>
  <c r="M35" i="61"/>
  <c r="M43" i="61"/>
  <c r="M27" i="61"/>
  <c r="M66" i="56"/>
  <c r="M61" i="56"/>
  <c r="M8" i="53"/>
  <c r="B20" i="53"/>
  <c r="B44" i="53"/>
  <c r="M29" i="53"/>
  <c r="B18" i="53"/>
  <c r="B26" i="53"/>
  <c r="B48" i="60"/>
  <c r="M13" i="59"/>
  <c r="M21" i="59"/>
  <c r="M18" i="56"/>
  <c r="B53" i="55"/>
  <c r="B49" i="55"/>
  <c r="B31" i="54"/>
  <c r="M10" i="54"/>
  <c r="M24" i="54"/>
  <c r="M47" i="54"/>
  <c r="M66" i="54"/>
  <c r="O66" i="55" s="1"/>
  <c r="S66" i="55" s="1"/>
  <c r="B11" i="1"/>
  <c r="B51" i="1"/>
  <c r="B8" i="1"/>
  <c r="M25" i="52"/>
  <c r="O25" i="53" s="1"/>
  <c r="M39" i="52"/>
  <c r="M12" i="52"/>
  <c r="M11" i="56"/>
  <c r="M63" i="56"/>
  <c r="M50" i="56"/>
  <c r="M43" i="56"/>
  <c r="M38" i="56"/>
  <c r="M30" i="56"/>
  <c r="M20" i="56"/>
  <c r="M59" i="56"/>
  <c r="M49" i="56"/>
  <c r="M42" i="56"/>
  <c r="M35" i="56"/>
  <c r="M60" i="56"/>
  <c r="M26" i="56"/>
  <c r="M65" i="56"/>
  <c r="M54" i="56"/>
  <c r="O54" i="57" s="1"/>
  <c r="M47" i="56"/>
  <c r="M39" i="56"/>
  <c r="M34" i="56"/>
  <c r="M12" i="56"/>
  <c r="M28" i="56"/>
  <c r="B12" i="57"/>
  <c r="B34" i="57"/>
  <c r="B21" i="57"/>
  <c r="M29" i="59"/>
  <c r="B49" i="57"/>
  <c r="B38" i="57"/>
  <c r="B48" i="57"/>
  <c r="B26" i="57"/>
  <c r="B47" i="57"/>
  <c r="B20" i="60"/>
  <c r="B39" i="60"/>
  <c r="B52" i="60"/>
  <c r="B17" i="60"/>
  <c r="B26" i="60"/>
  <c r="B45" i="60"/>
  <c r="B54" i="60"/>
  <c r="B23" i="60"/>
  <c r="B33" i="60"/>
  <c r="B41" i="60"/>
  <c r="M56" i="60"/>
  <c r="M22" i="60"/>
  <c r="M62" i="60"/>
  <c r="M47" i="60"/>
  <c r="O47" i="61" s="1"/>
  <c r="B14" i="1"/>
  <c r="B50" i="57"/>
  <c r="B40" i="57"/>
  <c r="B20" i="57"/>
  <c r="B16" i="57"/>
  <c r="B44" i="57"/>
  <c r="B37" i="57"/>
  <c r="B33" i="57"/>
  <c r="B29" i="57"/>
  <c r="B25" i="57"/>
  <c r="B45" i="57"/>
  <c r="B14" i="57"/>
  <c r="B11" i="57"/>
  <c r="B56" i="57"/>
  <c r="B23" i="57"/>
  <c r="B19" i="57"/>
  <c r="B55" i="57"/>
  <c r="B42" i="57"/>
  <c r="B36" i="57"/>
  <c r="B32" i="57"/>
  <c r="B28" i="57"/>
  <c r="B24" i="57"/>
  <c r="B43" i="57"/>
  <c r="B54" i="57"/>
  <c r="B13" i="57"/>
  <c r="B22" i="57"/>
  <c r="B51" i="57"/>
  <c r="B35" i="57"/>
  <c r="B27" i="57"/>
  <c r="B41" i="57"/>
  <c r="B52" i="57"/>
  <c r="B18" i="57"/>
  <c r="B39" i="57"/>
  <c r="B31" i="57"/>
  <c r="B53" i="57"/>
  <c r="B46" i="57"/>
  <c r="B17" i="1"/>
  <c r="B56" i="1"/>
  <c r="B50" i="1"/>
  <c r="B52" i="1"/>
  <c r="B23" i="1"/>
  <c r="B35" i="1"/>
  <c r="B24" i="1"/>
  <c r="B30" i="1"/>
  <c r="B38" i="1"/>
  <c r="B13" i="1"/>
  <c r="B49" i="1"/>
  <c r="B55" i="1"/>
  <c r="B6" i="1"/>
  <c r="B10" i="1"/>
  <c r="B44" i="1"/>
  <c r="B39" i="1"/>
  <c r="B26" i="1"/>
  <c r="B9" i="1"/>
  <c r="B31" i="1"/>
  <c r="B20" i="1"/>
  <c r="B45" i="1"/>
  <c r="M27" i="1"/>
  <c r="M55" i="1"/>
  <c r="M51" i="52"/>
  <c r="M59" i="52"/>
  <c r="M14" i="52"/>
  <c r="M42" i="52"/>
  <c r="M20" i="52"/>
  <c r="M48" i="52"/>
  <c r="M58" i="52"/>
  <c r="M11" i="52"/>
  <c r="M50" i="52"/>
  <c r="B49" i="54"/>
  <c r="M56" i="54"/>
  <c r="M52" i="54"/>
  <c r="M40" i="54"/>
  <c r="M31" i="54"/>
  <c r="M27" i="54"/>
  <c r="M23" i="54"/>
  <c r="M15" i="54"/>
  <c r="M11" i="54"/>
  <c r="M63" i="54"/>
  <c r="M50" i="54"/>
  <c r="M46" i="54"/>
  <c r="M42" i="54"/>
  <c r="M65" i="54"/>
  <c r="M37" i="54"/>
  <c r="M29" i="54"/>
  <c r="M58" i="54"/>
  <c r="M21" i="54"/>
  <c r="M17" i="54"/>
  <c r="M9" i="54"/>
  <c r="B55" i="55"/>
  <c r="B51" i="55"/>
  <c r="B22" i="55"/>
  <c r="B26" i="55"/>
  <c r="B19" i="55"/>
  <c r="B15" i="55"/>
  <c r="B46" i="55"/>
  <c r="B42" i="55"/>
  <c r="B33" i="55"/>
  <c r="B56" i="55"/>
  <c r="B27" i="55"/>
  <c r="B16" i="55"/>
  <c r="B39" i="55"/>
  <c r="M20" i="55"/>
  <c r="K12" i="50"/>
  <c r="B19" i="61"/>
  <c r="B46" i="61"/>
  <c r="M16" i="61"/>
  <c r="M20" i="61"/>
  <c r="M24" i="61"/>
  <c r="M64" i="61"/>
  <c r="M66" i="61"/>
  <c r="M63" i="61"/>
  <c r="M54" i="61"/>
  <c r="M50" i="61"/>
  <c r="M46" i="61"/>
  <c r="M42" i="61"/>
  <c r="M38" i="61"/>
  <c r="M34" i="61"/>
  <c r="M30" i="61"/>
  <c r="M65" i="61"/>
  <c r="M17" i="61"/>
  <c r="M21" i="61"/>
  <c r="M25" i="61"/>
  <c r="M62" i="61"/>
  <c r="M59" i="61"/>
  <c r="M53" i="61"/>
  <c r="M49" i="61"/>
  <c r="M45" i="61"/>
  <c r="M41" i="61"/>
  <c r="M37" i="61"/>
  <c r="M33" i="61"/>
  <c r="M29" i="61"/>
  <c r="M57" i="61"/>
  <c r="M69" i="61"/>
  <c r="M29" i="56"/>
  <c r="M23" i="56"/>
  <c r="M10" i="56"/>
  <c r="M57" i="56"/>
  <c r="M56" i="56"/>
  <c r="M52" i="56"/>
  <c r="M48" i="56"/>
  <c r="M45" i="56"/>
  <c r="M41" i="56"/>
  <c r="M62" i="56"/>
  <c r="M37" i="56"/>
  <c r="M33" i="56"/>
  <c r="M68" i="56"/>
  <c r="M14" i="56"/>
  <c r="M22" i="56"/>
  <c r="M25" i="56"/>
  <c r="M13" i="56"/>
  <c r="M69" i="56"/>
  <c r="O69" i="57" s="1"/>
  <c r="M67" i="56"/>
  <c r="M55" i="56"/>
  <c r="M51" i="56"/>
  <c r="M44" i="56"/>
  <c r="M40" i="56"/>
  <c r="M58" i="56"/>
  <c r="M36" i="56"/>
  <c r="M32" i="56"/>
  <c r="M64" i="56"/>
  <c r="M16" i="56"/>
  <c r="M24" i="56"/>
  <c r="B38" i="58"/>
  <c r="B44" i="58"/>
  <c r="M61" i="60"/>
  <c r="B45" i="56"/>
  <c r="B54" i="56"/>
  <c r="K7" i="50"/>
  <c r="M54" i="60"/>
  <c r="O54" i="61" s="1"/>
  <c r="M45" i="60"/>
  <c r="M34" i="60"/>
  <c r="M21" i="60"/>
  <c r="M18" i="60"/>
  <c r="O18" i="61" s="1"/>
  <c r="M13" i="60"/>
  <c r="M60" i="60"/>
  <c r="M55" i="60"/>
  <c r="M48" i="60"/>
  <c r="O48" i="61" s="1"/>
  <c r="M35" i="60"/>
  <c r="M27" i="60"/>
  <c r="M68" i="60"/>
  <c r="M67" i="60"/>
  <c r="O67" i="60" s="1"/>
  <c r="S67" i="60" s="1"/>
  <c r="M53" i="60"/>
  <c r="M44" i="60"/>
  <c r="M69" i="60"/>
  <c r="M31" i="60"/>
  <c r="O31" i="60" s="1"/>
  <c r="M65" i="60"/>
  <c r="M41" i="60"/>
  <c r="M39" i="60"/>
  <c r="M20" i="60"/>
  <c r="M64" i="60"/>
  <c r="M51" i="60"/>
  <c r="M46" i="60"/>
  <c r="M38" i="60"/>
  <c r="O38" i="61" s="1"/>
  <c r="M29" i="60"/>
  <c r="M23" i="60"/>
  <c r="M40" i="60"/>
  <c r="M19" i="60"/>
  <c r="M49" i="60"/>
  <c r="O49" i="61" s="1"/>
  <c r="M36" i="60"/>
  <c r="M28" i="60"/>
  <c r="M25" i="60"/>
  <c r="O25" i="61" s="1"/>
  <c r="M42" i="60"/>
  <c r="B27" i="61"/>
  <c r="B23" i="61"/>
  <c r="B56" i="61"/>
  <c r="B48" i="61"/>
  <c r="B40" i="61"/>
  <c r="B49" i="61"/>
  <c r="B41" i="61"/>
  <c r="B36" i="61"/>
  <c r="B32" i="61"/>
  <c r="B18" i="61"/>
  <c r="B22" i="61"/>
  <c r="B28" i="61"/>
  <c r="B24" i="61"/>
  <c r="B50" i="61"/>
  <c r="B42" i="61"/>
  <c r="B51" i="61"/>
  <c r="B43" i="61"/>
  <c r="B37" i="61"/>
  <c r="B33" i="61"/>
  <c r="B17" i="61"/>
  <c r="B21" i="61"/>
  <c r="B25" i="61"/>
  <c r="B52" i="61"/>
  <c r="B53" i="61"/>
  <c r="B38" i="61"/>
  <c r="B16" i="61"/>
  <c r="B31" i="61"/>
  <c r="B30" i="61"/>
  <c r="B44" i="61"/>
  <c r="B45" i="61"/>
  <c r="B34" i="61"/>
  <c r="B20" i="61"/>
  <c r="B26" i="61"/>
  <c r="B54" i="61"/>
  <c r="B55" i="61"/>
  <c r="B39" i="61"/>
  <c r="B15" i="61"/>
  <c r="B29" i="61"/>
  <c r="N10" i="50"/>
  <c r="N8" i="50"/>
  <c r="M11" i="1"/>
  <c r="O11" i="52" s="1"/>
  <c r="M23" i="1"/>
  <c r="M35" i="1"/>
  <c r="M51" i="1"/>
  <c r="M63" i="1"/>
  <c r="M7" i="1"/>
  <c r="M19" i="1"/>
  <c r="M31" i="1"/>
  <c r="M47" i="1"/>
  <c r="M59" i="1"/>
  <c r="O59" i="52" s="1"/>
  <c r="M8" i="1"/>
  <c r="M43" i="1"/>
  <c r="M15" i="1"/>
  <c r="M32" i="59"/>
  <c r="M25" i="59"/>
  <c r="M19" i="59"/>
  <c r="M16" i="59"/>
  <c r="M12" i="59"/>
  <c r="M36" i="59"/>
  <c r="M38" i="59"/>
  <c r="M27" i="59"/>
  <c r="M17" i="59"/>
  <c r="B33" i="1"/>
  <c r="B29" i="1"/>
  <c r="B36" i="1"/>
  <c r="B53" i="1"/>
  <c r="B37" i="1"/>
  <c r="B7" i="1"/>
  <c r="B43" i="1"/>
  <c r="B19" i="1"/>
  <c r="B16" i="1"/>
  <c r="B32" i="1"/>
  <c r="B22" i="1"/>
  <c r="B25" i="1"/>
  <c r="B48" i="1"/>
  <c r="B46" i="1"/>
  <c r="B42" i="1"/>
  <c r="B40" i="1"/>
  <c r="B21" i="1"/>
  <c r="B5" i="1"/>
  <c r="B41" i="1"/>
  <c r="B15" i="1"/>
  <c r="B47" i="1"/>
  <c r="B27" i="1"/>
  <c r="B12" i="1"/>
  <c r="B28" i="1"/>
  <c r="B18" i="1"/>
  <c r="B34" i="1"/>
  <c r="M67" i="1"/>
  <c r="M39" i="1"/>
  <c r="M21" i="56"/>
  <c r="O21" i="57" s="1"/>
  <c r="M18" i="59"/>
  <c r="M31" i="59"/>
  <c r="M16" i="52"/>
  <c r="M17" i="52"/>
  <c r="M24" i="52"/>
  <c r="O24" i="52" s="1"/>
  <c r="M19" i="56"/>
  <c r="M15" i="56"/>
  <c r="M27" i="56"/>
  <c r="O27" i="57" s="1"/>
  <c r="M9" i="56"/>
  <c r="O20" i="52"/>
  <c r="O35" i="61"/>
  <c r="O68" i="61"/>
  <c r="O23" i="61"/>
  <c r="O41" i="61"/>
  <c r="O28" i="57"/>
  <c r="M30" i="57"/>
  <c r="M20" i="57"/>
  <c r="M58" i="57"/>
  <c r="O58" i="57" s="1"/>
  <c r="M67" i="57"/>
  <c r="O67" i="57" s="1"/>
  <c r="S67" i="57" s="1"/>
  <c r="M55" i="57"/>
  <c r="M51" i="57"/>
  <c r="O51" i="57" s="1"/>
  <c r="M47" i="57"/>
  <c r="M43" i="57"/>
  <c r="O43" i="57" s="1"/>
  <c r="M57" i="57"/>
  <c r="M39" i="57"/>
  <c r="O39" i="57" s="1"/>
  <c r="M11" i="57"/>
  <c r="O11" i="57" s="1"/>
  <c r="M16" i="57"/>
  <c r="O16" i="57" s="1"/>
  <c r="M32" i="57"/>
  <c r="M62" i="57"/>
  <c r="M60" i="57"/>
  <c r="M56" i="57"/>
  <c r="M52" i="57"/>
  <c r="M48" i="57"/>
  <c r="M44" i="57"/>
  <c r="M40" i="57"/>
  <c r="M69" i="57"/>
  <c r="M37" i="57"/>
  <c r="M64" i="57"/>
  <c r="M53" i="57"/>
  <c r="M45" i="57"/>
  <c r="M61" i="57"/>
  <c r="M12" i="57"/>
  <c r="M63" i="57"/>
  <c r="O63" i="57" s="1"/>
  <c r="S63" i="57" s="1"/>
  <c r="M50" i="57"/>
  <c r="M42" i="57"/>
  <c r="M27" i="57"/>
  <c r="M19" i="57"/>
  <c r="O19" i="57" s="1"/>
  <c r="M10" i="57"/>
  <c r="M24" i="57"/>
  <c r="O24" i="57" s="1"/>
  <c r="M66" i="57"/>
  <c r="O66" i="57" s="1"/>
  <c r="M59" i="57"/>
  <c r="O59" i="57" s="1"/>
  <c r="S59" i="57" s="1"/>
  <c r="M49" i="57"/>
  <c r="M41" i="57"/>
  <c r="O41" i="57" s="1"/>
  <c r="M33" i="57"/>
  <c r="M18" i="57"/>
  <c r="O18" i="57" s="1"/>
  <c r="M29" i="57"/>
  <c r="M65" i="57"/>
  <c r="M35" i="57"/>
  <c r="M25" i="57"/>
  <c r="M17" i="57"/>
  <c r="M13" i="57"/>
  <c r="O13" i="57" s="1"/>
  <c r="M68" i="57"/>
  <c r="M15" i="57"/>
  <c r="M36" i="57"/>
  <c r="M46" i="57"/>
  <c r="M22" i="57"/>
  <c r="M23" i="57"/>
  <c r="M31" i="57"/>
  <c r="M26" i="57"/>
  <c r="O26" i="57" s="1"/>
  <c r="M14" i="57"/>
  <c r="M21" i="57"/>
  <c r="M54" i="57"/>
  <c r="M38" i="57"/>
  <c r="M34" i="57"/>
  <c r="O45" i="57"/>
  <c r="O47" i="60"/>
  <c r="O68" i="57"/>
  <c r="M13" i="54"/>
  <c r="M25" i="54"/>
  <c r="M33" i="54"/>
  <c r="M54" i="54"/>
  <c r="M7" i="54"/>
  <c r="M35" i="54"/>
  <c r="O35" i="55" s="1"/>
  <c r="M48" i="54"/>
  <c r="M39" i="58"/>
  <c r="O39" i="59" s="1"/>
  <c r="M38" i="58"/>
  <c r="O38" i="59" s="1"/>
  <c r="M30" i="58"/>
  <c r="O30" i="59" s="1"/>
  <c r="M51" i="54"/>
  <c r="M30" i="54"/>
  <c r="O30" i="54" s="1"/>
  <c r="M49" i="54"/>
  <c r="M61" i="54"/>
  <c r="M64" i="54"/>
  <c r="M12" i="54"/>
  <c r="M67" i="54"/>
  <c r="M38" i="54"/>
  <c r="M18" i="54"/>
  <c r="M59" i="54"/>
  <c r="O59" i="54" s="1"/>
  <c r="S59" i="54" s="1"/>
  <c r="M39" i="54"/>
  <c r="M43" i="54"/>
  <c r="M69" i="54"/>
  <c r="M14" i="54"/>
  <c r="M20" i="54"/>
  <c r="M32" i="54"/>
  <c r="M26" i="54"/>
  <c r="M41" i="54"/>
  <c r="M16" i="54"/>
  <c r="M55" i="54"/>
  <c r="M34" i="54"/>
  <c r="M28" i="54"/>
  <c r="O28" i="55" s="1"/>
  <c r="M53" i="54"/>
  <c r="M36" i="54"/>
  <c r="M22" i="54"/>
  <c r="M45" i="54"/>
  <c r="O45" i="55" s="1"/>
  <c r="M60" i="54"/>
  <c r="M44" i="54"/>
  <c r="M57" i="54"/>
  <c r="M62" i="54"/>
  <c r="M19" i="54"/>
  <c r="M68" i="54"/>
  <c r="M36" i="1"/>
  <c r="M68" i="1"/>
  <c r="M29" i="1"/>
  <c r="M61" i="1"/>
  <c r="M30" i="1"/>
  <c r="M16" i="53"/>
  <c r="M42" i="53"/>
  <c r="M20" i="53"/>
  <c r="O20" i="54" s="1"/>
  <c r="M45" i="53"/>
  <c r="O45" i="54"/>
  <c r="M61" i="53"/>
  <c r="O61" i="54"/>
  <c r="M31" i="53"/>
  <c r="M57" i="53"/>
  <c r="O57" i="54" s="1"/>
  <c r="S57" i="54" s="1"/>
  <c r="M30" i="53"/>
  <c r="M38" i="53"/>
  <c r="O38" i="54" s="1"/>
  <c r="M60" i="53"/>
  <c r="M28" i="53"/>
  <c r="O28" i="54" s="1"/>
  <c r="M59" i="53"/>
  <c r="M63" i="53"/>
  <c r="O63" i="54" s="1"/>
  <c r="M64" i="53"/>
  <c r="O64" i="54" s="1"/>
  <c r="M22" i="53"/>
  <c r="M21" i="53"/>
  <c r="O21" i="54" s="1"/>
  <c r="M50" i="53"/>
  <c r="M11" i="53"/>
  <c r="M53" i="53"/>
  <c r="O53" i="54" s="1"/>
  <c r="M24" i="53"/>
  <c r="M44" i="53"/>
  <c r="O44" i="54" s="1"/>
  <c r="M18" i="53"/>
  <c r="M43" i="53"/>
  <c r="M47" i="53"/>
  <c r="M48" i="53"/>
  <c r="M67" i="53"/>
  <c r="O67" i="54" s="1"/>
  <c r="M13" i="53"/>
  <c r="M69" i="53"/>
  <c r="M39" i="53"/>
  <c r="O39" i="54" s="1"/>
  <c r="M40" i="53"/>
  <c r="O40" i="54" s="1"/>
  <c r="M49" i="53"/>
  <c r="M37" i="53"/>
  <c r="O37" i="54" s="1"/>
  <c r="M31" i="61"/>
  <c r="M36" i="61"/>
  <c r="O36" i="61" s="1"/>
  <c r="M26" i="61"/>
  <c r="M40" i="61"/>
  <c r="M14" i="61"/>
  <c r="M61" i="61"/>
  <c r="O61" i="61" s="1"/>
  <c r="M67" i="61"/>
  <c r="M19" i="61"/>
  <c r="M39" i="61"/>
  <c r="M28" i="61"/>
  <c r="M58" i="61"/>
  <c r="M32" i="61"/>
  <c r="M22" i="61"/>
  <c r="M51" i="61"/>
  <c r="M54" i="1"/>
  <c r="M38" i="1"/>
  <c r="M22" i="1"/>
  <c r="M6" i="1"/>
  <c r="M53" i="1"/>
  <c r="M37" i="1"/>
  <c r="M21" i="1"/>
  <c r="M69" i="1"/>
  <c r="M60" i="1"/>
  <c r="M44" i="1"/>
  <c r="M28" i="1"/>
  <c r="M12" i="1"/>
  <c r="M58" i="1"/>
  <c r="M42" i="1"/>
  <c r="O42" i="52" s="1"/>
  <c r="M26" i="1"/>
  <c r="M10" i="1"/>
  <c r="M57" i="1"/>
  <c r="M41" i="1"/>
  <c r="M25" i="1"/>
  <c r="M9" i="1"/>
  <c r="M64" i="1"/>
  <c r="M48" i="1"/>
  <c r="O48" i="52"/>
  <c r="M32" i="1"/>
  <c r="M16" i="1"/>
  <c r="O16" i="52" s="1"/>
  <c r="M23" i="52"/>
  <c r="M18" i="52"/>
  <c r="O18" i="52" s="1"/>
  <c r="M9" i="52"/>
  <c r="M55" i="52"/>
  <c r="O55" i="53" s="1"/>
  <c r="M29" i="52"/>
  <c r="O29" i="53" s="1"/>
  <c r="M10" i="52"/>
  <c r="O10" i="52" s="1"/>
  <c r="K3" i="50"/>
  <c r="K5" i="50"/>
  <c r="N6" i="50"/>
  <c r="Q6" i="50"/>
  <c r="O42" i="54"/>
  <c r="O38" i="57"/>
  <c r="O31" i="57"/>
  <c r="O36" i="57"/>
  <c r="O29" i="57"/>
  <c r="O49" i="57"/>
  <c r="O50" i="57"/>
  <c r="O57" i="57"/>
  <c r="O15" i="57"/>
  <c r="O56" i="57"/>
  <c r="O43" i="54"/>
  <c r="O34" i="57"/>
  <c r="O14" i="57"/>
  <c r="O22" i="57"/>
  <c r="O35" i="57"/>
  <c r="O33" i="57"/>
  <c r="O12" i="57"/>
  <c r="O64" i="57"/>
  <c r="O24" i="54"/>
  <c r="O24" i="53"/>
  <c r="O62" i="61"/>
  <c r="S62" i="61" s="1"/>
  <c r="O30" i="58"/>
  <c r="O11" i="53"/>
  <c r="O11" i="54"/>
  <c r="O20" i="53"/>
  <c r="O18" i="53"/>
  <c r="O53" i="61"/>
  <c r="M55" i="53"/>
  <c r="M32" i="53"/>
  <c r="M15" i="53"/>
  <c r="O15" i="54" s="1"/>
  <c r="M19" i="53"/>
  <c r="O19" i="54" s="1"/>
  <c r="M54" i="53"/>
  <c r="M62" i="53"/>
  <c r="M46" i="53"/>
  <c r="M68" i="53"/>
  <c r="O68" i="53" s="1"/>
  <c r="S68" i="53" s="1"/>
  <c r="M65" i="53"/>
  <c r="O65" i="54" s="1"/>
  <c r="M35" i="53"/>
  <c r="M34" i="53"/>
  <c r="M12" i="53"/>
  <c r="O12" i="53" s="1"/>
  <c r="M41" i="53"/>
  <c r="M58" i="53"/>
  <c r="O58" i="53" s="1"/>
  <c r="S58" i="53" s="1"/>
  <c r="M26" i="53"/>
  <c r="O26" i="54" s="1"/>
  <c r="M33" i="53"/>
  <c r="O33" i="54" s="1"/>
  <c r="M17" i="53"/>
  <c r="M14" i="53"/>
  <c r="M27" i="53"/>
  <c r="M23" i="53"/>
  <c r="O23" i="54" s="1"/>
  <c r="M36" i="53"/>
  <c r="M51" i="53"/>
  <c r="O51" i="54" s="1"/>
  <c r="M66" i="53"/>
  <c r="O66" i="54" s="1"/>
  <c r="M56" i="53"/>
  <c r="O56" i="54" s="1"/>
  <c r="M25" i="53"/>
  <c r="O25" i="54" s="1"/>
  <c r="O20" i="56"/>
  <c r="O14" i="52"/>
  <c r="M7" i="53"/>
  <c r="M10" i="53"/>
  <c r="O10" i="54" s="1"/>
  <c r="M26" i="55"/>
  <c r="M43" i="55"/>
  <c r="O43" i="56" s="1"/>
  <c r="M13" i="55"/>
  <c r="O13" i="56" s="1"/>
  <c r="M14" i="55"/>
  <c r="M68" i="55"/>
  <c r="O68" i="56" s="1"/>
  <c r="M47" i="55"/>
  <c r="M45" i="55"/>
  <c r="O45" i="56" s="1"/>
  <c r="M50" i="55"/>
  <c r="O50" i="56" s="1"/>
  <c r="M51" i="55"/>
  <c r="M28" i="55"/>
  <c r="M49" i="55"/>
  <c r="O49" i="56" s="1"/>
  <c r="M54" i="55"/>
  <c r="O54" i="55" s="1"/>
  <c r="M39" i="55"/>
  <c r="M11" i="55"/>
  <c r="M24" i="55"/>
  <c r="M40" i="55"/>
  <c r="O40" i="55" s="1"/>
  <c r="M18" i="55"/>
  <c r="O18" i="56" s="1"/>
  <c r="M27" i="55"/>
  <c r="M37" i="55"/>
  <c r="O37" i="55" s="1"/>
  <c r="M66" i="55"/>
  <c r="M41" i="55"/>
  <c r="M46" i="55"/>
  <c r="M31" i="55"/>
  <c r="O31" i="56" s="1"/>
  <c r="M8" i="55"/>
  <c r="M10" i="55"/>
  <c r="M21" i="55"/>
  <c r="M44" i="55"/>
  <c r="M22" i="55"/>
  <c r="O22" i="56" s="1"/>
  <c r="M16" i="55"/>
  <c r="O16" i="56" s="1"/>
  <c r="M36" i="55"/>
  <c r="M62" i="55"/>
  <c r="O62" i="56" s="1"/>
  <c r="M15" i="55"/>
  <c r="O15" i="56" s="1"/>
  <c r="M53" i="55"/>
  <c r="M12" i="55"/>
  <c r="O12" i="55" s="1"/>
  <c r="M59" i="55"/>
  <c r="O59" i="56" s="1"/>
  <c r="M29" i="55"/>
  <c r="M35" i="55"/>
  <c r="O35" i="56" s="1"/>
  <c r="M33" i="55"/>
  <c r="O33" i="55" s="1"/>
  <c r="M23" i="55"/>
  <c r="O23" i="56" s="1"/>
  <c r="M48" i="55"/>
  <c r="M32" i="55"/>
  <c r="O32" i="56" s="1"/>
  <c r="M19" i="55"/>
  <c r="M42" i="55"/>
  <c r="O42" i="55" s="1"/>
  <c r="M30" i="55"/>
  <c r="M57" i="55"/>
  <c r="M64" i="55"/>
  <c r="M58" i="55"/>
  <c r="O58" i="55" s="1"/>
  <c r="M65" i="55"/>
  <c r="M55" i="55"/>
  <c r="M61" i="55"/>
  <c r="M52" i="55"/>
  <c r="O52" i="56" s="1"/>
  <c r="M64" i="58"/>
  <c r="O64" i="58" s="1"/>
  <c r="S64" i="58" s="1"/>
  <c r="M12" i="58"/>
  <c r="O12" i="58" s="1"/>
  <c r="O55" i="60"/>
  <c r="O21" i="61"/>
  <c r="O21" i="60"/>
  <c r="M9" i="53"/>
  <c r="M6" i="53"/>
  <c r="M26" i="60"/>
  <c r="O26" i="61" s="1"/>
  <c r="M59" i="60"/>
  <c r="O59" i="61" s="1"/>
  <c r="M43" i="60"/>
  <c r="O43" i="60" s="1"/>
  <c r="M30" i="60"/>
  <c r="O30" i="60" s="1"/>
  <c r="M63" i="60"/>
  <c r="O63" i="61" s="1"/>
  <c r="S63" i="61" s="1"/>
  <c r="M57" i="60"/>
  <c r="M15" i="60"/>
  <c r="O15" i="61" s="1"/>
  <c r="M66" i="60"/>
  <c r="O66" i="61" s="1"/>
  <c r="M17" i="60"/>
  <c r="O17" i="60" s="1"/>
  <c r="M33" i="60"/>
  <c r="M24" i="60"/>
  <c r="O24" i="61" s="1"/>
  <c r="M16" i="60"/>
  <c r="M52" i="60"/>
  <c r="O52" i="61" s="1"/>
  <c r="M37" i="60"/>
  <c r="O37" i="60" s="1"/>
  <c r="M58" i="60"/>
  <c r="O58" i="61" s="1"/>
  <c r="M50" i="60"/>
  <c r="O50" i="61" s="1"/>
  <c r="M32" i="60"/>
  <c r="O32" i="60" s="1"/>
  <c r="M14" i="60"/>
  <c r="O14" i="60" s="1"/>
  <c r="O63" i="55"/>
  <c r="M7" i="52"/>
  <c r="M30" i="52"/>
  <c r="O30" i="53" s="1"/>
  <c r="M57" i="52"/>
  <c r="M64" i="52"/>
  <c r="M45" i="52"/>
  <c r="M22" i="52"/>
  <c r="M52" i="52"/>
  <c r="M33" i="52"/>
  <c r="M63" i="52"/>
  <c r="O63" i="53" s="1"/>
  <c r="M15" i="52"/>
  <c r="M47" i="52"/>
  <c r="M37" i="59"/>
  <c r="M28" i="59"/>
  <c r="M20" i="59"/>
  <c r="M69" i="59"/>
  <c r="M42" i="59"/>
  <c r="M46" i="59"/>
  <c r="M50" i="59"/>
  <c r="O50" i="60" s="1"/>
  <c r="M54" i="59"/>
  <c r="M63" i="59"/>
  <c r="M66" i="59"/>
  <c r="M26" i="59"/>
  <c r="M68" i="59"/>
  <c r="M15" i="59"/>
  <c r="M13" i="52"/>
  <c r="M27" i="52"/>
  <c r="O27" i="52" s="1"/>
  <c r="M32" i="52"/>
  <c r="O32" i="52" s="1"/>
  <c r="M6" i="52"/>
  <c r="O6" i="52" s="1"/>
  <c r="M26" i="52"/>
  <c r="O26" i="53" s="1"/>
  <c r="M65" i="52"/>
  <c r="O65" i="53" s="1"/>
  <c r="S65" i="53" s="1"/>
  <c r="M21" i="52"/>
  <c r="O21" i="52" s="1"/>
  <c r="M61" i="52"/>
  <c r="M62" i="52"/>
  <c r="O62" i="52" s="1"/>
  <c r="S62" i="52" s="1"/>
  <c r="M28" i="52"/>
  <c r="M53" i="52"/>
  <c r="M66" i="52"/>
  <c r="M36" i="52"/>
  <c r="O36" i="52" s="1"/>
  <c r="M44" i="52"/>
  <c r="M33" i="59"/>
  <c r="M24" i="59"/>
  <c r="M61" i="59"/>
  <c r="M40" i="59"/>
  <c r="O40" i="60" s="1"/>
  <c r="M44" i="59"/>
  <c r="O44" i="60" s="1"/>
  <c r="M48" i="59"/>
  <c r="M52" i="59"/>
  <c r="M56" i="59"/>
  <c r="O56" i="60" s="1"/>
  <c r="M58" i="59"/>
  <c r="M14" i="59"/>
  <c r="O55" i="56"/>
  <c r="O43" i="61"/>
  <c r="O11" i="55"/>
  <c r="O11" i="56"/>
  <c r="O28" i="56"/>
  <c r="O47" i="55"/>
  <c r="O47" i="56"/>
  <c r="O43" i="55"/>
  <c r="O46" i="54"/>
  <c r="O22" i="55"/>
  <c r="O16" i="55"/>
  <c r="S63" i="53"/>
  <c r="O10" i="55"/>
  <c r="O10" i="56"/>
  <c r="O41" i="56"/>
  <c r="O10" i="53"/>
  <c r="O64" i="53"/>
  <c r="O51" i="53"/>
  <c r="O17" i="61"/>
  <c r="O33" i="52"/>
  <c r="O65" i="55"/>
  <c r="O65" i="56"/>
  <c r="S65" i="56" s="1"/>
  <c r="O48" i="56"/>
  <c r="O48" i="55"/>
  <c r="O29" i="56"/>
  <c r="O29" i="55"/>
  <c r="O66" i="56"/>
  <c r="O40" i="56"/>
  <c r="O50" i="55"/>
  <c r="O15" i="55"/>
  <c r="O17" i="54"/>
  <c r="O17" i="53"/>
  <c r="O54" i="54"/>
  <c r="O18" i="55"/>
  <c r="O30" i="52"/>
  <c r="O57" i="56"/>
  <c r="O57" i="55"/>
  <c r="S57" i="55" s="1"/>
  <c r="O32" i="53"/>
  <c r="O54" i="60"/>
  <c r="O47" i="52"/>
  <c r="O57" i="53"/>
  <c r="S57" i="53" s="1"/>
  <c r="O16" i="61"/>
  <c r="O30" i="61"/>
  <c r="O52" i="55"/>
  <c r="O42" i="56"/>
  <c r="O44" i="56"/>
  <c r="O49" i="55"/>
  <c r="O13" i="55"/>
  <c r="O12" i="54"/>
  <c r="O40" i="58" l="1"/>
  <c r="B20" i="54"/>
  <c r="H20" i="54" s="1"/>
  <c r="B16" i="54"/>
  <c r="B51" i="54"/>
  <c r="B39" i="54"/>
  <c r="B37" i="54"/>
  <c r="H37" i="54" s="1"/>
  <c r="B9" i="54"/>
  <c r="S63" i="54"/>
  <c r="B44" i="54"/>
  <c r="B29" i="54"/>
  <c r="H29" i="54" s="1"/>
  <c r="B38" i="54"/>
  <c r="B26" i="54"/>
  <c r="B32" i="54"/>
  <c r="B24" i="54"/>
  <c r="H24" i="54" s="1"/>
  <c r="B18" i="54"/>
  <c r="B14" i="54"/>
  <c r="B50" i="54"/>
  <c r="B23" i="54"/>
  <c r="H23" i="54" s="1"/>
  <c r="B55" i="54"/>
  <c r="B17" i="54"/>
  <c r="B36" i="58"/>
  <c r="B47" i="58"/>
  <c r="B24" i="58"/>
  <c r="B34" i="58"/>
  <c r="B45" i="58"/>
  <c r="B27" i="58"/>
  <c r="B56" i="58"/>
  <c r="B15" i="58"/>
  <c r="B25" i="58"/>
  <c r="B31" i="58"/>
  <c r="B46" i="58"/>
  <c r="B32" i="58"/>
  <c r="B12" i="58"/>
  <c r="B29" i="58"/>
  <c r="B30" i="58"/>
  <c r="B14" i="58"/>
  <c r="B41" i="58"/>
  <c r="B52" i="58"/>
  <c r="B19" i="58"/>
  <c r="B43" i="58"/>
  <c r="B13" i="58"/>
  <c r="B50" i="58"/>
  <c r="B55" i="58"/>
  <c r="B16" i="58"/>
  <c r="B42" i="58"/>
  <c r="B53" i="58"/>
  <c r="B18" i="58"/>
  <c r="B37" i="58"/>
  <c r="B48" i="58"/>
  <c r="B23" i="58"/>
  <c r="B54" i="58"/>
  <c r="B21" i="58"/>
  <c r="L33" i="60"/>
  <c r="L17" i="60"/>
  <c r="S57" i="52"/>
  <c r="S57" i="56"/>
  <c r="S65" i="55"/>
  <c r="O12" i="56"/>
  <c r="O24" i="60"/>
  <c r="O63" i="60"/>
  <c r="S63" i="60" s="1"/>
  <c r="S59" i="61"/>
  <c r="M44" i="58"/>
  <c r="O44" i="58" s="1"/>
  <c r="M16" i="58"/>
  <c r="O16" i="59" s="1"/>
  <c r="S64" i="57"/>
  <c r="O55" i="52"/>
  <c r="O40" i="57"/>
  <c r="O59" i="58"/>
  <c r="S59" i="58" s="1"/>
  <c r="S67" i="54"/>
  <c r="S64" i="54"/>
  <c r="M58" i="58"/>
  <c r="O58" i="58" s="1"/>
  <c r="S58" i="58" s="1"/>
  <c r="M47" i="58"/>
  <c r="B28" i="56"/>
  <c r="B19" i="56"/>
  <c r="B39" i="58"/>
  <c r="B33" i="58"/>
  <c r="B20" i="58"/>
  <c r="B13" i="54"/>
  <c r="B42" i="54"/>
  <c r="H42" i="54" s="1"/>
  <c r="B33" i="54"/>
  <c r="B21" i="52"/>
  <c r="B37" i="52"/>
  <c r="Q10" i="50"/>
  <c r="Q9" i="50"/>
  <c r="K10" i="50"/>
  <c r="N4" i="50"/>
  <c r="K6" i="50"/>
  <c r="K4" i="50"/>
  <c r="N5" i="50"/>
  <c r="B6" i="52"/>
  <c r="B7" i="52"/>
  <c r="B54" i="52"/>
  <c r="B38" i="52"/>
  <c r="B49" i="52"/>
  <c r="B33" i="52"/>
  <c r="B39" i="52"/>
  <c r="B16" i="52"/>
  <c r="B36" i="52"/>
  <c r="B17" i="52"/>
  <c r="B27" i="52"/>
  <c r="B35" i="52"/>
  <c r="B11" i="52"/>
  <c r="B48" i="52"/>
  <c r="B14" i="52"/>
  <c r="B50" i="52"/>
  <c r="B34" i="52"/>
  <c r="B45" i="52"/>
  <c r="B29" i="52"/>
  <c r="B31" i="52"/>
  <c r="B12" i="52"/>
  <c r="B28" i="52"/>
  <c r="B13" i="52"/>
  <c r="B19" i="52"/>
  <c r="B26" i="52"/>
  <c r="B22" i="52"/>
  <c r="B15" i="52"/>
  <c r="B10" i="52"/>
  <c r="B46" i="52"/>
  <c r="B30" i="52"/>
  <c r="B41" i="52"/>
  <c r="B55" i="52"/>
  <c r="B24" i="52"/>
  <c r="B52" i="52"/>
  <c r="B25" i="52"/>
  <c r="B56" i="52"/>
  <c r="B8" i="52"/>
  <c r="B18" i="52"/>
  <c r="B43" i="52"/>
  <c r="B44" i="56"/>
  <c r="B48" i="56"/>
  <c r="B12" i="56"/>
  <c r="B16" i="56"/>
  <c r="B25" i="56"/>
  <c r="B30" i="56"/>
  <c r="B55" i="56"/>
  <c r="B32" i="56"/>
  <c r="B21" i="56"/>
  <c r="B50" i="56"/>
  <c r="B37" i="56"/>
  <c r="B42" i="56"/>
  <c r="B29" i="56"/>
  <c r="B13" i="56"/>
  <c r="B53" i="56"/>
  <c r="B34" i="56"/>
  <c r="B51" i="56"/>
  <c r="B36" i="56"/>
  <c r="B15" i="56"/>
  <c r="B46" i="56"/>
  <c r="B43" i="56"/>
  <c r="B14" i="56"/>
  <c r="B27" i="56"/>
  <c r="B24" i="56"/>
  <c r="B26" i="56"/>
  <c r="B49" i="56"/>
  <c r="B38" i="56"/>
  <c r="B47" i="56"/>
  <c r="B41" i="56"/>
  <c r="B22" i="56"/>
  <c r="B11" i="56"/>
  <c r="M14" i="58"/>
  <c r="M29" i="58"/>
  <c r="O29" i="58" s="1"/>
  <c r="M32" i="58"/>
  <c r="M31" i="58"/>
  <c r="M26" i="58"/>
  <c r="O26" i="58" s="1"/>
  <c r="M62" i="58"/>
  <c r="M69" i="58"/>
  <c r="O69" i="58" s="1"/>
  <c r="S69" i="58" s="1"/>
  <c r="M17" i="58"/>
  <c r="M45" i="58"/>
  <c r="M35" i="58"/>
  <c r="M48" i="58"/>
  <c r="O48" i="59" s="1"/>
  <c r="M54" i="58"/>
  <c r="M60" i="58"/>
  <c r="O60" i="58" s="1"/>
  <c r="S60" i="58" s="1"/>
  <c r="M21" i="58"/>
  <c r="O21" i="59" s="1"/>
  <c r="M11" i="58"/>
  <c r="M59" i="58"/>
  <c r="M56" i="58"/>
  <c r="O56" i="59" s="1"/>
  <c r="M19" i="58"/>
  <c r="M49" i="58"/>
  <c r="O49" i="58" s="1"/>
  <c r="M51" i="58"/>
  <c r="O51" i="59" s="1"/>
  <c r="M57" i="58"/>
  <c r="O57" i="59" s="1"/>
  <c r="M63" i="58"/>
  <c r="O63" i="59" s="1"/>
  <c r="S63" i="59" s="1"/>
  <c r="M66" i="58"/>
  <c r="O66" i="58" s="1"/>
  <c r="S66" i="58" s="1"/>
  <c r="M67" i="58"/>
  <c r="M24" i="58"/>
  <c r="O24" i="58" s="1"/>
  <c r="M37" i="58"/>
  <c r="O37" i="59" s="1"/>
  <c r="M53" i="58"/>
  <c r="O53" i="58" s="1"/>
  <c r="M52" i="58"/>
  <c r="O52" i="58" s="1"/>
  <c r="M55" i="58"/>
  <c r="O55" i="59" s="1"/>
  <c r="M65" i="58"/>
  <c r="O65" i="58" s="1"/>
  <c r="S65" i="58" s="1"/>
  <c r="M33" i="58"/>
  <c r="O33" i="58" s="1"/>
  <c r="M36" i="58"/>
  <c r="O36" i="58" s="1"/>
  <c r="M50" i="58"/>
  <c r="O50" i="58" s="1"/>
  <c r="M25" i="58"/>
  <c r="M68" i="58"/>
  <c r="O68" i="58" s="1"/>
  <c r="S68" i="58" s="1"/>
  <c r="M42" i="58"/>
  <c r="O42" i="59" s="1"/>
  <c r="M61" i="58"/>
  <c r="M43" i="58"/>
  <c r="S57" i="59"/>
  <c r="O23" i="53"/>
  <c r="S66" i="56"/>
  <c r="S64" i="53"/>
  <c r="O33" i="56"/>
  <c r="O58" i="60"/>
  <c r="S58" i="60" s="1"/>
  <c r="S63" i="55"/>
  <c r="S66" i="61"/>
  <c r="M20" i="58"/>
  <c r="O20" i="59" s="1"/>
  <c r="M28" i="58"/>
  <c r="O28" i="59" s="1"/>
  <c r="S68" i="56"/>
  <c r="O14" i="54"/>
  <c r="O35" i="54"/>
  <c r="S57" i="57"/>
  <c r="M27" i="58"/>
  <c r="M46" i="58"/>
  <c r="O46" i="58" s="1"/>
  <c r="M22" i="58"/>
  <c r="M41" i="58"/>
  <c r="O41" i="58" s="1"/>
  <c r="L41" i="60"/>
  <c r="B10" i="56"/>
  <c r="B20" i="56"/>
  <c r="B17" i="58"/>
  <c r="B22" i="58"/>
  <c r="B51" i="58"/>
  <c r="B43" i="54"/>
  <c r="B9" i="52"/>
  <c r="B44" i="52"/>
  <c r="B53" i="52"/>
  <c r="I11" i="4"/>
  <c r="G2" i="60" s="1"/>
  <c r="H20" i="60" s="1"/>
  <c r="I5" i="4"/>
  <c r="G2" i="54" s="1"/>
  <c r="H31" i="54" s="1"/>
  <c r="O23" i="58"/>
  <c r="O25" i="58"/>
  <c r="H49" i="54"/>
  <c r="O48" i="60"/>
  <c r="O26" i="59"/>
  <c r="O57" i="52"/>
  <c r="S58" i="61"/>
  <c r="M15" i="58"/>
  <c r="O15" i="58" s="1"/>
  <c r="S58" i="55"/>
  <c r="S59" i="56"/>
  <c r="S62" i="56"/>
  <c r="O37" i="56"/>
  <c r="O14" i="55"/>
  <c r="S66" i="54"/>
  <c r="S65" i="54"/>
  <c r="O63" i="58"/>
  <c r="S63" i="58" s="1"/>
  <c r="O25" i="57"/>
  <c r="O19" i="61"/>
  <c r="M23" i="58"/>
  <c r="M13" i="58"/>
  <c r="O13" i="59" s="1"/>
  <c r="M34" i="58"/>
  <c r="O34" i="59" s="1"/>
  <c r="B33" i="56"/>
  <c r="B17" i="56"/>
  <c r="B23" i="56"/>
  <c r="B28" i="58"/>
  <c r="B49" i="58"/>
  <c r="B40" i="58"/>
  <c r="S69" i="57"/>
  <c r="O23" i="57"/>
  <c r="B19" i="54"/>
  <c r="H19" i="54" s="1"/>
  <c r="C17" i="60"/>
  <c r="D17" i="60" s="1"/>
  <c r="M18" i="58"/>
  <c r="O18" i="59" s="1"/>
  <c r="B51" i="52"/>
  <c r="B20" i="52"/>
  <c r="B42" i="52"/>
  <c r="O67" i="61"/>
  <c r="S67" i="61" s="1"/>
  <c r="O50" i="54"/>
  <c r="S58" i="57"/>
  <c r="S59" i="52"/>
  <c r="O8" i="54"/>
  <c r="C18" i="54"/>
  <c r="D18" i="54" s="1"/>
  <c r="L18" i="54"/>
  <c r="O25" i="52"/>
  <c r="S61" i="61"/>
  <c r="S61" i="54"/>
  <c r="S68" i="57"/>
  <c r="O38" i="58"/>
  <c r="S68" i="61"/>
  <c r="O31" i="61"/>
  <c r="O18" i="60"/>
  <c r="O38" i="60"/>
  <c r="O19" i="60"/>
  <c r="O29" i="61"/>
  <c r="O56" i="61"/>
  <c r="C32" i="54"/>
  <c r="D32" i="54" s="1"/>
  <c r="C49" i="54"/>
  <c r="D49" i="54" s="1"/>
  <c r="E49" i="54" s="1"/>
  <c r="F49" i="54" s="1"/>
  <c r="J49" i="54" s="1"/>
  <c r="L16" i="54"/>
  <c r="L55" i="54"/>
  <c r="L49" i="54"/>
  <c r="H39" i="60"/>
  <c r="C17" i="54"/>
  <c r="D17" i="54" s="1"/>
  <c r="E17" i="54" s="1"/>
  <c r="F17" i="54" s="1"/>
  <c r="L19" i="54"/>
  <c r="L50" i="54"/>
  <c r="L38" i="54"/>
  <c r="C38" i="54"/>
  <c r="D38" i="54" s="1"/>
  <c r="E38" i="54" s="1"/>
  <c r="F38" i="54" s="1"/>
  <c r="C16" i="54"/>
  <c r="D16" i="54" s="1"/>
  <c r="E16" i="54" s="1"/>
  <c r="F16" i="54" s="1"/>
  <c r="C43" i="54"/>
  <c r="D43" i="54" s="1"/>
  <c r="E43" i="54" s="1"/>
  <c r="F43" i="54" s="1"/>
  <c r="C33" i="54"/>
  <c r="D33" i="54" s="1"/>
  <c r="E33" i="54" s="1"/>
  <c r="F33" i="54" s="1"/>
  <c r="C23" i="54"/>
  <c r="D23" i="54" s="1"/>
  <c r="E23" i="54" s="1"/>
  <c r="F23" i="54" s="1"/>
  <c r="J23" i="54" s="1"/>
  <c r="C44" i="54"/>
  <c r="D44" i="54" s="1"/>
  <c r="E44" i="54" s="1"/>
  <c r="F44" i="54" s="1"/>
  <c r="C51" i="54"/>
  <c r="D51" i="54" s="1"/>
  <c r="L51" i="54"/>
  <c r="L44" i="54"/>
  <c r="L17" i="54"/>
  <c r="L26" i="54"/>
  <c r="L32" i="54"/>
  <c r="L14" i="54"/>
  <c r="L31" i="54"/>
  <c r="L33" i="54"/>
  <c r="L9" i="54"/>
  <c r="L20" i="54"/>
  <c r="L39" i="54"/>
  <c r="L43" i="54"/>
  <c r="L13" i="54"/>
  <c r="E18" i="54"/>
  <c r="F18" i="54" s="1"/>
  <c r="E32" i="54"/>
  <c r="F32" i="54" s="1"/>
  <c r="E17" i="60"/>
  <c r="F17" i="60" s="1"/>
  <c r="G17" i="60" s="1"/>
  <c r="H41" i="60"/>
  <c r="H45" i="60"/>
  <c r="C9" i="54"/>
  <c r="D9" i="54" s="1"/>
  <c r="E9" i="54" s="1"/>
  <c r="F9" i="54" s="1"/>
  <c r="C55" i="54"/>
  <c r="D55" i="54" s="1"/>
  <c r="C26" i="54"/>
  <c r="D26" i="54" s="1"/>
  <c r="C39" i="54"/>
  <c r="D39" i="54" s="1"/>
  <c r="C50" i="54"/>
  <c r="D50" i="54" s="1"/>
  <c r="C13" i="54"/>
  <c r="D13" i="54" s="1"/>
  <c r="E13" i="54" s="1"/>
  <c r="F13" i="54" s="1"/>
  <c r="C19" i="54"/>
  <c r="D19" i="54" s="1"/>
  <c r="H23" i="60"/>
  <c r="H33" i="60"/>
  <c r="H26" i="60"/>
  <c r="H54" i="60"/>
  <c r="G38" i="54"/>
  <c r="H17" i="60"/>
  <c r="H48" i="60"/>
  <c r="C14" i="54"/>
  <c r="D14" i="54" s="1"/>
  <c r="C31" i="54"/>
  <c r="D31" i="54" s="1"/>
  <c r="C29" i="54"/>
  <c r="D29" i="54" s="1"/>
  <c r="E29" i="54" s="1"/>
  <c r="F29" i="54" s="1"/>
  <c r="J29" i="54" s="1"/>
  <c r="H52" i="60"/>
  <c r="O24" i="59"/>
  <c r="O31" i="55"/>
  <c r="O62" i="55"/>
  <c r="S62" i="55" s="1"/>
  <c r="O58" i="56"/>
  <c r="S58" i="56" s="1"/>
  <c r="O28" i="58"/>
  <c r="O58" i="59"/>
  <c r="S58" i="59" s="1"/>
  <c r="O59" i="55"/>
  <c r="S59" i="55" s="1"/>
  <c r="O23" i="55"/>
  <c r="O14" i="56"/>
  <c r="O54" i="56"/>
  <c r="O50" i="59"/>
  <c r="O26" i="52"/>
  <c r="O62" i="53"/>
  <c r="S62" i="53" s="1"/>
  <c r="O26" i="60"/>
  <c r="O33" i="53"/>
  <c r="O7" i="53"/>
  <c r="O58" i="54"/>
  <c r="S58" i="54" s="1"/>
  <c r="O60" i="54"/>
  <c r="S60" i="54" s="1"/>
  <c r="O15" i="60"/>
  <c r="O15" i="53"/>
  <c r="O15" i="59"/>
  <c r="O56" i="58"/>
  <c r="O18" i="54"/>
  <c r="O22" i="54"/>
  <c r="G33" i="54"/>
  <c r="I10" i="4"/>
  <c r="G2" i="59" s="1"/>
  <c r="H28" i="59" s="1"/>
  <c r="I6" i="4"/>
  <c r="G2" i="55" s="1"/>
  <c r="C19" i="55" s="1"/>
  <c r="D19" i="55" s="1"/>
  <c r="I9" i="4"/>
  <c r="G2" i="58" s="1"/>
  <c r="C46" i="58" s="1"/>
  <c r="D46" i="58" s="1"/>
  <c r="I4" i="4"/>
  <c r="G2" i="53" s="1"/>
  <c r="L18" i="53" s="1"/>
  <c r="I2" i="4"/>
  <c r="G2" i="1" s="1"/>
  <c r="I7" i="4"/>
  <c r="G2" i="56" s="1"/>
  <c r="I12" i="4"/>
  <c r="G2" i="61" s="1"/>
  <c r="N9" i="50"/>
  <c r="K8" i="50"/>
  <c r="B53" i="53"/>
  <c r="B45" i="53"/>
  <c r="B37" i="53"/>
  <c r="B29" i="53"/>
  <c r="B21" i="53"/>
  <c r="B24" i="53"/>
  <c r="B40" i="53"/>
  <c r="B56" i="53"/>
  <c r="B22" i="53"/>
  <c r="B38" i="53"/>
  <c r="B54" i="53"/>
  <c r="B14" i="53"/>
  <c r="B12" i="53"/>
  <c r="B15" i="53"/>
  <c r="B10" i="53"/>
  <c r="B49" i="53"/>
  <c r="B41" i="53"/>
  <c r="B33" i="53"/>
  <c r="B25" i="53"/>
  <c r="B17" i="53"/>
  <c r="B16" i="53"/>
  <c r="B32" i="53"/>
  <c r="B48" i="53"/>
  <c r="B30" i="53"/>
  <c r="B46" i="53"/>
  <c r="B11" i="53"/>
  <c r="B9" i="53"/>
  <c r="B13" i="53"/>
  <c r="B47" i="53"/>
  <c r="B31" i="53"/>
  <c r="B28" i="53"/>
  <c r="B34" i="53"/>
  <c r="B7" i="53"/>
  <c r="B43" i="53"/>
  <c r="B27" i="53"/>
  <c r="B36" i="53"/>
  <c r="B42" i="53"/>
  <c r="B36" i="55"/>
  <c r="B41" i="55"/>
  <c r="B20" i="55"/>
  <c r="B32" i="55"/>
  <c r="B9" i="55"/>
  <c r="L9" i="55" s="1"/>
  <c r="B17" i="55"/>
  <c r="B45" i="55"/>
  <c r="B24" i="55"/>
  <c r="B47" i="55"/>
  <c r="B34" i="55"/>
  <c r="B54" i="55"/>
  <c r="B21" i="55"/>
  <c r="B25" i="55"/>
  <c r="B14" i="55"/>
  <c r="B40" i="55"/>
  <c r="B52" i="55"/>
  <c r="B23" i="55"/>
  <c r="B13" i="55"/>
  <c r="B43" i="55"/>
  <c r="B30" i="55"/>
  <c r="B50" i="55"/>
  <c r="B37" i="55"/>
  <c r="B18" i="55"/>
  <c r="B10" i="55"/>
  <c r="B35" i="55"/>
  <c r="B44" i="55"/>
  <c r="B12" i="55"/>
  <c r="L20" i="55"/>
  <c r="M56" i="55"/>
  <c r="M67" i="55"/>
  <c r="O67" i="56" s="1"/>
  <c r="S67" i="56" s="1"/>
  <c r="M9" i="55"/>
  <c r="O9" i="55" s="1"/>
  <c r="M34" i="55"/>
  <c r="O34" i="55" s="1"/>
  <c r="M17" i="55"/>
  <c r="O17" i="56" s="1"/>
  <c r="M38" i="55"/>
  <c r="O38" i="55" s="1"/>
  <c r="M69" i="55"/>
  <c r="O69" i="55" s="1"/>
  <c r="S69" i="55" s="1"/>
  <c r="M60" i="55"/>
  <c r="O60" i="56" s="1"/>
  <c r="S60" i="56" s="1"/>
  <c r="H17" i="59"/>
  <c r="O39" i="52"/>
  <c r="I8" i="4"/>
  <c r="G2" i="57" s="1"/>
  <c r="I3" i="4"/>
  <c r="G2" i="52" s="1"/>
  <c r="C42" i="52" s="1"/>
  <c r="D42" i="52" s="1"/>
  <c r="B28" i="55"/>
  <c r="B35" i="53"/>
  <c r="B43" i="60"/>
  <c r="B27" i="60"/>
  <c r="B44" i="60"/>
  <c r="B38" i="60"/>
  <c r="B53" i="60"/>
  <c r="B40" i="60"/>
  <c r="B15" i="60"/>
  <c r="B49" i="60"/>
  <c r="B56" i="60"/>
  <c r="B37" i="60"/>
  <c r="B22" i="60"/>
  <c r="B16" i="60"/>
  <c r="B35" i="60"/>
  <c r="B47" i="60"/>
  <c r="B21" i="60"/>
  <c r="B30" i="60"/>
  <c r="B50" i="60"/>
  <c r="B24" i="60"/>
  <c r="B36" i="60"/>
  <c r="B18" i="60"/>
  <c r="B25" i="60"/>
  <c r="B31" i="60"/>
  <c r="B42" i="60"/>
  <c r="B19" i="60"/>
  <c r="B28" i="60"/>
  <c r="B14" i="60"/>
  <c r="B29" i="60"/>
  <c r="B55" i="60"/>
  <c r="B34" i="60"/>
  <c r="B32" i="60"/>
  <c r="B46" i="60"/>
  <c r="B51" i="60"/>
  <c r="B31" i="55"/>
  <c r="B48" i="55"/>
  <c r="B29" i="55"/>
  <c r="B11" i="55"/>
  <c r="B38" i="55"/>
  <c r="K9" i="50"/>
  <c r="B8" i="53"/>
  <c r="M25" i="55"/>
  <c r="O25" i="55" s="1"/>
  <c r="B50" i="53"/>
  <c r="B52" i="53"/>
  <c r="B39" i="53"/>
  <c r="O46" i="61"/>
  <c r="O69" i="61"/>
  <c r="S69" i="61" s="1"/>
  <c r="B28" i="54"/>
  <c r="B21" i="54"/>
  <c r="B47" i="54"/>
  <c r="B11" i="54"/>
  <c r="B45" i="54"/>
  <c r="B54" i="54"/>
  <c r="M41" i="52"/>
  <c r="O41" i="52" s="1"/>
  <c r="M46" i="52"/>
  <c r="O46" i="52" s="1"/>
  <c r="M56" i="52"/>
  <c r="O56" i="52" s="1"/>
  <c r="C51" i="52"/>
  <c r="D51" i="52" s="1"/>
  <c r="M38" i="52"/>
  <c r="O38" i="52" s="1"/>
  <c r="B40" i="54"/>
  <c r="B25" i="54"/>
  <c r="B31" i="59"/>
  <c r="B27" i="59"/>
  <c r="B49" i="59"/>
  <c r="B45" i="59"/>
  <c r="B41" i="59"/>
  <c r="B37" i="59"/>
  <c r="B33" i="59"/>
  <c r="B54" i="59"/>
  <c r="B16" i="59"/>
  <c r="B29" i="59"/>
  <c r="B18" i="59"/>
  <c r="B19" i="59"/>
  <c r="B51" i="59"/>
  <c r="B47" i="59"/>
  <c r="B43" i="59"/>
  <c r="B39" i="59"/>
  <c r="B35" i="59"/>
  <c r="B56" i="59"/>
  <c r="B13" i="59"/>
  <c r="B24" i="59"/>
  <c r="B21" i="59"/>
  <c r="B14" i="59"/>
  <c r="B26" i="59"/>
  <c r="M22" i="59"/>
  <c r="M62" i="59"/>
  <c r="O62" i="59" s="1"/>
  <c r="S62" i="59" s="1"/>
  <c r="M53" i="59"/>
  <c r="O53" i="60" s="1"/>
  <c r="M45" i="59"/>
  <c r="O45" i="60" s="1"/>
  <c r="M65" i="59"/>
  <c r="O65" i="60" s="1"/>
  <c r="S65" i="60" s="1"/>
  <c r="M64" i="59"/>
  <c r="M23" i="59"/>
  <c r="M60" i="59"/>
  <c r="M59" i="59"/>
  <c r="M49" i="59"/>
  <c r="O49" i="60" s="1"/>
  <c r="M41" i="59"/>
  <c r="O69" i="56"/>
  <c r="S69" i="56" s="1"/>
  <c r="O17" i="55"/>
  <c r="C18" i="52"/>
  <c r="D18" i="52" s="1"/>
  <c r="C21" i="52"/>
  <c r="D21" i="52" s="1"/>
  <c r="M67" i="52"/>
  <c r="O67" i="52" s="1"/>
  <c r="S67" i="52" s="1"/>
  <c r="M34" i="52"/>
  <c r="O34" i="52" s="1"/>
  <c r="M69" i="52"/>
  <c r="O69" i="52" s="1"/>
  <c r="S69" i="52" s="1"/>
  <c r="M60" i="52"/>
  <c r="O60" i="53" s="1"/>
  <c r="S60" i="53" s="1"/>
  <c r="M31" i="52"/>
  <c r="O31" i="53" s="1"/>
  <c r="M40" i="52"/>
  <c r="M49" i="52"/>
  <c r="O49" i="52" s="1"/>
  <c r="M54" i="52"/>
  <c r="M8" i="52"/>
  <c r="O8" i="53" s="1"/>
  <c r="M35" i="52"/>
  <c r="M19" i="52"/>
  <c r="O19" i="53" s="1"/>
  <c r="M43" i="52"/>
  <c r="O43" i="53" s="1"/>
  <c r="M37" i="52"/>
  <c r="O37" i="53" s="1"/>
  <c r="B27" i="54"/>
  <c r="B34" i="54"/>
  <c r="B52" i="54"/>
  <c r="B8" i="54"/>
  <c r="B22" i="54"/>
  <c r="B12" i="54"/>
  <c r="B46" i="54"/>
  <c r="B56" i="54"/>
  <c r="B10" i="54"/>
  <c r="B30" i="54"/>
  <c r="B48" i="54"/>
  <c r="B35" i="54"/>
  <c r="B53" i="54"/>
  <c r="B41" i="54"/>
  <c r="B15" i="54"/>
  <c r="B36" i="54"/>
  <c r="B56" i="56"/>
  <c r="B31" i="56"/>
  <c r="B52" i="56"/>
  <c r="B39" i="56"/>
  <c r="B18" i="56"/>
  <c r="B40" i="56"/>
  <c r="B26" i="58"/>
  <c r="B35" i="58"/>
  <c r="O29" i="54"/>
  <c r="O64" i="52"/>
  <c r="S64" i="52" s="1"/>
  <c r="O16" i="53"/>
  <c r="O34" i="61"/>
  <c r="O64" i="61"/>
  <c r="S64" i="61" s="1"/>
  <c r="O42" i="53"/>
  <c r="O59" i="53"/>
  <c r="S59" i="53" s="1"/>
  <c r="O22" i="61"/>
  <c r="O65" i="57"/>
  <c r="S65" i="57" s="1"/>
  <c r="O42" i="57"/>
  <c r="O30" i="57"/>
  <c r="O12" i="52"/>
  <c r="O56" i="56"/>
  <c r="O17" i="52"/>
  <c r="O59" i="60"/>
  <c r="S59" i="60" s="1"/>
  <c r="O60" i="60"/>
  <c r="S60" i="60" s="1"/>
  <c r="O44" i="59"/>
  <c r="O21" i="53"/>
  <c r="O14" i="53"/>
  <c r="O44" i="55"/>
  <c r="O41" i="55"/>
  <c r="O13" i="58"/>
  <c r="O62" i="58"/>
  <c r="S62" i="58" s="1"/>
  <c r="O15" i="52"/>
  <c r="O51" i="61"/>
  <c r="O50" i="52"/>
  <c r="O17" i="57"/>
  <c r="O35" i="60"/>
  <c r="O39" i="58"/>
  <c r="O44" i="57"/>
  <c r="O62" i="57"/>
  <c r="S62" i="57" s="1"/>
  <c r="O52" i="57"/>
  <c r="O58" i="52"/>
  <c r="S58" i="52" s="1"/>
  <c r="O48" i="53"/>
  <c r="O51" i="52"/>
  <c r="O47" i="57"/>
  <c r="O60" i="57"/>
  <c r="S60" i="57" s="1"/>
  <c r="O39" i="53"/>
  <c r="O68" i="52"/>
  <c r="S68" i="52" s="1"/>
  <c r="O22" i="60"/>
  <c r="O55" i="61"/>
  <c r="O40" i="59"/>
  <c r="O37" i="61"/>
  <c r="O16" i="54"/>
  <c r="O62" i="54"/>
  <c r="S62" i="54" s="1"/>
  <c r="O32" i="55"/>
  <c r="O13" i="54"/>
  <c r="O63" i="52"/>
  <c r="S63" i="52" s="1"/>
  <c r="O23" i="52"/>
  <c r="O40" i="61"/>
  <c r="O38" i="56"/>
  <c r="O32" i="61"/>
  <c r="O65" i="52"/>
  <c r="S65" i="52" s="1"/>
  <c r="O53" i="56"/>
  <c r="O53" i="55"/>
  <c r="O52" i="60"/>
  <c r="O52" i="59"/>
  <c r="O66" i="52"/>
  <c r="S66" i="52" s="1"/>
  <c r="O66" i="53"/>
  <c r="S66" i="53" s="1"/>
  <c r="O69" i="60"/>
  <c r="S69" i="60" s="1"/>
  <c r="O57" i="60"/>
  <c r="S57" i="60" s="1"/>
  <c r="O57" i="61"/>
  <c r="S57" i="61" s="1"/>
  <c r="O27" i="55"/>
  <c r="O27" i="56"/>
  <c r="O47" i="54"/>
  <c r="O47" i="53"/>
  <c r="O68" i="55"/>
  <c r="S68" i="55" s="1"/>
  <c r="O68" i="54"/>
  <c r="S68" i="54" s="1"/>
  <c r="O43" i="59"/>
  <c r="O43" i="58"/>
  <c r="O16" i="60"/>
  <c r="O42" i="61"/>
  <c r="O42" i="60"/>
  <c r="O41" i="60"/>
  <c r="O41" i="59"/>
  <c r="O7" i="52"/>
  <c r="O66" i="60"/>
  <c r="S66" i="60" s="1"/>
  <c r="O66" i="59"/>
  <c r="S66" i="59" s="1"/>
  <c r="O32" i="54"/>
  <c r="O61" i="59"/>
  <c r="S61" i="59" s="1"/>
  <c r="O61" i="60"/>
  <c r="S61" i="60" s="1"/>
  <c r="O28" i="53"/>
  <c r="O28" i="52"/>
  <c r="O46" i="60"/>
  <c r="O46" i="59"/>
  <c r="O52" i="52"/>
  <c r="O52" i="53"/>
  <c r="O64" i="56"/>
  <c r="S64" i="56" s="1"/>
  <c r="O64" i="55"/>
  <c r="S64" i="55" s="1"/>
  <c r="O60" i="59"/>
  <c r="S60" i="59" s="1"/>
  <c r="O49" i="54"/>
  <c r="O69" i="54"/>
  <c r="S69" i="54" s="1"/>
  <c r="O69" i="53"/>
  <c r="S69" i="53" s="1"/>
  <c r="O31" i="58"/>
  <c r="O31" i="59"/>
  <c r="O51" i="60"/>
  <c r="O29" i="60"/>
  <c r="O36" i="60"/>
  <c r="O36" i="59"/>
  <c r="O25" i="60"/>
  <c r="O25" i="59"/>
  <c r="O28" i="61"/>
  <c r="O28" i="60"/>
  <c r="O20" i="61"/>
  <c r="O20" i="60"/>
  <c r="O67" i="53"/>
  <c r="S67" i="53" s="1"/>
  <c r="O24" i="56"/>
  <c r="O24" i="55"/>
  <c r="O44" i="53"/>
  <c r="O44" i="52"/>
  <c r="O68" i="60"/>
  <c r="S68" i="60" s="1"/>
  <c r="O33" i="61"/>
  <c r="O33" i="60"/>
  <c r="O27" i="54"/>
  <c r="O27" i="53"/>
  <c r="O55" i="55"/>
  <c r="O55" i="54"/>
  <c r="O34" i="54"/>
  <c r="O34" i="53"/>
  <c r="O13" i="52"/>
  <c r="O13" i="53"/>
  <c r="O22" i="53"/>
  <c r="O22" i="52"/>
  <c r="O19" i="55"/>
  <c r="O19" i="56"/>
  <c r="O36" i="56"/>
  <c r="O36" i="55"/>
  <c r="O46" i="56"/>
  <c r="O46" i="55"/>
  <c r="O39" i="56"/>
  <c r="O39" i="55"/>
  <c r="O51" i="55"/>
  <c r="O51" i="56"/>
  <c r="O26" i="55"/>
  <c r="O26" i="56"/>
  <c r="O41" i="54"/>
  <c r="O41" i="53"/>
  <c r="O55" i="58"/>
  <c r="O55" i="57"/>
  <c r="O20" i="57"/>
  <c r="O20" i="58"/>
  <c r="O53" i="53"/>
  <c r="O53" i="52"/>
  <c r="O61" i="52"/>
  <c r="S61" i="52" s="1"/>
  <c r="O61" i="53"/>
  <c r="S61" i="53" s="1"/>
  <c r="O45" i="53"/>
  <c r="O45" i="52"/>
  <c r="O9" i="54"/>
  <c r="O9" i="53"/>
  <c r="O61" i="55"/>
  <c r="S61" i="55" s="1"/>
  <c r="O61" i="56"/>
  <c r="S61" i="56" s="1"/>
  <c r="O30" i="56"/>
  <c r="O30" i="55"/>
  <c r="O21" i="56"/>
  <c r="O21" i="55"/>
  <c r="O36" i="54"/>
  <c r="O36" i="53"/>
  <c r="O29" i="52"/>
  <c r="O17" i="59"/>
  <c r="O17" i="58"/>
  <c r="O22" i="59"/>
  <c r="O22" i="58"/>
  <c r="O65" i="61"/>
  <c r="S65" i="61" s="1"/>
  <c r="O32" i="57"/>
  <c r="O50" i="53"/>
  <c r="O38" i="53"/>
  <c r="O35" i="59"/>
  <c r="O35" i="58"/>
  <c r="O45" i="59"/>
  <c r="O45" i="58"/>
  <c r="O20" i="55"/>
  <c r="O59" i="59"/>
  <c r="S59" i="59" s="1"/>
  <c r="O42" i="58"/>
  <c r="O61" i="58"/>
  <c r="S61" i="58" s="1"/>
  <c r="O37" i="58"/>
  <c r="O37" i="57"/>
  <c r="O48" i="57"/>
  <c r="O27" i="60"/>
  <c r="O27" i="61"/>
  <c r="O60" i="61"/>
  <c r="S60" i="61" s="1"/>
  <c r="O52" i="54"/>
  <c r="O9" i="52"/>
  <c r="O48" i="54"/>
  <c r="O31" i="54"/>
  <c r="O29" i="59"/>
  <c r="O57" i="58"/>
  <c r="S57" i="58" s="1"/>
  <c r="O51" i="58"/>
  <c r="O39" i="61"/>
  <c r="O45" i="61"/>
  <c r="O56" i="55"/>
  <c r="O61" i="57"/>
  <c r="S61" i="57" s="1"/>
  <c r="O63" i="56"/>
  <c r="S63" i="56" s="1"/>
  <c r="O39" i="60"/>
  <c r="O32" i="59" l="1"/>
  <c r="O32" i="58"/>
  <c r="O53" i="59"/>
  <c r="O62" i="60"/>
  <c r="S62" i="60" s="1"/>
  <c r="O18" i="58"/>
  <c r="H44" i="59"/>
  <c r="G49" i="54"/>
  <c r="I49" i="54" s="1"/>
  <c r="L29" i="54"/>
  <c r="P29" i="54" s="1"/>
  <c r="L42" i="54"/>
  <c r="L24" i="54"/>
  <c r="L37" i="54"/>
  <c r="C20" i="54"/>
  <c r="D20" i="54" s="1"/>
  <c r="E20" i="54" s="1"/>
  <c r="F20" i="54" s="1"/>
  <c r="G20" i="54" s="1"/>
  <c r="I20" i="54" s="1"/>
  <c r="O33" i="59"/>
  <c r="O16" i="58"/>
  <c r="O19" i="59"/>
  <c r="O19" i="58"/>
  <c r="O21" i="58"/>
  <c r="H13" i="54"/>
  <c r="J13" i="54" s="1"/>
  <c r="P13" i="54" s="1"/>
  <c r="L52" i="60"/>
  <c r="L54" i="60"/>
  <c r="H50" i="54"/>
  <c r="H32" i="54"/>
  <c r="H44" i="54"/>
  <c r="J44" i="54" s="1"/>
  <c r="P44" i="54" s="1"/>
  <c r="H39" i="54"/>
  <c r="O27" i="59"/>
  <c r="O27" i="58"/>
  <c r="O34" i="58"/>
  <c r="O49" i="53"/>
  <c r="L34" i="59"/>
  <c r="C55" i="59"/>
  <c r="D55" i="59" s="1"/>
  <c r="H30" i="59"/>
  <c r="H34" i="59"/>
  <c r="C24" i="54"/>
  <c r="D24" i="54" s="1"/>
  <c r="G23" i="54"/>
  <c r="I23" i="54" s="1"/>
  <c r="L23" i="54"/>
  <c r="C37" i="54"/>
  <c r="D37" i="54" s="1"/>
  <c r="E37" i="54" s="1"/>
  <c r="F37" i="54" s="1"/>
  <c r="J37" i="54" s="1"/>
  <c r="P37" i="54" s="1"/>
  <c r="C48" i="60"/>
  <c r="D48" i="60" s="1"/>
  <c r="E48" i="60" s="1"/>
  <c r="F48" i="60" s="1"/>
  <c r="G48" i="60" s="1"/>
  <c r="C54" i="60"/>
  <c r="D54" i="60" s="1"/>
  <c r="C52" i="60"/>
  <c r="D52" i="60" s="1"/>
  <c r="E52" i="60" s="1"/>
  <c r="F52" i="60" s="1"/>
  <c r="G52" i="60" s="1"/>
  <c r="I52" i="60" s="1"/>
  <c r="C20" i="60"/>
  <c r="D20" i="60" s="1"/>
  <c r="C33" i="60"/>
  <c r="D33" i="60" s="1"/>
  <c r="C45" i="60"/>
  <c r="D45" i="60" s="1"/>
  <c r="C39" i="60"/>
  <c r="D39" i="60" s="1"/>
  <c r="C26" i="60"/>
  <c r="D26" i="60" s="1"/>
  <c r="C23" i="60"/>
  <c r="D23" i="60" s="1"/>
  <c r="E23" i="60" s="1"/>
  <c r="F23" i="60" s="1"/>
  <c r="G23" i="60" s="1"/>
  <c r="I23" i="60" s="1"/>
  <c r="C41" i="60"/>
  <c r="D41" i="60" s="1"/>
  <c r="H43" i="54"/>
  <c r="J43" i="54" s="1"/>
  <c r="P43" i="54" s="1"/>
  <c r="O14" i="58"/>
  <c r="O14" i="59"/>
  <c r="L20" i="60"/>
  <c r="L45" i="60"/>
  <c r="H17" i="54"/>
  <c r="H14" i="54"/>
  <c r="H26" i="54"/>
  <c r="H51" i="54"/>
  <c r="O47" i="59"/>
  <c r="O47" i="58"/>
  <c r="O49" i="59"/>
  <c r="O48" i="58"/>
  <c r="O68" i="59"/>
  <c r="S68" i="59" s="1"/>
  <c r="O69" i="59"/>
  <c r="S69" i="59" s="1"/>
  <c r="H48" i="59"/>
  <c r="O19" i="52"/>
  <c r="C42" i="54"/>
  <c r="D42" i="54" s="1"/>
  <c r="E42" i="54" s="1"/>
  <c r="F42" i="54" s="1"/>
  <c r="J32" i="54"/>
  <c r="P32" i="54" s="1"/>
  <c r="J33" i="54"/>
  <c r="L39" i="60"/>
  <c r="O67" i="58"/>
  <c r="S67" i="58" s="1"/>
  <c r="O67" i="59"/>
  <c r="S67" i="59" s="1"/>
  <c r="O54" i="58"/>
  <c r="O54" i="59"/>
  <c r="H33" i="54"/>
  <c r="I33" i="54" s="1"/>
  <c r="L23" i="60"/>
  <c r="L48" i="60"/>
  <c r="L26" i="60"/>
  <c r="H55" i="54"/>
  <c r="H18" i="54"/>
  <c r="J18" i="54" s="1"/>
  <c r="P18" i="54" s="1"/>
  <c r="S18" i="54" s="1"/>
  <c r="H38" i="54"/>
  <c r="J38" i="54" s="1"/>
  <c r="P38" i="54" s="1"/>
  <c r="H9" i="54"/>
  <c r="H16" i="54"/>
  <c r="J16" i="54" s="1"/>
  <c r="P16" i="54" s="1"/>
  <c r="J17" i="54"/>
  <c r="P17" i="54" s="1"/>
  <c r="G17" i="54"/>
  <c r="I17" i="54" s="1"/>
  <c r="G13" i="54"/>
  <c r="I13" i="54" s="1"/>
  <c r="G43" i="54"/>
  <c r="I17" i="60"/>
  <c r="P49" i="54"/>
  <c r="P23" i="54"/>
  <c r="E51" i="54"/>
  <c r="F51" i="54" s="1"/>
  <c r="J51" i="54" s="1"/>
  <c r="P51" i="54" s="1"/>
  <c r="I48" i="60"/>
  <c r="G16" i="54"/>
  <c r="I16" i="54" s="1"/>
  <c r="G18" i="54"/>
  <c r="I18" i="54" s="1"/>
  <c r="P33" i="54"/>
  <c r="E24" i="54"/>
  <c r="F24" i="54" s="1"/>
  <c r="J24" i="54" s="1"/>
  <c r="P24" i="54" s="1"/>
  <c r="J48" i="60"/>
  <c r="E19" i="54"/>
  <c r="F19" i="54" s="1"/>
  <c r="J19" i="54" s="1"/>
  <c r="P19" i="54" s="1"/>
  <c r="E39" i="54"/>
  <c r="F39" i="54" s="1"/>
  <c r="J39" i="54" s="1"/>
  <c r="P39" i="54" s="1"/>
  <c r="J17" i="60"/>
  <c r="P17" i="60" s="1"/>
  <c r="G29" i="54"/>
  <c r="I29" i="54" s="1"/>
  <c r="E31" i="54"/>
  <c r="F31" i="54" s="1"/>
  <c r="J31" i="54" s="1"/>
  <c r="P31" i="54" s="1"/>
  <c r="E26" i="54"/>
  <c r="F26" i="54" s="1"/>
  <c r="J26" i="54" s="1"/>
  <c r="P26" i="54" s="1"/>
  <c r="G44" i="54"/>
  <c r="G9" i="54"/>
  <c r="J9" i="54"/>
  <c r="P9" i="54" s="1"/>
  <c r="G42" i="54"/>
  <c r="I42" i="54" s="1"/>
  <c r="J42" i="54"/>
  <c r="P42" i="54" s="1"/>
  <c r="E14" i="54"/>
  <c r="F14" i="54" s="1"/>
  <c r="J14" i="54" s="1"/>
  <c r="P14" i="54" s="1"/>
  <c r="E50" i="54"/>
  <c r="F50" i="54" s="1"/>
  <c r="J50" i="54" s="1"/>
  <c r="P50" i="54" s="1"/>
  <c r="E55" i="54"/>
  <c r="F55" i="54" s="1"/>
  <c r="J55" i="54" s="1"/>
  <c r="P55" i="54" s="1"/>
  <c r="G32" i="54"/>
  <c r="I32" i="54" s="1"/>
  <c r="N18" i="54"/>
  <c r="E42" i="52"/>
  <c r="F42" i="52" s="1"/>
  <c r="G42" i="52" s="1"/>
  <c r="C11" i="54"/>
  <c r="D11" i="54" s="1"/>
  <c r="H11" i="54"/>
  <c r="L11" i="54"/>
  <c r="C50" i="53"/>
  <c r="D50" i="53" s="1"/>
  <c r="H50" i="53"/>
  <c r="L50" i="53"/>
  <c r="C48" i="55"/>
  <c r="D48" i="55" s="1"/>
  <c r="H48" i="55"/>
  <c r="L48" i="55"/>
  <c r="L46" i="60"/>
  <c r="H46" i="60"/>
  <c r="C46" i="60"/>
  <c r="D46" i="60" s="1"/>
  <c r="L29" i="60"/>
  <c r="C29" i="60"/>
  <c r="D29" i="60" s="1"/>
  <c r="H29" i="60"/>
  <c r="C42" i="60"/>
  <c r="D42" i="60" s="1"/>
  <c r="L42" i="60"/>
  <c r="H42" i="60"/>
  <c r="H36" i="60"/>
  <c r="C36" i="60"/>
  <c r="D36" i="60" s="1"/>
  <c r="L36" i="60"/>
  <c r="H21" i="60"/>
  <c r="C21" i="60"/>
  <c r="D21" i="60" s="1"/>
  <c r="L21" i="60"/>
  <c r="L22" i="60"/>
  <c r="C22" i="60"/>
  <c r="D22" i="60" s="1"/>
  <c r="H22" i="60"/>
  <c r="C15" i="60"/>
  <c r="D15" i="60" s="1"/>
  <c r="H15" i="60"/>
  <c r="L15" i="60"/>
  <c r="C44" i="60"/>
  <c r="D44" i="60" s="1"/>
  <c r="L44" i="60"/>
  <c r="H44" i="60"/>
  <c r="C6" i="52"/>
  <c r="O34" i="56"/>
  <c r="C44" i="55"/>
  <c r="D44" i="55" s="1"/>
  <c r="H44" i="55"/>
  <c r="L44" i="55"/>
  <c r="C37" i="55"/>
  <c r="D37" i="55" s="1"/>
  <c r="H37" i="55"/>
  <c r="L37" i="55"/>
  <c r="L43" i="55"/>
  <c r="C43" i="55"/>
  <c r="D43" i="55" s="1"/>
  <c r="H43" i="55"/>
  <c r="L40" i="55"/>
  <c r="C40" i="55"/>
  <c r="D40" i="55" s="1"/>
  <c r="H40" i="55"/>
  <c r="L54" i="55"/>
  <c r="H54" i="55"/>
  <c r="C54" i="55"/>
  <c r="D54" i="55" s="1"/>
  <c r="H45" i="55"/>
  <c r="L45" i="55"/>
  <c r="C45" i="55"/>
  <c r="D45" i="55" s="1"/>
  <c r="C20" i="55"/>
  <c r="D20" i="55" s="1"/>
  <c r="H20" i="55"/>
  <c r="L36" i="53"/>
  <c r="H36" i="53"/>
  <c r="C36" i="53"/>
  <c r="D36" i="53" s="1"/>
  <c r="L34" i="53"/>
  <c r="C34" i="53"/>
  <c r="D34" i="53" s="1"/>
  <c r="H34" i="53"/>
  <c r="H13" i="53"/>
  <c r="C13" i="53"/>
  <c r="D13" i="53" s="1"/>
  <c r="L13" i="53"/>
  <c r="L30" i="53"/>
  <c r="H30" i="53"/>
  <c r="C30" i="53"/>
  <c r="D30" i="53" s="1"/>
  <c r="L17" i="53"/>
  <c r="C17" i="53"/>
  <c r="D17" i="53" s="1"/>
  <c r="H17" i="53"/>
  <c r="L49" i="53"/>
  <c r="C49" i="53"/>
  <c r="D49" i="53" s="1"/>
  <c r="H49" i="53"/>
  <c r="H14" i="53"/>
  <c r="C14" i="53"/>
  <c r="D14" i="53" s="1"/>
  <c r="L14" i="53"/>
  <c r="C56" i="53"/>
  <c r="D56" i="53" s="1"/>
  <c r="L56" i="53"/>
  <c r="H56" i="53"/>
  <c r="C29" i="53"/>
  <c r="D29" i="53" s="1"/>
  <c r="L29" i="53"/>
  <c r="H29" i="53"/>
  <c r="L56" i="52"/>
  <c r="L20" i="52"/>
  <c r="L53" i="1"/>
  <c r="C12" i="1"/>
  <c r="D12" i="1" s="1"/>
  <c r="C42" i="1"/>
  <c r="D42" i="1" s="1"/>
  <c r="H36" i="1"/>
  <c r="C13" i="1"/>
  <c r="D13" i="1" s="1"/>
  <c r="C17" i="1"/>
  <c r="D17" i="1" s="1"/>
  <c r="L52" i="1"/>
  <c r="H44" i="1"/>
  <c r="L6" i="1"/>
  <c r="L44" i="1"/>
  <c r="H50" i="1"/>
  <c r="C23" i="1"/>
  <c r="D23" i="1" s="1"/>
  <c r="C24" i="1"/>
  <c r="D24" i="1" s="1"/>
  <c r="L14" i="1"/>
  <c r="C49" i="1"/>
  <c r="D49" i="1" s="1"/>
  <c r="H49" i="1"/>
  <c r="C51" i="1"/>
  <c r="D51" i="1" s="1"/>
  <c r="L23" i="1"/>
  <c r="L45" i="1"/>
  <c r="C35" i="1"/>
  <c r="D35" i="1" s="1"/>
  <c r="C8" i="1"/>
  <c r="D8" i="1" s="1"/>
  <c r="H13" i="1"/>
  <c r="C38" i="1"/>
  <c r="D38" i="1" s="1"/>
  <c r="H26" i="1"/>
  <c r="H15" i="1"/>
  <c r="H25" i="1"/>
  <c r="H53" i="1"/>
  <c r="L15" i="1"/>
  <c r="L25" i="1"/>
  <c r="C53" i="1"/>
  <c r="D53" i="1" s="1"/>
  <c r="L12" i="1"/>
  <c r="L41" i="1"/>
  <c r="H42" i="1"/>
  <c r="H22" i="1"/>
  <c r="H43" i="1"/>
  <c r="C36" i="1"/>
  <c r="D36" i="1" s="1"/>
  <c r="C39" i="1"/>
  <c r="D39" i="1" s="1"/>
  <c r="H24" i="1"/>
  <c r="L39" i="1"/>
  <c r="C55" i="1"/>
  <c r="D55" i="1" s="1"/>
  <c r="H23" i="1"/>
  <c r="C10" i="1"/>
  <c r="D10" i="1" s="1"/>
  <c r="C26" i="1"/>
  <c r="D26" i="1" s="1"/>
  <c r="L13" i="1"/>
  <c r="L8" i="1"/>
  <c r="L20" i="1"/>
  <c r="L26" i="1"/>
  <c r="H39" i="1"/>
  <c r="C54" i="1"/>
  <c r="D54" i="1" s="1"/>
  <c r="L9" i="1"/>
  <c r="C30" i="1"/>
  <c r="D30" i="1" s="1"/>
  <c r="L35" i="1"/>
  <c r="C44" i="1"/>
  <c r="D44" i="1" s="1"/>
  <c r="H17" i="1"/>
  <c r="H10" i="1"/>
  <c r="L51" i="1"/>
  <c r="L17" i="1"/>
  <c r="L50" i="1"/>
  <c r="H8" i="1"/>
  <c r="H12" i="1"/>
  <c r="L42" i="1"/>
  <c r="C43" i="1"/>
  <c r="D43" i="1" s="1"/>
  <c r="C9" i="1"/>
  <c r="D9" i="1" s="1"/>
  <c r="L49" i="1"/>
  <c r="H54" i="1"/>
  <c r="H14" i="1"/>
  <c r="C14" i="1"/>
  <c r="D14" i="1" s="1"/>
  <c r="H52" i="1"/>
  <c r="H38" i="1"/>
  <c r="C46" i="1"/>
  <c r="D46" i="1" s="1"/>
  <c r="C7" i="1"/>
  <c r="D7" i="1" s="1"/>
  <c r="C25" i="1"/>
  <c r="D25" i="1" s="1"/>
  <c r="C15" i="1"/>
  <c r="D15" i="1" s="1"/>
  <c r="C45" i="1"/>
  <c r="D45" i="1" s="1"/>
  <c r="C52" i="1"/>
  <c r="D52" i="1" s="1"/>
  <c r="L38" i="1"/>
  <c r="H35" i="1"/>
  <c r="H56" i="1"/>
  <c r="L10" i="1"/>
  <c r="H20" i="1"/>
  <c r="H9" i="1"/>
  <c r="C27" i="1"/>
  <c r="D27" i="1" s="1"/>
  <c r="H7" i="1"/>
  <c r="C22" i="1"/>
  <c r="D22" i="1" s="1"/>
  <c r="L36" i="1"/>
  <c r="H11" i="1"/>
  <c r="C31" i="1"/>
  <c r="D31" i="1" s="1"/>
  <c r="L30" i="1"/>
  <c r="L24" i="1"/>
  <c r="L56" i="1"/>
  <c r="H51" i="1"/>
  <c r="H27" i="1"/>
  <c r="L46" i="1"/>
  <c r="C28" i="1"/>
  <c r="D28" i="1" s="1"/>
  <c r="H40" i="1"/>
  <c r="L19" i="1"/>
  <c r="H41" i="1"/>
  <c r="L43" i="1"/>
  <c r="H45" i="1"/>
  <c r="L55" i="1"/>
  <c r="H6" i="1"/>
  <c r="C20" i="1"/>
  <c r="D20" i="1" s="1"/>
  <c r="C6" i="1"/>
  <c r="D6" i="1" s="1"/>
  <c r="C11" i="1"/>
  <c r="D11" i="1" s="1"/>
  <c r="L54" i="1"/>
  <c r="H46" i="1"/>
  <c r="H28" i="1"/>
  <c r="C34" i="1"/>
  <c r="D34" i="1" s="1"/>
  <c r="C5" i="1"/>
  <c r="L32" i="1"/>
  <c r="C18" i="1"/>
  <c r="D18" i="1" s="1"/>
  <c r="L21" i="1"/>
  <c r="C48" i="1"/>
  <c r="D48" i="1" s="1"/>
  <c r="H16" i="1"/>
  <c r="L37" i="1"/>
  <c r="H30" i="1"/>
  <c r="C50" i="1"/>
  <c r="D50" i="1" s="1"/>
  <c r="L7" i="1"/>
  <c r="C40" i="1"/>
  <c r="D40" i="1" s="1"/>
  <c r="H32" i="1"/>
  <c r="H29" i="1"/>
  <c r="C47" i="1"/>
  <c r="D47" i="1" s="1"/>
  <c r="L48" i="1"/>
  <c r="C16" i="1"/>
  <c r="D16" i="1" s="1"/>
  <c r="H33" i="1"/>
  <c r="C41" i="1"/>
  <c r="D41" i="1" s="1"/>
  <c r="L11" i="1"/>
  <c r="L31" i="1"/>
  <c r="L40" i="1"/>
  <c r="H34" i="1"/>
  <c r="L18" i="1"/>
  <c r="H47" i="1"/>
  <c r="C21" i="1"/>
  <c r="D21" i="1" s="1"/>
  <c r="H48" i="1"/>
  <c r="H37" i="1"/>
  <c r="L33" i="1"/>
  <c r="L22" i="1"/>
  <c r="C56" i="1"/>
  <c r="D56" i="1" s="1"/>
  <c r="H31" i="1"/>
  <c r="C19" i="1"/>
  <c r="D19" i="1" s="1"/>
  <c r="H5" i="1"/>
  <c r="H5" i="52" s="1"/>
  <c r="C32" i="1"/>
  <c r="D32" i="1" s="1"/>
  <c r="L29" i="1"/>
  <c r="L47" i="1"/>
  <c r="L16" i="1"/>
  <c r="C37" i="1"/>
  <c r="D37" i="1" s="1"/>
  <c r="C33" i="1"/>
  <c r="D33" i="1" s="1"/>
  <c r="H55" i="1"/>
  <c r="L27" i="1"/>
  <c r="L28" i="1"/>
  <c r="H19" i="1"/>
  <c r="L34" i="1"/>
  <c r="L5" i="1"/>
  <c r="L5" i="52" s="1"/>
  <c r="N5" i="52" s="1"/>
  <c r="C29" i="1"/>
  <c r="D29" i="1" s="1"/>
  <c r="H18" i="1"/>
  <c r="H21" i="1"/>
  <c r="H53" i="59"/>
  <c r="C32" i="59"/>
  <c r="D32" i="59" s="1"/>
  <c r="H23" i="59"/>
  <c r="C15" i="59"/>
  <c r="D15" i="59" s="1"/>
  <c r="H55" i="59"/>
  <c r="L46" i="59"/>
  <c r="L22" i="59"/>
  <c r="C30" i="59"/>
  <c r="D30" i="59" s="1"/>
  <c r="C52" i="59"/>
  <c r="D52" i="59" s="1"/>
  <c r="L44" i="59"/>
  <c r="C46" i="59"/>
  <c r="D46" i="59" s="1"/>
  <c r="C20" i="59"/>
  <c r="D20" i="59" s="1"/>
  <c r="C34" i="59"/>
  <c r="D34" i="59" s="1"/>
  <c r="L52" i="59"/>
  <c r="C38" i="59"/>
  <c r="D38" i="59" s="1"/>
  <c r="C25" i="59"/>
  <c r="D25" i="59" s="1"/>
  <c r="H46" i="59"/>
  <c r="H22" i="59"/>
  <c r="H15" i="59"/>
  <c r="H32" i="59"/>
  <c r="L36" i="59"/>
  <c r="L23" i="59"/>
  <c r="L25" i="59"/>
  <c r="L55" i="59"/>
  <c r="H20" i="59"/>
  <c r="H25" i="59"/>
  <c r="L53" i="59"/>
  <c r="L38" i="59"/>
  <c r="C50" i="59"/>
  <c r="D50" i="59" s="1"/>
  <c r="C36" i="59"/>
  <c r="D36" i="59" s="1"/>
  <c r="L48" i="59"/>
  <c r="L42" i="59"/>
  <c r="C44" i="59"/>
  <c r="D44" i="59" s="1"/>
  <c r="C23" i="59"/>
  <c r="D23" i="59" s="1"/>
  <c r="H38" i="59"/>
  <c r="H50" i="59"/>
  <c r="H36" i="59"/>
  <c r="H40" i="59"/>
  <c r="C53" i="59"/>
  <c r="D53" i="59" s="1"/>
  <c r="L15" i="59"/>
  <c r="C40" i="59"/>
  <c r="D40" i="59" s="1"/>
  <c r="C22" i="59"/>
  <c r="D22" i="59" s="1"/>
  <c r="C42" i="59"/>
  <c r="D42" i="59" s="1"/>
  <c r="C28" i="59"/>
  <c r="D28" i="59" s="1"/>
  <c r="C17" i="59"/>
  <c r="D17" i="59" s="1"/>
  <c r="L50" i="59"/>
  <c r="H42" i="59"/>
  <c r="L40" i="59"/>
  <c r="L20" i="59"/>
  <c r="L28" i="59"/>
  <c r="L17" i="59"/>
  <c r="L30" i="59"/>
  <c r="C48" i="59"/>
  <c r="D48" i="59" s="1"/>
  <c r="L32" i="59"/>
  <c r="E46" i="58"/>
  <c r="F46" i="58" s="1"/>
  <c r="G46" i="58" s="1"/>
  <c r="E18" i="52"/>
  <c r="F18" i="52" s="1"/>
  <c r="L56" i="59"/>
  <c r="H56" i="59"/>
  <c r="C56" i="59"/>
  <c r="D56" i="59" s="1"/>
  <c r="C37" i="59"/>
  <c r="D37" i="59" s="1"/>
  <c r="L37" i="59"/>
  <c r="H35" i="58"/>
  <c r="C35" i="58"/>
  <c r="D35" i="58" s="1"/>
  <c r="L35" i="58"/>
  <c r="L39" i="56"/>
  <c r="C39" i="56"/>
  <c r="D39" i="56" s="1"/>
  <c r="H39" i="56"/>
  <c r="L36" i="54"/>
  <c r="C36" i="54"/>
  <c r="D36" i="54" s="1"/>
  <c r="H36" i="54"/>
  <c r="H35" i="54"/>
  <c r="C35" i="54"/>
  <c r="D35" i="54" s="1"/>
  <c r="L35" i="54"/>
  <c r="C56" i="54"/>
  <c r="D56" i="54" s="1"/>
  <c r="H56" i="54"/>
  <c r="L56" i="54"/>
  <c r="C8" i="54"/>
  <c r="L8" i="54"/>
  <c r="H8" i="54"/>
  <c r="H8" i="55" s="1"/>
  <c r="C21" i="59"/>
  <c r="D21" i="59" s="1"/>
  <c r="H21" i="59"/>
  <c r="L21" i="59"/>
  <c r="L35" i="59"/>
  <c r="C35" i="59"/>
  <c r="D35" i="59" s="1"/>
  <c r="H35" i="59"/>
  <c r="H51" i="59"/>
  <c r="L51" i="59"/>
  <c r="C51" i="59"/>
  <c r="D51" i="59" s="1"/>
  <c r="L16" i="59"/>
  <c r="H16" i="59"/>
  <c r="C16" i="59"/>
  <c r="D16" i="59" s="1"/>
  <c r="C41" i="59"/>
  <c r="D41" i="59" s="1"/>
  <c r="L41" i="59"/>
  <c r="H41" i="59"/>
  <c r="H31" i="59"/>
  <c r="L31" i="59"/>
  <c r="C31" i="59"/>
  <c r="D31" i="59" s="1"/>
  <c r="L47" i="54"/>
  <c r="H47" i="54"/>
  <c r="C47" i="54"/>
  <c r="D47" i="54" s="1"/>
  <c r="L38" i="55"/>
  <c r="H38" i="55"/>
  <c r="C38" i="55"/>
  <c r="D38" i="55" s="1"/>
  <c r="C31" i="55"/>
  <c r="D31" i="55" s="1"/>
  <c r="H31" i="55"/>
  <c r="L31" i="55"/>
  <c r="L32" i="60"/>
  <c r="H32" i="60"/>
  <c r="C32" i="60"/>
  <c r="D32" i="60" s="1"/>
  <c r="H14" i="60"/>
  <c r="H14" i="61" s="1"/>
  <c r="L14" i="60"/>
  <c r="C14" i="60"/>
  <c r="L31" i="60"/>
  <c r="C31" i="60"/>
  <c r="D31" i="60" s="1"/>
  <c r="H31" i="60"/>
  <c r="H24" i="60"/>
  <c r="C24" i="60"/>
  <c r="D24" i="60" s="1"/>
  <c r="L24" i="60"/>
  <c r="H47" i="60"/>
  <c r="C47" i="60"/>
  <c r="D47" i="60" s="1"/>
  <c r="L47" i="60"/>
  <c r="H37" i="60"/>
  <c r="L37" i="60"/>
  <c r="C37" i="60"/>
  <c r="D37" i="60" s="1"/>
  <c r="C40" i="60"/>
  <c r="D40" i="60" s="1"/>
  <c r="L40" i="60"/>
  <c r="H40" i="60"/>
  <c r="C27" i="60"/>
  <c r="D27" i="60" s="1"/>
  <c r="H27" i="60"/>
  <c r="L27" i="60"/>
  <c r="C35" i="53"/>
  <c r="D35" i="53" s="1"/>
  <c r="L35" i="53"/>
  <c r="H35" i="53"/>
  <c r="C28" i="52"/>
  <c r="D28" i="52" s="1"/>
  <c r="C55" i="52"/>
  <c r="D55" i="52" s="1"/>
  <c r="C19" i="52"/>
  <c r="D19" i="52" s="1"/>
  <c r="C29" i="52"/>
  <c r="D29" i="52" s="1"/>
  <c r="C36" i="52"/>
  <c r="D36" i="52" s="1"/>
  <c r="C39" i="52"/>
  <c r="D39" i="52" s="1"/>
  <c r="L54" i="52"/>
  <c r="L45" i="52"/>
  <c r="H54" i="52"/>
  <c r="C56" i="52"/>
  <c r="D56" i="52" s="1"/>
  <c r="C49" i="52"/>
  <c r="D49" i="52" s="1"/>
  <c r="H35" i="52"/>
  <c r="C48" i="52"/>
  <c r="D48" i="52" s="1"/>
  <c r="C10" i="52"/>
  <c r="D10" i="52" s="1"/>
  <c r="L12" i="52"/>
  <c r="C38" i="52"/>
  <c r="D38" i="52" s="1"/>
  <c r="H47" i="52"/>
  <c r="C32" i="52"/>
  <c r="D32" i="52" s="1"/>
  <c r="C31" i="52"/>
  <c r="D31" i="52" s="1"/>
  <c r="C7" i="52"/>
  <c r="D7" i="52" s="1"/>
  <c r="C33" i="52"/>
  <c r="D33" i="52" s="1"/>
  <c r="C40" i="52"/>
  <c r="D40" i="52" s="1"/>
  <c r="C50" i="52"/>
  <c r="D50" i="52" s="1"/>
  <c r="H24" i="52"/>
  <c r="H20" i="52"/>
  <c r="C13" i="52"/>
  <c r="D13" i="52" s="1"/>
  <c r="L10" i="52"/>
  <c r="C35" i="52"/>
  <c r="D35" i="52" s="1"/>
  <c r="C26" i="52"/>
  <c r="D26" i="52" s="1"/>
  <c r="C25" i="52"/>
  <c r="D25" i="52" s="1"/>
  <c r="C15" i="52"/>
  <c r="D15" i="52" s="1"/>
  <c r="H32" i="52"/>
  <c r="L14" i="52"/>
  <c r="C47" i="52"/>
  <c r="D47" i="52" s="1"/>
  <c r="C54" i="52"/>
  <c r="D54" i="52" s="1"/>
  <c r="H33" i="52"/>
  <c r="C14" i="52"/>
  <c r="D14" i="52" s="1"/>
  <c r="C41" i="52"/>
  <c r="D41" i="52" s="1"/>
  <c r="H27" i="52"/>
  <c r="C12" i="52"/>
  <c r="D12" i="52" s="1"/>
  <c r="C52" i="52"/>
  <c r="D52" i="52" s="1"/>
  <c r="L13" i="52"/>
  <c r="L30" i="52"/>
  <c r="L29" i="52"/>
  <c r="C8" i="52"/>
  <c r="D8" i="52" s="1"/>
  <c r="C17" i="52"/>
  <c r="D17" i="52" s="1"/>
  <c r="C20" i="52"/>
  <c r="D20" i="52" s="1"/>
  <c r="L39" i="52"/>
  <c r="C9" i="52"/>
  <c r="D9" i="52" s="1"/>
  <c r="C23" i="52"/>
  <c r="D23" i="52" s="1"/>
  <c r="C16" i="52"/>
  <c r="D16" i="52" s="1"/>
  <c r="L16" i="52"/>
  <c r="C22" i="52"/>
  <c r="D22" i="52" s="1"/>
  <c r="C30" i="52"/>
  <c r="D30" i="52" s="1"/>
  <c r="L33" i="52"/>
  <c r="C53" i="52"/>
  <c r="D53" i="52" s="1"/>
  <c r="C45" i="52"/>
  <c r="D45" i="52" s="1"/>
  <c r="C27" i="52"/>
  <c r="D27" i="52" s="1"/>
  <c r="H25" i="52"/>
  <c r="C44" i="52"/>
  <c r="D44" i="52" s="1"/>
  <c r="L35" i="52"/>
  <c r="C11" i="52"/>
  <c r="D11" i="52" s="1"/>
  <c r="C24" i="52"/>
  <c r="D24" i="52" s="1"/>
  <c r="C46" i="52"/>
  <c r="D46" i="52" s="1"/>
  <c r="L27" i="52"/>
  <c r="H7" i="52"/>
  <c r="H30" i="52"/>
  <c r="H44" i="52"/>
  <c r="H28" i="52"/>
  <c r="H37" i="52"/>
  <c r="H38" i="52"/>
  <c r="H13" i="52"/>
  <c r="H6" i="52"/>
  <c r="H6" i="53" s="1"/>
  <c r="H19" i="52"/>
  <c r="H53" i="52"/>
  <c r="H22" i="52"/>
  <c r="H23" i="52"/>
  <c r="H46" i="52"/>
  <c r="H34" i="52"/>
  <c r="L51" i="52"/>
  <c r="L6" i="52"/>
  <c r="L40" i="52"/>
  <c r="L50" i="52"/>
  <c r="L53" i="52"/>
  <c r="L28" i="52"/>
  <c r="L37" i="52"/>
  <c r="L43" i="52"/>
  <c r="L34" i="52"/>
  <c r="L52" i="52"/>
  <c r="L23" i="52"/>
  <c r="L49" i="52"/>
  <c r="L48" i="52"/>
  <c r="H45" i="52"/>
  <c r="H42" i="52"/>
  <c r="H50" i="52"/>
  <c r="H41" i="52"/>
  <c r="H18" i="52"/>
  <c r="H12" i="52"/>
  <c r="H8" i="52"/>
  <c r="H14" i="52"/>
  <c r="L26" i="52"/>
  <c r="L9" i="52"/>
  <c r="L19" i="52"/>
  <c r="L31" i="52"/>
  <c r="L18" i="52"/>
  <c r="N18" i="53" s="1"/>
  <c r="L7" i="52"/>
  <c r="L47" i="52"/>
  <c r="L22" i="52"/>
  <c r="L17" i="52"/>
  <c r="L46" i="52"/>
  <c r="H40" i="52"/>
  <c r="H21" i="52"/>
  <c r="H10" i="52"/>
  <c r="H17" i="52"/>
  <c r="H52" i="52"/>
  <c r="H26" i="52"/>
  <c r="H55" i="52"/>
  <c r="H49" i="52"/>
  <c r="H43" i="52"/>
  <c r="H31" i="52"/>
  <c r="H56" i="52"/>
  <c r="H29" i="52"/>
  <c r="H39" i="52"/>
  <c r="H15" i="52"/>
  <c r="H36" i="52"/>
  <c r="H11" i="52"/>
  <c r="L41" i="52"/>
  <c r="L44" i="52"/>
  <c r="L11" i="52"/>
  <c r="L8" i="52"/>
  <c r="L15" i="52"/>
  <c r="L25" i="52"/>
  <c r="L24" i="52"/>
  <c r="L55" i="52"/>
  <c r="L38" i="52"/>
  <c r="L36" i="52"/>
  <c r="H37" i="59"/>
  <c r="N20" i="55"/>
  <c r="H35" i="55"/>
  <c r="C35" i="55"/>
  <c r="D35" i="55" s="1"/>
  <c r="L35" i="55"/>
  <c r="L50" i="55"/>
  <c r="H50" i="55"/>
  <c r="C50" i="55"/>
  <c r="D50" i="55" s="1"/>
  <c r="H13" i="55"/>
  <c r="C13" i="55"/>
  <c r="D13" i="55" s="1"/>
  <c r="L13" i="55"/>
  <c r="H14" i="55"/>
  <c r="C14" i="55"/>
  <c r="D14" i="55" s="1"/>
  <c r="L14" i="55"/>
  <c r="H34" i="55"/>
  <c r="L34" i="55"/>
  <c r="C34" i="55"/>
  <c r="D34" i="55" s="1"/>
  <c r="C17" i="55"/>
  <c r="D17" i="55" s="1"/>
  <c r="H17" i="55"/>
  <c r="L17" i="55"/>
  <c r="L41" i="55"/>
  <c r="C41" i="55"/>
  <c r="D41" i="55" s="1"/>
  <c r="H41" i="55"/>
  <c r="H27" i="53"/>
  <c r="L27" i="53"/>
  <c r="C27" i="53"/>
  <c r="D27" i="53" s="1"/>
  <c r="C28" i="53"/>
  <c r="D28" i="53" s="1"/>
  <c r="L28" i="53"/>
  <c r="H28" i="53"/>
  <c r="C9" i="53"/>
  <c r="D9" i="53" s="1"/>
  <c r="L9" i="53"/>
  <c r="H9" i="53"/>
  <c r="L48" i="53"/>
  <c r="H48" i="53"/>
  <c r="C48" i="53"/>
  <c r="D48" i="53" s="1"/>
  <c r="L25" i="53"/>
  <c r="C25" i="53"/>
  <c r="D25" i="53" s="1"/>
  <c r="H25" i="53"/>
  <c r="L10" i="53"/>
  <c r="C10" i="53"/>
  <c r="D10" i="53" s="1"/>
  <c r="H10" i="53"/>
  <c r="C54" i="53"/>
  <c r="D54" i="53" s="1"/>
  <c r="H54" i="53"/>
  <c r="L54" i="53"/>
  <c r="H40" i="53"/>
  <c r="C40" i="53"/>
  <c r="D40" i="53" s="1"/>
  <c r="L40" i="53"/>
  <c r="H37" i="53"/>
  <c r="L37" i="53"/>
  <c r="C37" i="53"/>
  <c r="D37" i="53" s="1"/>
  <c r="L21" i="52"/>
  <c r="H51" i="52"/>
  <c r="C37" i="52"/>
  <c r="D37" i="52" s="1"/>
  <c r="H26" i="53"/>
  <c r="C23" i="53"/>
  <c r="D23" i="53" s="1"/>
  <c r="L26" i="53"/>
  <c r="L51" i="53"/>
  <c r="C20" i="53"/>
  <c r="D20" i="53" s="1"/>
  <c r="L55" i="53"/>
  <c r="H20" i="53"/>
  <c r="H18" i="53"/>
  <c r="C55" i="53"/>
  <c r="D55" i="53" s="1"/>
  <c r="C19" i="53"/>
  <c r="D19" i="53" s="1"/>
  <c r="C18" i="53"/>
  <c r="D18" i="53" s="1"/>
  <c r="H55" i="53"/>
  <c r="H44" i="53"/>
  <c r="H23" i="53"/>
  <c r="L23" i="53"/>
  <c r="L20" i="53"/>
  <c r="C51" i="53"/>
  <c r="D51" i="53" s="1"/>
  <c r="H19" i="53"/>
  <c r="H51" i="53"/>
  <c r="C26" i="53"/>
  <c r="D26" i="53" s="1"/>
  <c r="C44" i="53"/>
  <c r="D44" i="53" s="1"/>
  <c r="L19" i="53"/>
  <c r="L44" i="53"/>
  <c r="O43" i="52"/>
  <c r="O56" i="53"/>
  <c r="O67" i="55"/>
  <c r="S67" i="55" s="1"/>
  <c r="O65" i="59"/>
  <c r="S65" i="59" s="1"/>
  <c r="H18" i="56"/>
  <c r="C18" i="56"/>
  <c r="D18" i="56" s="1"/>
  <c r="L18" i="56"/>
  <c r="L53" i="54"/>
  <c r="C53" i="54"/>
  <c r="D53" i="54" s="1"/>
  <c r="H53" i="54"/>
  <c r="H22" i="54"/>
  <c r="L22" i="54"/>
  <c r="C22" i="54"/>
  <c r="D22" i="54" s="1"/>
  <c r="O35" i="52"/>
  <c r="O35" i="53"/>
  <c r="O64" i="60"/>
  <c r="S64" i="60" s="1"/>
  <c r="O64" i="59"/>
  <c r="S64" i="59" s="1"/>
  <c r="C47" i="59"/>
  <c r="D47" i="59" s="1"/>
  <c r="L47" i="59"/>
  <c r="H47" i="59"/>
  <c r="H27" i="59"/>
  <c r="L27" i="59"/>
  <c r="C27" i="59"/>
  <c r="D27" i="59" s="1"/>
  <c r="C52" i="56"/>
  <c r="D52" i="56" s="1"/>
  <c r="L52" i="56"/>
  <c r="H52" i="56"/>
  <c r="H48" i="54"/>
  <c r="L48" i="54"/>
  <c r="C48" i="54"/>
  <c r="D48" i="54" s="1"/>
  <c r="C52" i="54"/>
  <c r="D52" i="54" s="1"/>
  <c r="H52" i="54"/>
  <c r="L52" i="54"/>
  <c r="O54" i="53"/>
  <c r="O54" i="52"/>
  <c r="E21" i="52"/>
  <c r="F21" i="52" s="1"/>
  <c r="G21" i="52" s="1"/>
  <c r="I21" i="52" s="1"/>
  <c r="H24" i="59"/>
  <c r="L24" i="59"/>
  <c r="C24" i="59"/>
  <c r="D24" i="59" s="1"/>
  <c r="H39" i="59"/>
  <c r="L39" i="59"/>
  <c r="C39" i="59"/>
  <c r="D39" i="59" s="1"/>
  <c r="H19" i="59"/>
  <c r="L19" i="59"/>
  <c r="C19" i="59"/>
  <c r="D19" i="59" s="1"/>
  <c r="C45" i="59"/>
  <c r="D45" i="59" s="1"/>
  <c r="H45" i="59"/>
  <c r="L45" i="59"/>
  <c r="E55" i="59"/>
  <c r="F55" i="59" s="1"/>
  <c r="E51" i="52"/>
  <c r="F51" i="52" s="1"/>
  <c r="C54" i="54"/>
  <c r="D54" i="54" s="1"/>
  <c r="H54" i="54"/>
  <c r="L54" i="54"/>
  <c r="C21" i="54"/>
  <c r="D21" i="54" s="1"/>
  <c r="L21" i="54"/>
  <c r="H21" i="54"/>
  <c r="C39" i="53"/>
  <c r="D39" i="53" s="1"/>
  <c r="H39" i="53"/>
  <c r="L39" i="53"/>
  <c r="H8" i="53"/>
  <c r="L8" i="53"/>
  <c r="C8" i="53"/>
  <c r="D8" i="53" s="1"/>
  <c r="H11" i="55"/>
  <c r="L11" i="55"/>
  <c r="C11" i="55"/>
  <c r="D11" i="55" s="1"/>
  <c r="O25" i="56"/>
  <c r="H34" i="60"/>
  <c r="C34" i="60"/>
  <c r="D34" i="60" s="1"/>
  <c r="L34" i="60"/>
  <c r="H28" i="60"/>
  <c r="C28" i="60"/>
  <c r="D28" i="60" s="1"/>
  <c r="L28" i="60"/>
  <c r="C25" i="60"/>
  <c r="D25" i="60" s="1"/>
  <c r="H25" i="60"/>
  <c r="L25" i="60"/>
  <c r="C50" i="60"/>
  <c r="D50" i="60" s="1"/>
  <c r="L50" i="60"/>
  <c r="H50" i="60"/>
  <c r="L35" i="60"/>
  <c r="H35" i="60"/>
  <c r="C35" i="60"/>
  <c r="D35" i="60" s="1"/>
  <c r="H56" i="60"/>
  <c r="C56" i="60"/>
  <c r="D56" i="60" s="1"/>
  <c r="L56" i="60"/>
  <c r="L53" i="60"/>
  <c r="C53" i="60"/>
  <c r="D53" i="60" s="1"/>
  <c r="H53" i="60"/>
  <c r="C43" i="60"/>
  <c r="D43" i="60" s="1"/>
  <c r="H43" i="60"/>
  <c r="L43" i="60"/>
  <c r="L27" i="57"/>
  <c r="H14" i="57"/>
  <c r="H46" i="57"/>
  <c r="H23" i="57"/>
  <c r="C33" i="57"/>
  <c r="D33" i="57" s="1"/>
  <c r="L34" i="57"/>
  <c r="H20" i="57"/>
  <c r="L36" i="57"/>
  <c r="L52" i="57"/>
  <c r="C27" i="57"/>
  <c r="D27" i="57" s="1"/>
  <c r="C16" i="57"/>
  <c r="D16" i="57" s="1"/>
  <c r="H32" i="57"/>
  <c r="H36" i="57"/>
  <c r="L35" i="57"/>
  <c r="C54" i="57"/>
  <c r="D54" i="57" s="1"/>
  <c r="H25" i="57"/>
  <c r="H45" i="57"/>
  <c r="H27" i="57"/>
  <c r="C52" i="57"/>
  <c r="D52" i="57" s="1"/>
  <c r="C11" i="57"/>
  <c r="H43" i="57"/>
  <c r="H54" i="57"/>
  <c r="C40" i="57"/>
  <c r="D40" i="57" s="1"/>
  <c r="C32" i="57"/>
  <c r="D32" i="57" s="1"/>
  <c r="H56" i="57"/>
  <c r="L40" i="57"/>
  <c r="L17" i="57"/>
  <c r="L37" i="57"/>
  <c r="L55" i="57"/>
  <c r="L44" i="57"/>
  <c r="L13" i="57"/>
  <c r="C55" i="57"/>
  <c r="D55" i="57" s="1"/>
  <c r="L49" i="57"/>
  <c r="C51" i="57"/>
  <c r="D51" i="57" s="1"/>
  <c r="C38" i="57"/>
  <c r="D38" i="57" s="1"/>
  <c r="C43" i="57"/>
  <c r="D43" i="57" s="1"/>
  <c r="H22" i="57"/>
  <c r="H39" i="57"/>
  <c r="H34" i="57"/>
  <c r="H29" i="57"/>
  <c r="C14" i="57"/>
  <c r="D14" i="57" s="1"/>
  <c r="C22" i="57"/>
  <c r="D22" i="57" s="1"/>
  <c r="C48" i="57"/>
  <c r="D48" i="57" s="1"/>
  <c r="L33" i="57"/>
  <c r="C41" i="57"/>
  <c r="D41" i="57" s="1"/>
  <c r="C23" i="57"/>
  <c r="D23" i="57" s="1"/>
  <c r="H19" i="57"/>
  <c r="H49" i="57"/>
  <c r="C37" i="57"/>
  <c r="D37" i="57" s="1"/>
  <c r="L46" i="57"/>
  <c r="H44" i="57"/>
  <c r="C36" i="57"/>
  <c r="D36" i="57" s="1"/>
  <c r="L22" i="57"/>
  <c r="C35" i="57"/>
  <c r="D35" i="57" s="1"/>
  <c r="H35" i="57"/>
  <c r="H18" i="57"/>
  <c r="H12" i="57"/>
  <c r="L19" i="57"/>
  <c r="C45" i="57"/>
  <c r="D45" i="57" s="1"/>
  <c r="C25" i="57"/>
  <c r="D25" i="57" s="1"/>
  <c r="H21" i="57"/>
  <c r="H15" i="57"/>
  <c r="H51" i="57"/>
  <c r="H37" i="57"/>
  <c r="C12" i="57"/>
  <c r="D12" i="57" s="1"/>
  <c r="C20" i="57"/>
  <c r="D20" i="57" s="1"/>
  <c r="C13" i="57"/>
  <c r="D13" i="57" s="1"/>
  <c r="C39" i="57"/>
  <c r="D39" i="57" s="1"/>
  <c r="H47" i="57"/>
  <c r="C28" i="57"/>
  <c r="D28" i="57" s="1"/>
  <c r="C46" i="57"/>
  <c r="D46" i="57" s="1"/>
  <c r="C26" i="57"/>
  <c r="D26" i="57" s="1"/>
  <c r="H42" i="57"/>
  <c r="C19" i="57"/>
  <c r="D19" i="57" s="1"/>
  <c r="H33" i="57"/>
  <c r="H50" i="57"/>
  <c r="H40" i="57"/>
  <c r="H41" i="57"/>
  <c r="L26" i="57"/>
  <c r="L20" i="57"/>
  <c r="L51" i="57"/>
  <c r="L54" i="57"/>
  <c r="C53" i="57"/>
  <c r="D53" i="57" s="1"/>
  <c r="L29" i="57"/>
  <c r="L42" i="57"/>
  <c r="C17" i="57"/>
  <c r="D17" i="57" s="1"/>
  <c r="L24" i="57"/>
  <c r="H28" i="57"/>
  <c r="L18" i="57"/>
  <c r="H52" i="57"/>
  <c r="C29" i="57"/>
  <c r="D29" i="57" s="1"/>
  <c r="L45" i="57"/>
  <c r="C34" i="57"/>
  <c r="D34" i="57" s="1"/>
  <c r="H48" i="57"/>
  <c r="L43" i="57"/>
  <c r="C15" i="57"/>
  <c r="D15" i="57" s="1"/>
  <c r="H24" i="57"/>
  <c r="L47" i="57"/>
  <c r="L38" i="57"/>
  <c r="L15" i="57"/>
  <c r="H55" i="57"/>
  <c r="L56" i="57"/>
  <c r="H13" i="57"/>
  <c r="C24" i="57"/>
  <c r="D24" i="57" s="1"/>
  <c r="C49" i="57"/>
  <c r="D49" i="57" s="1"/>
  <c r="H26" i="57"/>
  <c r="C21" i="57"/>
  <c r="D21" i="57" s="1"/>
  <c r="C56" i="57"/>
  <c r="D56" i="57" s="1"/>
  <c r="L11" i="57"/>
  <c r="L50" i="57"/>
  <c r="C50" i="57"/>
  <c r="D50" i="57" s="1"/>
  <c r="H16" i="57"/>
  <c r="L32" i="57"/>
  <c r="C44" i="57"/>
  <c r="D44" i="57" s="1"/>
  <c r="L31" i="57"/>
  <c r="L12" i="57"/>
  <c r="C30" i="57"/>
  <c r="D30" i="57" s="1"/>
  <c r="L14" i="57"/>
  <c r="L28" i="57"/>
  <c r="C18" i="57"/>
  <c r="D18" i="57" s="1"/>
  <c r="C42" i="57"/>
  <c r="D42" i="57" s="1"/>
  <c r="H53" i="57"/>
  <c r="L16" i="57"/>
  <c r="H38" i="57"/>
  <c r="L25" i="57"/>
  <c r="L30" i="57"/>
  <c r="L23" i="57"/>
  <c r="C31" i="57"/>
  <c r="D31" i="57" s="1"/>
  <c r="L53" i="57"/>
  <c r="L41" i="57"/>
  <c r="H17" i="57"/>
  <c r="H11" i="57"/>
  <c r="H11" i="58" s="1"/>
  <c r="L39" i="57"/>
  <c r="H30" i="57"/>
  <c r="C47" i="57"/>
  <c r="D47" i="57" s="1"/>
  <c r="L21" i="57"/>
  <c r="H31" i="57"/>
  <c r="L48" i="57"/>
  <c r="L9" i="56"/>
  <c r="N9" i="56" s="1"/>
  <c r="N9" i="55"/>
  <c r="C10" i="55"/>
  <c r="D10" i="55" s="1"/>
  <c r="H10" i="55"/>
  <c r="L10" i="55"/>
  <c r="E19" i="55"/>
  <c r="F19" i="55" s="1"/>
  <c r="H23" i="55"/>
  <c r="L23" i="55"/>
  <c r="C23" i="55"/>
  <c r="D23" i="55" s="1"/>
  <c r="H25" i="55"/>
  <c r="C25" i="55"/>
  <c r="D25" i="55" s="1"/>
  <c r="L25" i="55"/>
  <c r="L47" i="55"/>
  <c r="H47" i="55"/>
  <c r="C47" i="55"/>
  <c r="D47" i="55" s="1"/>
  <c r="H9" i="55"/>
  <c r="H9" i="56" s="1"/>
  <c r="C9" i="55"/>
  <c r="H36" i="55"/>
  <c r="C36" i="55"/>
  <c r="D36" i="55" s="1"/>
  <c r="L36" i="55"/>
  <c r="C43" i="53"/>
  <c r="D43" i="53" s="1"/>
  <c r="H43" i="53"/>
  <c r="L43" i="53"/>
  <c r="H31" i="53"/>
  <c r="L31" i="53"/>
  <c r="C31" i="53"/>
  <c r="D31" i="53" s="1"/>
  <c r="C11" i="53"/>
  <c r="D11" i="53" s="1"/>
  <c r="L11" i="53"/>
  <c r="H11" i="53"/>
  <c r="C32" i="53"/>
  <c r="D32" i="53" s="1"/>
  <c r="L32" i="53"/>
  <c r="H32" i="53"/>
  <c r="C33" i="53"/>
  <c r="D33" i="53" s="1"/>
  <c r="H33" i="53"/>
  <c r="L33" i="53"/>
  <c r="H15" i="53"/>
  <c r="C15" i="53"/>
  <c r="D15" i="53" s="1"/>
  <c r="L15" i="53"/>
  <c r="H38" i="53"/>
  <c r="L38" i="53"/>
  <c r="C38" i="53"/>
  <c r="D38" i="53" s="1"/>
  <c r="H24" i="53"/>
  <c r="L24" i="53"/>
  <c r="C24" i="53"/>
  <c r="D24" i="53" s="1"/>
  <c r="L45" i="53"/>
  <c r="H45" i="53"/>
  <c r="C45" i="53"/>
  <c r="D45" i="53" s="1"/>
  <c r="L42" i="52"/>
  <c r="H9" i="52"/>
  <c r="O8" i="52"/>
  <c r="H53" i="61"/>
  <c r="C28" i="61"/>
  <c r="D28" i="61" s="1"/>
  <c r="H56" i="61"/>
  <c r="H34" i="61"/>
  <c r="C52" i="61"/>
  <c r="D52" i="61" s="1"/>
  <c r="H33" i="61"/>
  <c r="H42" i="61"/>
  <c r="C18" i="61"/>
  <c r="D18" i="61" s="1"/>
  <c r="L49" i="61"/>
  <c r="L23" i="61"/>
  <c r="H35" i="61"/>
  <c r="L26" i="61"/>
  <c r="L53" i="61"/>
  <c r="L56" i="61"/>
  <c r="H26" i="61"/>
  <c r="C53" i="61"/>
  <c r="D53" i="61" s="1"/>
  <c r="L28" i="61"/>
  <c r="C56" i="61"/>
  <c r="D56" i="61" s="1"/>
  <c r="H39" i="61"/>
  <c r="C34" i="61"/>
  <c r="D34" i="61" s="1"/>
  <c r="H31" i="61"/>
  <c r="H52" i="61"/>
  <c r="C33" i="61"/>
  <c r="D33" i="61" s="1"/>
  <c r="C42" i="61"/>
  <c r="D42" i="61" s="1"/>
  <c r="L18" i="61"/>
  <c r="C49" i="61"/>
  <c r="D49" i="61" s="1"/>
  <c r="H46" i="61"/>
  <c r="C26" i="61"/>
  <c r="D26" i="61" s="1"/>
  <c r="C39" i="61"/>
  <c r="D39" i="61" s="1"/>
  <c r="C31" i="61"/>
  <c r="D31" i="61" s="1"/>
  <c r="H18" i="61"/>
  <c r="L46" i="61"/>
  <c r="L47" i="61"/>
  <c r="L20" i="61"/>
  <c r="L17" i="61"/>
  <c r="H22" i="61"/>
  <c r="H28" i="61"/>
  <c r="L34" i="61"/>
  <c r="L33" i="61"/>
  <c r="L19" i="61"/>
  <c r="L22" i="61"/>
  <c r="H16" i="61"/>
  <c r="C25" i="61"/>
  <c r="D25" i="61" s="1"/>
  <c r="C37" i="61"/>
  <c r="D37" i="61" s="1"/>
  <c r="L50" i="61"/>
  <c r="C32" i="61"/>
  <c r="D32" i="61" s="1"/>
  <c r="C40" i="61"/>
  <c r="D40" i="61" s="1"/>
  <c r="C27" i="61"/>
  <c r="D27" i="61" s="1"/>
  <c r="L31" i="61"/>
  <c r="H49" i="61"/>
  <c r="C46" i="61"/>
  <c r="D46" i="61" s="1"/>
  <c r="H17" i="61"/>
  <c r="C22" i="61"/>
  <c r="D22" i="61" s="1"/>
  <c r="C45" i="61"/>
  <c r="D45" i="61" s="1"/>
  <c r="C16" i="61"/>
  <c r="D16" i="61" s="1"/>
  <c r="H50" i="61"/>
  <c r="H15" i="61"/>
  <c r="L30" i="61"/>
  <c r="L51" i="61"/>
  <c r="L41" i="61"/>
  <c r="H23" i="61"/>
  <c r="L35" i="61"/>
  <c r="C47" i="61"/>
  <c r="D47" i="61" s="1"/>
  <c r="C20" i="61"/>
  <c r="D20" i="61" s="1"/>
  <c r="L45" i="61"/>
  <c r="L16" i="61"/>
  <c r="L25" i="61"/>
  <c r="L37" i="61"/>
  <c r="L32" i="61"/>
  <c r="L40" i="61"/>
  <c r="L27" i="61"/>
  <c r="C51" i="61"/>
  <c r="D51" i="61" s="1"/>
  <c r="C41" i="61"/>
  <c r="D41" i="61" s="1"/>
  <c r="L29" i="61"/>
  <c r="L54" i="61"/>
  <c r="L44" i="61"/>
  <c r="L38" i="61"/>
  <c r="L21" i="61"/>
  <c r="C24" i="61"/>
  <c r="D24" i="61" s="1"/>
  <c r="C48" i="61"/>
  <c r="D48" i="61" s="1"/>
  <c r="L52" i="61"/>
  <c r="C17" i="61"/>
  <c r="D17" i="61" s="1"/>
  <c r="H37" i="61"/>
  <c r="H27" i="61"/>
  <c r="C15" i="61"/>
  <c r="D15" i="61" s="1"/>
  <c r="H51" i="61"/>
  <c r="C29" i="61"/>
  <c r="D29" i="61" s="1"/>
  <c r="H54" i="61"/>
  <c r="C38" i="61"/>
  <c r="D38" i="61" s="1"/>
  <c r="C43" i="61"/>
  <c r="D43" i="61" s="1"/>
  <c r="L36" i="61"/>
  <c r="L42" i="61"/>
  <c r="H45" i="61"/>
  <c r="C50" i="61"/>
  <c r="D50" i="61" s="1"/>
  <c r="L15" i="61"/>
  <c r="L55" i="61"/>
  <c r="H44" i="61"/>
  <c r="H21" i="61"/>
  <c r="L43" i="61"/>
  <c r="L24" i="61"/>
  <c r="L48" i="61"/>
  <c r="C23" i="61"/>
  <c r="D23" i="61" s="1"/>
  <c r="H32" i="61"/>
  <c r="C30" i="61"/>
  <c r="D30" i="61" s="1"/>
  <c r="H41" i="61"/>
  <c r="C55" i="61"/>
  <c r="D55" i="61" s="1"/>
  <c r="C54" i="61"/>
  <c r="D54" i="61" s="1"/>
  <c r="C44" i="61"/>
  <c r="D44" i="61" s="1"/>
  <c r="H38" i="61"/>
  <c r="C36" i="61"/>
  <c r="D36" i="61" s="1"/>
  <c r="L39" i="61"/>
  <c r="C19" i="61"/>
  <c r="D19" i="61" s="1"/>
  <c r="H20" i="61"/>
  <c r="H25" i="61"/>
  <c r="H40" i="61"/>
  <c r="H30" i="61"/>
  <c r="H55" i="61"/>
  <c r="H29" i="61"/>
  <c r="C21" i="61"/>
  <c r="D21" i="61" s="1"/>
  <c r="H43" i="61"/>
  <c r="H24" i="61"/>
  <c r="H36" i="61"/>
  <c r="H48" i="61"/>
  <c r="C35" i="61"/>
  <c r="D35" i="61" s="1"/>
  <c r="H19" i="61"/>
  <c r="H47" i="61"/>
  <c r="H16" i="58"/>
  <c r="L46" i="58"/>
  <c r="H50" i="58"/>
  <c r="H46" i="58"/>
  <c r="L50" i="58"/>
  <c r="C17" i="58"/>
  <c r="D17" i="58" s="1"/>
  <c r="H14" i="58"/>
  <c r="C50" i="58"/>
  <c r="D50" i="58" s="1"/>
  <c r="H15" i="58"/>
  <c r="H12" i="58"/>
  <c r="H12" i="59" s="1"/>
  <c r="H17" i="58"/>
  <c r="L14" i="58"/>
  <c r="H28" i="58"/>
  <c r="C44" i="58"/>
  <c r="D44" i="58" s="1"/>
  <c r="L33" i="58"/>
  <c r="H34" i="58"/>
  <c r="C47" i="58"/>
  <c r="D47" i="58" s="1"/>
  <c r="H36" i="58"/>
  <c r="C21" i="58"/>
  <c r="D21" i="58" s="1"/>
  <c r="C15" i="58"/>
  <c r="D15" i="58" s="1"/>
  <c r="C54" i="58"/>
  <c r="D54" i="58" s="1"/>
  <c r="C28" i="58"/>
  <c r="D28" i="58" s="1"/>
  <c r="H44" i="58"/>
  <c r="H33" i="58"/>
  <c r="L27" i="58"/>
  <c r="L45" i="58"/>
  <c r="C24" i="58"/>
  <c r="D24" i="58" s="1"/>
  <c r="C36" i="58"/>
  <c r="D36" i="58" s="1"/>
  <c r="L21" i="58"/>
  <c r="C14" i="58"/>
  <c r="D14" i="58" s="1"/>
  <c r="L54" i="58"/>
  <c r="L44" i="58"/>
  <c r="L34" i="58"/>
  <c r="L24" i="58"/>
  <c r="L47" i="58"/>
  <c r="C29" i="58"/>
  <c r="D29" i="58" s="1"/>
  <c r="H13" i="58"/>
  <c r="L43" i="58"/>
  <c r="L23" i="58"/>
  <c r="L48" i="58"/>
  <c r="C37" i="58"/>
  <c r="D37" i="58" s="1"/>
  <c r="H38" i="58"/>
  <c r="C51" i="58"/>
  <c r="D51" i="58" s="1"/>
  <c r="C40" i="58"/>
  <c r="D40" i="58" s="1"/>
  <c r="C56" i="58"/>
  <c r="D56" i="58" s="1"/>
  <c r="H54" i="58"/>
  <c r="C27" i="58"/>
  <c r="D27" i="58" s="1"/>
  <c r="H45" i="58"/>
  <c r="H47" i="58"/>
  <c r="L36" i="58"/>
  <c r="L29" i="58"/>
  <c r="C13" i="58"/>
  <c r="D13" i="58" s="1"/>
  <c r="H43" i="58"/>
  <c r="L37" i="58"/>
  <c r="H22" i="58"/>
  <c r="H49" i="58"/>
  <c r="C38" i="58"/>
  <c r="D38" i="58" s="1"/>
  <c r="L20" i="58"/>
  <c r="L51" i="58"/>
  <c r="H40" i="58"/>
  <c r="L56" i="58"/>
  <c r="L30" i="58"/>
  <c r="L32" i="58"/>
  <c r="C12" i="58"/>
  <c r="H27" i="58"/>
  <c r="C48" i="58"/>
  <c r="D48" i="58" s="1"/>
  <c r="L49" i="58"/>
  <c r="H20" i="58"/>
  <c r="C30" i="58"/>
  <c r="D30" i="58" s="1"/>
  <c r="H32" i="58"/>
  <c r="L39" i="58"/>
  <c r="H31" i="58"/>
  <c r="C25" i="58"/>
  <c r="D25" i="58" s="1"/>
  <c r="L19" i="58"/>
  <c r="L52" i="58"/>
  <c r="L41" i="58"/>
  <c r="L53" i="58"/>
  <c r="L42" i="58"/>
  <c r="L16" i="58"/>
  <c r="C45" i="58"/>
  <c r="D45" i="58" s="1"/>
  <c r="H21" i="58"/>
  <c r="C43" i="58"/>
  <c r="D43" i="58" s="1"/>
  <c r="H48" i="58"/>
  <c r="C22" i="58"/>
  <c r="D22" i="58" s="1"/>
  <c r="L40" i="58"/>
  <c r="H30" i="58"/>
  <c r="H39" i="58"/>
  <c r="L31" i="58"/>
  <c r="C52" i="58"/>
  <c r="D52" i="58" s="1"/>
  <c r="C41" i="58"/>
  <c r="D41" i="58" s="1"/>
  <c r="H18" i="58"/>
  <c r="C53" i="58"/>
  <c r="D53" i="58" s="1"/>
  <c r="H42" i="58"/>
  <c r="L55" i="58"/>
  <c r="L28" i="58"/>
  <c r="C34" i="58"/>
  <c r="D34" i="58" s="1"/>
  <c r="H29" i="58"/>
  <c r="L13" i="58"/>
  <c r="C23" i="58"/>
  <c r="D23" i="58" s="1"/>
  <c r="H37" i="58"/>
  <c r="L22" i="58"/>
  <c r="L38" i="58"/>
  <c r="H56" i="58"/>
  <c r="C32" i="58"/>
  <c r="D32" i="58" s="1"/>
  <c r="C33" i="58"/>
  <c r="D33" i="58" s="1"/>
  <c r="H24" i="58"/>
  <c r="H23" i="58"/>
  <c r="C49" i="58"/>
  <c r="D49" i="58" s="1"/>
  <c r="C20" i="58"/>
  <c r="D20" i="58" s="1"/>
  <c r="H51" i="58"/>
  <c r="H25" i="58"/>
  <c r="C19" i="58"/>
  <c r="D19" i="58" s="1"/>
  <c r="H19" i="58"/>
  <c r="H52" i="58"/>
  <c r="H41" i="58"/>
  <c r="C18" i="58"/>
  <c r="D18" i="58" s="1"/>
  <c r="H53" i="58"/>
  <c r="C55" i="58"/>
  <c r="D55" i="58" s="1"/>
  <c r="C16" i="58"/>
  <c r="D16" i="58" s="1"/>
  <c r="L25" i="58"/>
  <c r="L18" i="58"/>
  <c r="H55" i="58"/>
  <c r="C39" i="58"/>
  <c r="D39" i="58" s="1"/>
  <c r="C31" i="58"/>
  <c r="D31" i="58" s="1"/>
  <c r="C42" i="58"/>
  <c r="D42" i="58" s="1"/>
  <c r="L15" i="58"/>
  <c r="L12" i="58"/>
  <c r="L17" i="58"/>
  <c r="O60" i="52"/>
  <c r="S60" i="52" s="1"/>
  <c r="O37" i="52"/>
  <c r="H56" i="56"/>
  <c r="L56" i="56"/>
  <c r="C56" i="56"/>
  <c r="D56" i="56" s="1"/>
  <c r="L10" i="54"/>
  <c r="H10" i="54"/>
  <c r="C10" i="54"/>
  <c r="D10" i="54" s="1"/>
  <c r="L27" i="54"/>
  <c r="C27" i="54"/>
  <c r="D27" i="54" s="1"/>
  <c r="H27" i="54"/>
  <c r="O40" i="53"/>
  <c r="O40" i="52"/>
  <c r="C14" i="59"/>
  <c r="D14" i="59" s="1"/>
  <c r="L14" i="59"/>
  <c r="H14" i="59"/>
  <c r="H29" i="59"/>
  <c r="L29" i="59"/>
  <c r="C29" i="59"/>
  <c r="D29" i="59" s="1"/>
  <c r="C40" i="54"/>
  <c r="D40" i="54" s="1"/>
  <c r="H40" i="54"/>
  <c r="L40" i="54"/>
  <c r="C26" i="58"/>
  <c r="D26" i="58" s="1"/>
  <c r="L26" i="58"/>
  <c r="C15" i="54"/>
  <c r="D15" i="54" s="1"/>
  <c r="H15" i="54"/>
  <c r="L15" i="54"/>
  <c r="H46" i="54"/>
  <c r="C46" i="54"/>
  <c r="D46" i="54" s="1"/>
  <c r="L46" i="54"/>
  <c r="C54" i="59"/>
  <c r="D54" i="59" s="1"/>
  <c r="L54" i="59"/>
  <c r="H54" i="59"/>
  <c r="H40" i="56"/>
  <c r="C40" i="56"/>
  <c r="D40" i="56" s="1"/>
  <c r="L40" i="56"/>
  <c r="L31" i="56"/>
  <c r="H31" i="56"/>
  <c r="C31" i="56"/>
  <c r="D31" i="56" s="1"/>
  <c r="H41" i="54"/>
  <c r="L41" i="54"/>
  <c r="C41" i="54"/>
  <c r="D41" i="54" s="1"/>
  <c r="L30" i="54"/>
  <c r="C30" i="54"/>
  <c r="D30" i="54" s="1"/>
  <c r="H30" i="54"/>
  <c r="H12" i="54"/>
  <c r="C12" i="54"/>
  <c r="D12" i="54" s="1"/>
  <c r="L12" i="54"/>
  <c r="H34" i="54"/>
  <c r="C34" i="54"/>
  <c r="D34" i="54" s="1"/>
  <c r="L34" i="54"/>
  <c r="C34" i="52"/>
  <c r="D34" i="52" s="1"/>
  <c r="O23" i="60"/>
  <c r="O23" i="59"/>
  <c r="H26" i="59"/>
  <c r="C26" i="59"/>
  <c r="D26" i="59" s="1"/>
  <c r="L26" i="59"/>
  <c r="C13" i="59"/>
  <c r="H13" i="59"/>
  <c r="H13" i="60" s="1"/>
  <c r="L13" i="59"/>
  <c r="H43" i="59"/>
  <c r="C43" i="59"/>
  <c r="D43" i="59" s="1"/>
  <c r="L43" i="59"/>
  <c r="H18" i="59"/>
  <c r="C18" i="59"/>
  <c r="D18" i="59" s="1"/>
  <c r="L18" i="59"/>
  <c r="C33" i="59"/>
  <c r="D33" i="59" s="1"/>
  <c r="L33" i="59"/>
  <c r="H33" i="59"/>
  <c r="L49" i="59"/>
  <c r="C49" i="59"/>
  <c r="D49" i="59" s="1"/>
  <c r="L25" i="54"/>
  <c r="H25" i="54"/>
  <c r="C25" i="54"/>
  <c r="D25" i="54" s="1"/>
  <c r="H45" i="54"/>
  <c r="C45" i="54"/>
  <c r="D45" i="54" s="1"/>
  <c r="L45" i="54"/>
  <c r="C28" i="54"/>
  <c r="D28" i="54" s="1"/>
  <c r="L28" i="54"/>
  <c r="H28" i="54"/>
  <c r="H52" i="53"/>
  <c r="C52" i="53"/>
  <c r="D52" i="53" s="1"/>
  <c r="L52" i="53"/>
  <c r="H16" i="52"/>
  <c r="C29" i="55"/>
  <c r="D29" i="55" s="1"/>
  <c r="H29" i="55"/>
  <c r="L29" i="55"/>
  <c r="H51" i="60"/>
  <c r="C51" i="60"/>
  <c r="D51" i="60" s="1"/>
  <c r="L51" i="60"/>
  <c r="C55" i="60"/>
  <c r="D55" i="60" s="1"/>
  <c r="L55" i="60"/>
  <c r="H55" i="60"/>
  <c r="H19" i="60"/>
  <c r="C19" i="60"/>
  <c r="D19" i="60" s="1"/>
  <c r="L19" i="60"/>
  <c r="C18" i="60"/>
  <c r="D18" i="60" s="1"/>
  <c r="L18" i="60"/>
  <c r="H18" i="60"/>
  <c r="C30" i="60"/>
  <c r="D30" i="60" s="1"/>
  <c r="H30" i="60"/>
  <c r="L30" i="60"/>
  <c r="L16" i="60"/>
  <c r="C16" i="60"/>
  <c r="D16" i="60" s="1"/>
  <c r="H16" i="60"/>
  <c r="H49" i="60"/>
  <c r="C49" i="60"/>
  <c r="D49" i="60" s="1"/>
  <c r="L49" i="60"/>
  <c r="L38" i="60"/>
  <c r="C38" i="60"/>
  <c r="D38" i="60" s="1"/>
  <c r="H38" i="60"/>
  <c r="H26" i="58"/>
  <c r="L28" i="55"/>
  <c r="H28" i="55"/>
  <c r="C28" i="55"/>
  <c r="D28" i="55" s="1"/>
  <c r="H49" i="59"/>
  <c r="L12" i="55"/>
  <c r="C12" i="55"/>
  <c r="D12" i="55" s="1"/>
  <c r="H12" i="55"/>
  <c r="C18" i="55"/>
  <c r="D18" i="55" s="1"/>
  <c r="H18" i="55"/>
  <c r="L18" i="55"/>
  <c r="L30" i="55"/>
  <c r="C30" i="55"/>
  <c r="D30" i="55" s="1"/>
  <c r="H30" i="55"/>
  <c r="L52" i="55"/>
  <c r="C52" i="55"/>
  <c r="D52" i="55" s="1"/>
  <c r="H52" i="55"/>
  <c r="L21" i="55"/>
  <c r="H21" i="55"/>
  <c r="C21" i="55"/>
  <c r="D21" i="55" s="1"/>
  <c r="C24" i="55"/>
  <c r="D24" i="55" s="1"/>
  <c r="H24" i="55"/>
  <c r="L24" i="55"/>
  <c r="H32" i="55"/>
  <c r="C32" i="55"/>
  <c r="D32" i="55" s="1"/>
  <c r="L32" i="55"/>
  <c r="L42" i="53"/>
  <c r="H42" i="53"/>
  <c r="C42" i="53"/>
  <c r="D42" i="53" s="1"/>
  <c r="C7" i="53"/>
  <c r="H7" i="53"/>
  <c r="H7" i="54" s="1"/>
  <c r="L7" i="53"/>
  <c r="H47" i="53"/>
  <c r="C47" i="53"/>
  <c r="D47" i="53" s="1"/>
  <c r="L47" i="53"/>
  <c r="L46" i="53"/>
  <c r="C46" i="53"/>
  <c r="D46" i="53" s="1"/>
  <c r="H46" i="53"/>
  <c r="H16" i="53"/>
  <c r="C16" i="53"/>
  <c r="D16" i="53" s="1"/>
  <c r="L16" i="53"/>
  <c r="L41" i="53"/>
  <c r="H41" i="53"/>
  <c r="C41" i="53"/>
  <c r="D41" i="53" s="1"/>
  <c r="C12" i="53"/>
  <c r="D12" i="53" s="1"/>
  <c r="H12" i="53"/>
  <c r="L12" i="53"/>
  <c r="L22" i="53"/>
  <c r="H22" i="53"/>
  <c r="C22" i="53"/>
  <c r="D22" i="53" s="1"/>
  <c r="L21" i="53"/>
  <c r="C21" i="53"/>
  <c r="D21" i="53" s="1"/>
  <c r="H21" i="53"/>
  <c r="C53" i="53"/>
  <c r="D53" i="53" s="1"/>
  <c r="H53" i="53"/>
  <c r="L53" i="53"/>
  <c r="L32" i="52"/>
  <c r="H48" i="52"/>
  <c r="C43" i="52"/>
  <c r="D43" i="52" s="1"/>
  <c r="C42" i="56"/>
  <c r="D42" i="56" s="1"/>
  <c r="H15" i="56"/>
  <c r="C53" i="56"/>
  <c r="D53" i="56" s="1"/>
  <c r="H42" i="56"/>
  <c r="C15" i="56"/>
  <c r="D15" i="56" s="1"/>
  <c r="C37" i="56"/>
  <c r="D37" i="56" s="1"/>
  <c r="H50" i="56"/>
  <c r="C21" i="56"/>
  <c r="D21" i="56" s="1"/>
  <c r="C32" i="56"/>
  <c r="D32" i="56" s="1"/>
  <c r="L55" i="56"/>
  <c r="H30" i="56"/>
  <c r="H25" i="56"/>
  <c r="C12" i="56"/>
  <c r="D12" i="56" s="1"/>
  <c r="H46" i="56"/>
  <c r="L51" i="56"/>
  <c r="C13" i="56"/>
  <c r="D13" i="56" s="1"/>
  <c r="H53" i="56"/>
  <c r="L50" i="56"/>
  <c r="H32" i="56"/>
  <c r="L30" i="56"/>
  <c r="C25" i="56"/>
  <c r="D25" i="56" s="1"/>
  <c r="L16" i="56"/>
  <c r="C46" i="56"/>
  <c r="D46" i="56" s="1"/>
  <c r="H51" i="56"/>
  <c r="H37" i="56"/>
  <c r="C50" i="56"/>
  <c r="D50" i="56" s="1"/>
  <c r="H21" i="56"/>
  <c r="H55" i="56"/>
  <c r="C30" i="56"/>
  <c r="D30" i="56" s="1"/>
  <c r="H12" i="56"/>
  <c r="C51" i="56"/>
  <c r="D51" i="56" s="1"/>
  <c r="H13" i="56"/>
  <c r="C33" i="56"/>
  <c r="D33" i="56" s="1"/>
  <c r="C28" i="56"/>
  <c r="D28" i="56" s="1"/>
  <c r="C45" i="56"/>
  <c r="D45" i="56" s="1"/>
  <c r="H19" i="56"/>
  <c r="H20" i="56"/>
  <c r="H23" i="56"/>
  <c r="H43" i="56"/>
  <c r="C36" i="56"/>
  <c r="D36" i="56" s="1"/>
  <c r="H29" i="56"/>
  <c r="L37" i="56"/>
  <c r="L21" i="56"/>
  <c r="L25" i="56"/>
  <c r="H16" i="56"/>
  <c r="L12" i="56"/>
  <c r="L13" i="56"/>
  <c r="L33" i="56"/>
  <c r="L54" i="56"/>
  <c r="H28" i="56"/>
  <c r="C10" i="56"/>
  <c r="L17" i="56"/>
  <c r="L45" i="56"/>
  <c r="C19" i="56"/>
  <c r="D19" i="56" s="1"/>
  <c r="C20" i="56"/>
  <c r="D20" i="56" s="1"/>
  <c r="H36" i="56"/>
  <c r="L34" i="56"/>
  <c r="C14" i="56"/>
  <c r="D14" i="56" s="1"/>
  <c r="L35" i="56"/>
  <c r="C44" i="56"/>
  <c r="D44" i="56" s="1"/>
  <c r="L32" i="56"/>
  <c r="H17" i="56"/>
  <c r="L19" i="56"/>
  <c r="C23" i="56"/>
  <c r="D23" i="56" s="1"/>
  <c r="L36" i="56"/>
  <c r="L29" i="56"/>
  <c r="C11" i="56"/>
  <c r="D11" i="56" s="1"/>
  <c r="C38" i="56"/>
  <c r="D38" i="56" s="1"/>
  <c r="H26" i="56"/>
  <c r="L24" i="56"/>
  <c r="L27" i="56"/>
  <c r="C55" i="56"/>
  <c r="D55" i="56" s="1"/>
  <c r="C54" i="56"/>
  <c r="D54" i="56" s="1"/>
  <c r="H10" i="56"/>
  <c r="H10" i="57" s="1"/>
  <c r="H45" i="56"/>
  <c r="L23" i="56"/>
  <c r="C29" i="56"/>
  <c r="D29" i="56" s="1"/>
  <c r="H48" i="56"/>
  <c r="C48" i="56"/>
  <c r="D48" i="56" s="1"/>
  <c r="L22" i="56"/>
  <c r="L41" i="56"/>
  <c r="H47" i="56"/>
  <c r="H49" i="56"/>
  <c r="C26" i="56"/>
  <c r="D26" i="56" s="1"/>
  <c r="C24" i="56"/>
  <c r="D24" i="56" s="1"/>
  <c r="H27" i="56"/>
  <c r="H33" i="56"/>
  <c r="H54" i="56"/>
  <c r="L10" i="56"/>
  <c r="L20" i="56"/>
  <c r="L43" i="56"/>
  <c r="C34" i="56"/>
  <c r="D34" i="56" s="1"/>
  <c r="C16" i="56"/>
  <c r="D16" i="56" s="1"/>
  <c r="L46" i="56"/>
  <c r="L28" i="56"/>
  <c r="C17" i="56"/>
  <c r="D17" i="56" s="1"/>
  <c r="C43" i="56"/>
  <c r="D43" i="56" s="1"/>
  <c r="H34" i="56"/>
  <c r="C35" i="56"/>
  <c r="D35" i="56" s="1"/>
  <c r="H35" i="56"/>
  <c r="L14" i="56"/>
  <c r="L48" i="56"/>
  <c r="L44" i="56"/>
  <c r="L11" i="56"/>
  <c r="C22" i="56"/>
  <c r="D22" i="56" s="1"/>
  <c r="C41" i="56"/>
  <c r="D41" i="56" s="1"/>
  <c r="C47" i="56"/>
  <c r="D47" i="56" s="1"/>
  <c r="L38" i="56"/>
  <c r="C49" i="56"/>
  <c r="D49" i="56" s="1"/>
  <c r="L26" i="56"/>
  <c r="H24" i="56"/>
  <c r="L47" i="56"/>
  <c r="H14" i="56"/>
  <c r="H11" i="56"/>
  <c r="H38" i="56"/>
  <c r="C27" i="56"/>
  <c r="D27" i="56" s="1"/>
  <c r="H44" i="56"/>
  <c r="H22" i="56"/>
  <c r="L49" i="56"/>
  <c r="H41" i="56"/>
  <c r="L53" i="56"/>
  <c r="L42" i="56"/>
  <c r="L15" i="56"/>
  <c r="C26" i="55"/>
  <c r="D26" i="55" s="1"/>
  <c r="C39" i="55"/>
  <c r="D39" i="55" s="1"/>
  <c r="L39" i="55"/>
  <c r="H27" i="55"/>
  <c r="H49" i="55"/>
  <c r="L53" i="55"/>
  <c r="H39" i="55"/>
  <c r="L27" i="55"/>
  <c r="L26" i="55"/>
  <c r="H22" i="55"/>
  <c r="H55" i="55"/>
  <c r="L42" i="55"/>
  <c r="L33" i="55"/>
  <c r="H46" i="55"/>
  <c r="H15" i="55"/>
  <c r="H16" i="55"/>
  <c r="H53" i="55"/>
  <c r="H56" i="55"/>
  <c r="C27" i="55"/>
  <c r="D27" i="55" s="1"/>
  <c r="L56" i="55"/>
  <c r="H26" i="55"/>
  <c r="L22" i="55"/>
  <c r="L55" i="55"/>
  <c r="L49" i="55"/>
  <c r="C56" i="55"/>
  <c r="D56" i="55" s="1"/>
  <c r="C22" i="55"/>
  <c r="D22" i="55" s="1"/>
  <c r="C55" i="55"/>
  <c r="D55" i="55" s="1"/>
  <c r="H33" i="55"/>
  <c r="L15" i="55"/>
  <c r="L16" i="55"/>
  <c r="H19" i="55"/>
  <c r="C53" i="55"/>
  <c r="D53" i="55" s="1"/>
  <c r="C42" i="55"/>
  <c r="D42" i="55" s="1"/>
  <c r="L46" i="55"/>
  <c r="C15" i="55"/>
  <c r="D15" i="55" s="1"/>
  <c r="L19" i="55"/>
  <c r="L51" i="55"/>
  <c r="C49" i="55"/>
  <c r="D49" i="55" s="1"/>
  <c r="C33" i="55"/>
  <c r="D33" i="55" s="1"/>
  <c r="C46" i="55"/>
  <c r="D46" i="55" s="1"/>
  <c r="C16" i="55"/>
  <c r="D16" i="55" s="1"/>
  <c r="C51" i="55"/>
  <c r="D51" i="55" s="1"/>
  <c r="H51" i="55"/>
  <c r="H42" i="55"/>
  <c r="O31" i="52"/>
  <c r="H52" i="59"/>
  <c r="O60" i="55"/>
  <c r="S60" i="55" s="1"/>
  <c r="O46" i="53"/>
  <c r="I9" i="54" l="1"/>
  <c r="J52" i="60"/>
  <c r="P52" i="60" s="1"/>
  <c r="E41" i="60"/>
  <c r="F41" i="60" s="1"/>
  <c r="J41" i="60" s="1"/>
  <c r="P41" i="60" s="1"/>
  <c r="E45" i="60"/>
  <c r="F45" i="60" s="1"/>
  <c r="J45" i="60" s="1"/>
  <c r="P45" i="60" s="1"/>
  <c r="G45" i="60"/>
  <c r="I45" i="60" s="1"/>
  <c r="E54" i="60"/>
  <c r="F54" i="60" s="1"/>
  <c r="J54" i="60" s="1"/>
  <c r="P54" i="60" s="1"/>
  <c r="J23" i="60"/>
  <c r="P23" i="60" s="1"/>
  <c r="E39" i="60"/>
  <c r="F39" i="60" s="1"/>
  <c r="J39" i="60" s="1"/>
  <c r="P39" i="60" s="1"/>
  <c r="G39" i="60"/>
  <c r="I39" i="60" s="1"/>
  <c r="I44" i="54"/>
  <c r="I43" i="54"/>
  <c r="E33" i="60"/>
  <c r="F33" i="60" s="1"/>
  <c r="J33" i="60" s="1"/>
  <c r="P33" i="60" s="1"/>
  <c r="G33" i="60"/>
  <c r="I33" i="60" s="1"/>
  <c r="I38" i="54"/>
  <c r="J55" i="59"/>
  <c r="P48" i="60"/>
  <c r="J20" i="54"/>
  <c r="P20" i="54" s="1"/>
  <c r="E26" i="60"/>
  <c r="F26" i="60" s="1"/>
  <c r="J26" i="60" s="1"/>
  <c r="P26" i="60" s="1"/>
  <c r="G26" i="60"/>
  <c r="I26" i="60" s="1"/>
  <c r="E20" i="60"/>
  <c r="F20" i="60" s="1"/>
  <c r="J20" i="60" s="1"/>
  <c r="P20" i="60" s="1"/>
  <c r="G20" i="60"/>
  <c r="I20" i="60" s="1"/>
  <c r="G37" i="54"/>
  <c r="I37" i="54" s="1"/>
  <c r="G51" i="54"/>
  <c r="I51" i="54" s="1"/>
  <c r="G31" i="54"/>
  <c r="I31" i="54" s="1"/>
  <c r="G55" i="54"/>
  <c r="I55" i="54" s="1"/>
  <c r="G14" i="54"/>
  <c r="I14" i="54" s="1"/>
  <c r="G26" i="54"/>
  <c r="I26" i="54" s="1"/>
  <c r="G19" i="54"/>
  <c r="I19" i="54" s="1"/>
  <c r="G24" i="54"/>
  <c r="I24" i="54" s="1"/>
  <c r="G39" i="54"/>
  <c r="I39" i="54" s="1"/>
  <c r="J19" i="55"/>
  <c r="J51" i="52"/>
  <c r="I46" i="58"/>
  <c r="G50" i="54"/>
  <c r="I50" i="54" s="1"/>
  <c r="E49" i="55"/>
  <c r="F49" i="55" s="1"/>
  <c r="J49" i="55" s="1"/>
  <c r="N22" i="55"/>
  <c r="N53" i="55"/>
  <c r="E22" i="56"/>
  <c r="F22" i="56" s="1"/>
  <c r="J22" i="56" s="1"/>
  <c r="E24" i="56"/>
  <c r="F24" i="56" s="1"/>
  <c r="J24" i="56" s="1"/>
  <c r="N41" i="56"/>
  <c r="N34" i="56"/>
  <c r="E33" i="56"/>
  <c r="F33" i="56" s="1"/>
  <c r="J33" i="56" s="1"/>
  <c r="E32" i="56"/>
  <c r="F32" i="56" s="1"/>
  <c r="J32" i="56" s="1"/>
  <c r="E42" i="56"/>
  <c r="F42" i="56" s="1"/>
  <c r="J42" i="56" s="1"/>
  <c r="E16" i="53"/>
  <c r="F16" i="53" s="1"/>
  <c r="J16" i="53" s="1"/>
  <c r="E52" i="55"/>
  <c r="F52" i="55" s="1"/>
  <c r="J52" i="55" s="1"/>
  <c r="P52" i="55" s="1"/>
  <c r="E28" i="55"/>
  <c r="F28" i="55" s="1"/>
  <c r="J28" i="55" s="1"/>
  <c r="N16" i="60"/>
  <c r="E55" i="60"/>
  <c r="F55" i="60" s="1"/>
  <c r="N52" i="53"/>
  <c r="N33" i="60"/>
  <c r="N33" i="59"/>
  <c r="E34" i="54"/>
  <c r="F34" i="54" s="1"/>
  <c r="J34" i="54" s="1"/>
  <c r="P34" i="54" s="1"/>
  <c r="N54" i="60"/>
  <c r="N54" i="59"/>
  <c r="E56" i="56"/>
  <c r="F56" i="56" s="1"/>
  <c r="J56" i="56" s="1"/>
  <c r="P56" i="56" s="1"/>
  <c r="N18" i="58"/>
  <c r="E33" i="58"/>
  <c r="F33" i="58" s="1"/>
  <c r="E25" i="58"/>
  <c r="F25" i="58" s="1"/>
  <c r="J25" i="58" s="1"/>
  <c r="N56" i="58"/>
  <c r="E37" i="58"/>
  <c r="F37" i="58" s="1"/>
  <c r="J37" i="58" s="1"/>
  <c r="P37" i="58" s="1"/>
  <c r="E54" i="58"/>
  <c r="F54" i="58" s="1"/>
  <c r="J54" i="58" s="1"/>
  <c r="N50" i="58"/>
  <c r="N43" i="61"/>
  <c r="E24" i="61"/>
  <c r="F24" i="61" s="1"/>
  <c r="J24" i="61" s="1"/>
  <c r="P24" i="61" s="1"/>
  <c r="N27" i="61"/>
  <c r="N25" i="61"/>
  <c r="E46" i="61"/>
  <c r="F46" i="61" s="1"/>
  <c r="J46" i="61" s="1"/>
  <c r="P46" i="61" s="1"/>
  <c r="E33" i="61"/>
  <c r="F33" i="61" s="1"/>
  <c r="J33" i="61" s="1"/>
  <c r="E38" i="53"/>
  <c r="F38" i="53" s="1"/>
  <c r="J38" i="53" s="1"/>
  <c r="E15" i="53"/>
  <c r="F15" i="53" s="1"/>
  <c r="J15" i="53" s="1"/>
  <c r="E33" i="53"/>
  <c r="F33" i="53" s="1"/>
  <c r="N31" i="54"/>
  <c r="S31" i="54" s="1"/>
  <c r="N31" i="53"/>
  <c r="N47" i="55"/>
  <c r="E23" i="55"/>
  <c r="F23" i="55" s="1"/>
  <c r="J23" i="55" s="1"/>
  <c r="P23" i="55" s="1"/>
  <c r="N39" i="57"/>
  <c r="N53" i="57"/>
  <c r="N25" i="57"/>
  <c r="E42" i="57"/>
  <c r="F42" i="57" s="1"/>
  <c r="J42" i="57" s="1"/>
  <c r="P42" i="57" s="1"/>
  <c r="E30" i="57"/>
  <c r="F30" i="57" s="1"/>
  <c r="J30" i="57" s="1"/>
  <c r="P30" i="57" s="1"/>
  <c r="N32" i="57"/>
  <c r="L11" i="58"/>
  <c r="N11" i="58" s="1"/>
  <c r="N11" i="57"/>
  <c r="E49" i="57"/>
  <c r="F49" i="57" s="1"/>
  <c r="J49" i="57" s="1"/>
  <c r="P49" i="57" s="1"/>
  <c r="E34" i="57"/>
  <c r="F34" i="57" s="1"/>
  <c r="J34" i="57" s="1"/>
  <c r="N18" i="57"/>
  <c r="N42" i="57"/>
  <c r="N51" i="57"/>
  <c r="E12" i="57"/>
  <c r="F12" i="57" s="1"/>
  <c r="J12" i="57" s="1"/>
  <c r="N22" i="57"/>
  <c r="E37" i="57"/>
  <c r="F37" i="57" s="1"/>
  <c r="E41" i="57"/>
  <c r="F41" i="57" s="1"/>
  <c r="J41" i="57" s="1"/>
  <c r="P41" i="57" s="1"/>
  <c r="E14" i="57"/>
  <c r="F14" i="57" s="1"/>
  <c r="J14" i="57" s="1"/>
  <c r="N49" i="57"/>
  <c r="N55" i="57"/>
  <c r="N52" i="57"/>
  <c r="N25" i="60"/>
  <c r="E16" i="55"/>
  <c r="F16" i="55" s="1"/>
  <c r="J16" i="55" s="1"/>
  <c r="N51" i="55"/>
  <c r="E42" i="55"/>
  <c r="F42" i="55" s="1"/>
  <c r="J42" i="55" s="1"/>
  <c r="P42" i="55" s="1"/>
  <c r="N15" i="55"/>
  <c r="E56" i="55"/>
  <c r="F56" i="55" s="1"/>
  <c r="J56" i="55" s="1"/>
  <c r="N33" i="55"/>
  <c r="N26" i="55"/>
  <c r="E26" i="55"/>
  <c r="F26" i="55" s="1"/>
  <c r="J26" i="55" s="1"/>
  <c r="P26" i="55" s="1"/>
  <c r="E27" i="56"/>
  <c r="F27" i="56" s="1"/>
  <c r="J27" i="56" s="1"/>
  <c r="P27" i="56" s="1"/>
  <c r="N47" i="56"/>
  <c r="N38" i="56"/>
  <c r="N11" i="56"/>
  <c r="E17" i="56"/>
  <c r="F17" i="56" s="1"/>
  <c r="J17" i="56" s="1"/>
  <c r="P17" i="56" s="1"/>
  <c r="E34" i="56"/>
  <c r="F34" i="56" s="1"/>
  <c r="J34" i="56" s="1"/>
  <c r="P34" i="56" s="1"/>
  <c r="E26" i="56"/>
  <c r="F26" i="56" s="1"/>
  <c r="J26" i="56" s="1"/>
  <c r="N22" i="56"/>
  <c r="P22" i="56"/>
  <c r="N23" i="56"/>
  <c r="E55" i="56"/>
  <c r="F55" i="56" s="1"/>
  <c r="J55" i="56" s="1"/>
  <c r="E38" i="56"/>
  <c r="F38" i="56" s="1"/>
  <c r="J38" i="56" s="1"/>
  <c r="P38" i="56" s="1"/>
  <c r="E23" i="56"/>
  <c r="F23" i="56" s="1"/>
  <c r="E44" i="56"/>
  <c r="F44" i="56" s="1"/>
  <c r="J44" i="56" s="1"/>
  <c r="P44" i="56" s="1"/>
  <c r="N17" i="56"/>
  <c r="P33" i="56"/>
  <c r="N33" i="56"/>
  <c r="N25" i="56"/>
  <c r="E36" i="56"/>
  <c r="F36" i="56" s="1"/>
  <c r="J36" i="56" s="1"/>
  <c r="N30" i="56"/>
  <c r="E13" i="56"/>
  <c r="F13" i="56" s="1"/>
  <c r="J13" i="56" s="1"/>
  <c r="P13" i="56" s="1"/>
  <c r="E21" i="56"/>
  <c r="F21" i="56" s="1"/>
  <c r="J21" i="56" s="1"/>
  <c r="P21" i="56" s="1"/>
  <c r="E43" i="52"/>
  <c r="F43" i="52" s="1"/>
  <c r="J43" i="52" s="1"/>
  <c r="P43" i="52" s="1"/>
  <c r="N21" i="53"/>
  <c r="N12" i="53"/>
  <c r="N47" i="53"/>
  <c r="N42" i="53"/>
  <c r="N42" i="54"/>
  <c r="S42" i="54" s="1"/>
  <c r="N24" i="55"/>
  <c r="N52" i="55"/>
  <c r="N18" i="55"/>
  <c r="E12" i="55"/>
  <c r="F12" i="55" s="1"/>
  <c r="J12" i="55" s="1"/>
  <c r="E38" i="60"/>
  <c r="F38" i="60" s="1"/>
  <c r="N30" i="60"/>
  <c r="N18" i="60"/>
  <c r="N51" i="60"/>
  <c r="E52" i="53"/>
  <c r="F52" i="53" s="1"/>
  <c r="J52" i="53" s="1"/>
  <c r="P52" i="53" s="1"/>
  <c r="E28" i="54"/>
  <c r="F28" i="54" s="1"/>
  <c r="J28" i="54" s="1"/>
  <c r="P28" i="54" s="1"/>
  <c r="E49" i="59"/>
  <c r="F49" i="59" s="1"/>
  <c r="J49" i="59" s="1"/>
  <c r="E33" i="59"/>
  <c r="F33" i="59" s="1"/>
  <c r="J33" i="59" s="1"/>
  <c r="P33" i="59" s="1"/>
  <c r="N43" i="59"/>
  <c r="E34" i="52"/>
  <c r="F34" i="52" s="1"/>
  <c r="J34" i="52" s="1"/>
  <c r="N41" i="54"/>
  <c r="N31" i="56"/>
  <c r="E54" i="59"/>
  <c r="F54" i="59" s="1"/>
  <c r="J54" i="59" s="1"/>
  <c r="P54" i="59" s="1"/>
  <c r="E46" i="54"/>
  <c r="F46" i="54" s="1"/>
  <c r="J46" i="54" s="1"/>
  <c r="E15" i="54"/>
  <c r="F15" i="54" s="1"/>
  <c r="J15" i="54" s="1"/>
  <c r="E40" i="54"/>
  <c r="F40" i="54" s="1"/>
  <c r="J40" i="54" s="1"/>
  <c r="E10" i="54"/>
  <c r="F10" i="54" s="1"/>
  <c r="N56" i="56"/>
  <c r="N17" i="58"/>
  <c r="E31" i="58"/>
  <c r="F31" i="58" s="1"/>
  <c r="P25" i="58"/>
  <c r="N25" i="58"/>
  <c r="E18" i="58"/>
  <c r="F18" i="58" s="1"/>
  <c r="J18" i="58" s="1"/>
  <c r="P18" i="58" s="1"/>
  <c r="E19" i="58"/>
  <c r="F19" i="58" s="1"/>
  <c r="J19" i="58" s="1"/>
  <c r="P19" i="58" s="1"/>
  <c r="E49" i="58"/>
  <c r="F49" i="58" s="1"/>
  <c r="J49" i="58" s="1"/>
  <c r="E32" i="58"/>
  <c r="F32" i="58" s="1"/>
  <c r="J32" i="58" s="1"/>
  <c r="P32" i="58" s="1"/>
  <c r="E34" i="58"/>
  <c r="F34" i="58" s="1"/>
  <c r="J34" i="58" s="1"/>
  <c r="P34" i="58" s="1"/>
  <c r="E53" i="58"/>
  <c r="F53" i="58" s="1"/>
  <c r="J53" i="58" s="1"/>
  <c r="P53" i="58" s="1"/>
  <c r="N31" i="58"/>
  <c r="E22" i="58"/>
  <c r="F22" i="58" s="1"/>
  <c r="J22" i="58" s="1"/>
  <c r="E45" i="58"/>
  <c r="F45" i="58" s="1"/>
  <c r="J45" i="58" s="1"/>
  <c r="P45" i="58" s="1"/>
  <c r="N41" i="58"/>
  <c r="C12" i="59"/>
  <c r="D12" i="59" s="1"/>
  <c r="D12" i="58"/>
  <c r="E13" i="58"/>
  <c r="F13" i="58" s="1"/>
  <c r="J13" i="58" s="1"/>
  <c r="E40" i="58"/>
  <c r="F40" i="58" s="1"/>
  <c r="J40" i="58" s="1"/>
  <c r="P40" i="58" s="1"/>
  <c r="N48" i="58"/>
  <c r="E29" i="58"/>
  <c r="F29" i="58" s="1"/>
  <c r="J29" i="58" s="1"/>
  <c r="N44" i="58"/>
  <c r="E36" i="58"/>
  <c r="F36" i="58" s="1"/>
  <c r="J36" i="58" s="1"/>
  <c r="P36" i="58" s="1"/>
  <c r="E15" i="58"/>
  <c r="F15" i="58" s="1"/>
  <c r="J15" i="58" s="1"/>
  <c r="N14" i="58"/>
  <c r="E50" i="58"/>
  <c r="F50" i="58" s="1"/>
  <c r="J50" i="58" s="1"/>
  <c r="P50" i="58" s="1"/>
  <c r="E36" i="61"/>
  <c r="F36" i="61" s="1"/>
  <c r="J36" i="61" s="1"/>
  <c r="P36" i="61" s="1"/>
  <c r="E55" i="61"/>
  <c r="F55" i="61" s="1"/>
  <c r="J55" i="61" s="1"/>
  <c r="E23" i="61"/>
  <c r="F23" i="61" s="1"/>
  <c r="J23" i="61" s="1"/>
  <c r="P23" i="61" s="1"/>
  <c r="E50" i="61"/>
  <c r="F50" i="61" s="1"/>
  <c r="E43" i="61"/>
  <c r="F43" i="61" s="1"/>
  <c r="J43" i="61" s="1"/>
  <c r="P43" i="61" s="1"/>
  <c r="E17" i="61"/>
  <c r="F17" i="61" s="1"/>
  <c r="J17" i="61" s="1"/>
  <c r="N21" i="61"/>
  <c r="N29" i="61"/>
  <c r="N40" i="61"/>
  <c r="N16" i="61"/>
  <c r="N35" i="61"/>
  <c r="N30" i="61"/>
  <c r="E45" i="61"/>
  <c r="F45" i="61" s="1"/>
  <c r="J45" i="61" s="1"/>
  <c r="E32" i="61"/>
  <c r="F32" i="61" s="1"/>
  <c r="J32" i="61" s="1"/>
  <c r="N34" i="61"/>
  <c r="N20" i="61"/>
  <c r="E31" i="61"/>
  <c r="F31" i="61" s="1"/>
  <c r="J31" i="61" s="1"/>
  <c r="P31" i="61" s="1"/>
  <c r="E49" i="61"/>
  <c r="F49" i="61" s="1"/>
  <c r="J49" i="61" s="1"/>
  <c r="E56" i="61"/>
  <c r="F56" i="61" s="1"/>
  <c r="J56" i="61" s="1"/>
  <c r="P56" i="61" s="1"/>
  <c r="N56" i="61"/>
  <c r="N23" i="61"/>
  <c r="E28" i="61"/>
  <c r="F28" i="61" s="1"/>
  <c r="J28" i="61" s="1"/>
  <c r="N42" i="52"/>
  <c r="E24" i="53"/>
  <c r="F24" i="53" s="1"/>
  <c r="J24" i="53" s="1"/>
  <c r="P24" i="53" s="1"/>
  <c r="N38" i="54"/>
  <c r="S38" i="54" s="1"/>
  <c r="P38" i="53"/>
  <c r="N38" i="53"/>
  <c r="N11" i="53"/>
  <c r="N36" i="55"/>
  <c r="N25" i="55"/>
  <c r="N23" i="55"/>
  <c r="N10" i="55"/>
  <c r="N21" i="57"/>
  <c r="E31" i="57"/>
  <c r="F31" i="57" s="1"/>
  <c r="J31" i="57" s="1"/>
  <c r="E18" i="57"/>
  <c r="F18" i="57" s="1"/>
  <c r="J18" i="57" s="1"/>
  <c r="P18" i="57" s="1"/>
  <c r="N12" i="57"/>
  <c r="P12" i="57"/>
  <c r="E56" i="57"/>
  <c r="F56" i="57" s="1"/>
  <c r="J56" i="57" s="1"/>
  <c r="E24" i="57"/>
  <c r="F24" i="57" s="1"/>
  <c r="J24" i="57" s="1"/>
  <c r="N15" i="57"/>
  <c r="E15" i="57"/>
  <c r="F15" i="57" s="1"/>
  <c r="J15" i="57" s="1"/>
  <c r="P15" i="57" s="1"/>
  <c r="N45" i="57"/>
  <c r="N29" i="57"/>
  <c r="N20" i="57"/>
  <c r="E26" i="57"/>
  <c r="F26" i="57" s="1"/>
  <c r="J26" i="57" s="1"/>
  <c r="E39" i="57"/>
  <c r="F39" i="57" s="1"/>
  <c r="J39" i="57" s="1"/>
  <c r="P39" i="57" s="1"/>
  <c r="E25" i="57"/>
  <c r="F25" i="57" s="1"/>
  <c r="J25" i="57" s="1"/>
  <c r="P25" i="57" s="1"/>
  <c r="E36" i="57"/>
  <c r="F36" i="57" s="1"/>
  <c r="J36" i="57" s="1"/>
  <c r="P36" i="57" s="1"/>
  <c r="N33" i="57"/>
  <c r="E43" i="57"/>
  <c r="F43" i="57" s="1"/>
  <c r="E55" i="57"/>
  <c r="F55" i="57" s="1"/>
  <c r="J55" i="57" s="1"/>
  <c r="P55" i="57" s="1"/>
  <c r="N37" i="57"/>
  <c r="E32" i="57"/>
  <c r="F32" i="57" s="1"/>
  <c r="J32" i="57" s="1"/>
  <c r="P32" i="57" s="1"/>
  <c r="C11" i="58"/>
  <c r="D11" i="58" s="1"/>
  <c r="D11" i="57"/>
  <c r="N36" i="57"/>
  <c r="N43" i="60"/>
  <c r="E53" i="60"/>
  <c r="F53" i="60" s="1"/>
  <c r="J53" i="60" s="1"/>
  <c r="E8" i="53"/>
  <c r="F8" i="53" s="1"/>
  <c r="J8" i="53" s="1"/>
  <c r="E21" i="54"/>
  <c r="F21" i="54" s="1"/>
  <c r="J21" i="54" s="1"/>
  <c r="P21" i="54" s="1"/>
  <c r="G51" i="52"/>
  <c r="I51" i="52" s="1"/>
  <c r="N45" i="59"/>
  <c r="N45" i="60"/>
  <c r="S45" i="60" s="1"/>
  <c r="N19" i="59"/>
  <c r="N52" i="54"/>
  <c r="N48" i="54"/>
  <c r="E52" i="56"/>
  <c r="F52" i="56" s="1"/>
  <c r="J52" i="56" s="1"/>
  <c r="E27" i="59"/>
  <c r="F27" i="59" s="1"/>
  <c r="J27" i="59" s="1"/>
  <c r="P27" i="59" s="1"/>
  <c r="N47" i="59"/>
  <c r="N18" i="56"/>
  <c r="E26" i="53"/>
  <c r="F26" i="53" s="1"/>
  <c r="J26" i="53" s="1"/>
  <c r="P26" i="53" s="1"/>
  <c r="N20" i="53"/>
  <c r="N20" i="54"/>
  <c r="N51" i="54"/>
  <c r="S51" i="54" s="1"/>
  <c r="N51" i="53"/>
  <c r="E37" i="53"/>
  <c r="F37" i="53" s="1"/>
  <c r="J37" i="53" s="1"/>
  <c r="P37" i="53" s="1"/>
  <c r="E40" i="53"/>
  <c r="F40" i="53" s="1"/>
  <c r="J40" i="53" s="1"/>
  <c r="P40" i="53" s="1"/>
  <c r="E54" i="53"/>
  <c r="F54" i="53" s="1"/>
  <c r="J54" i="53" s="1"/>
  <c r="E9" i="53"/>
  <c r="F9" i="53" s="1"/>
  <c r="J9" i="53" s="1"/>
  <c r="P9" i="53" s="1"/>
  <c r="E27" i="53"/>
  <c r="F27" i="53" s="1"/>
  <c r="J27" i="53" s="1"/>
  <c r="P27" i="53" s="1"/>
  <c r="E41" i="55"/>
  <c r="F41" i="55" s="1"/>
  <c r="J41" i="55" s="1"/>
  <c r="E17" i="55"/>
  <c r="F17" i="55" s="1"/>
  <c r="J17" i="55" s="1"/>
  <c r="N14" i="55"/>
  <c r="E13" i="55"/>
  <c r="F13" i="55" s="1"/>
  <c r="J13" i="55" s="1"/>
  <c r="P13" i="55" s="1"/>
  <c r="N50" i="55"/>
  <c r="N38" i="52"/>
  <c r="N15" i="52"/>
  <c r="N41" i="52"/>
  <c r="N47" i="52"/>
  <c r="N19" i="52"/>
  <c r="N49" i="52"/>
  <c r="N43" i="52"/>
  <c r="N50" i="52"/>
  <c r="E24" i="52"/>
  <c r="F24" i="52" s="1"/>
  <c r="J24" i="52" s="1"/>
  <c r="P24" i="52" s="1"/>
  <c r="N33" i="52"/>
  <c r="E16" i="52"/>
  <c r="F16" i="52" s="1"/>
  <c r="J16" i="52" s="1"/>
  <c r="E20" i="52"/>
  <c r="F20" i="52" s="1"/>
  <c r="J20" i="52" s="1"/>
  <c r="P20" i="52" s="1"/>
  <c r="N30" i="52"/>
  <c r="E54" i="52"/>
  <c r="F54" i="52" s="1"/>
  <c r="J54" i="52" s="1"/>
  <c r="P54" i="52" s="1"/>
  <c r="E15" i="52"/>
  <c r="F15" i="52" s="1"/>
  <c r="J15" i="52" s="1"/>
  <c r="P15" i="52" s="1"/>
  <c r="N10" i="52"/>
  <c r="E50" i="52"/>
  <c r="F50" i="52" s="1"/>
  <c r="J50" i="52" s="1"/>
  <c r="P50" i="52" s="1"/>
  <c r="E31" i="52"/>
  <c r="F31" i="52" s="1"/>
  <c r="J31" i="52" s="1"/>
  <c r="P31" i="52" s="1"/>
  <c r="N12" i="52"/>
  <c r="E49" i="52"/>
  <c r="F49" i="52" s="1"/>
  <c r="J49" i="52" s="1"/>
  <c r="P49" i="52" s="1"/>
  <c r="N54" i="52"/>
  <c r="E19" i="52"/>
  <c r="F19" i="52" s="1"/>
  <c r="J19" i="52" s="1"/>
  <c r="P19" i="52" s="1"/>
  <c r="N35" i="53"/>
  <c r="E27" i="60"/>
  <c r="F27" i="60" s="1"/>
  <c r="J27" i="60" s="1"/>
  <c r="P27" i="60" s="1"/>
  <c r="E37" i="60"/>
  <c r="F37" i="60" s="1"/>
  <c r="J37" i="60" s="1"/>
  <c r="E47" i="60"/>
  <c r="F47" i="60" s="1"/>
  <c r="J47" i="60" s="1"/>
  <c r="P47" i="60" s="1"/>
  <c r="D14" i="60"/>
  <c r="C14" i="61"/>
  <c r="D14" i="61" s="1"/>
  <c r="E31" i="55"/>
  <c r="F31" i="55" s="1"/>
  <c r="J31" i="55" s="1"/>
  <c r="P31" i="55" s="1"/>
  <c r="N47" i="54"/>
  <c r="N21" i="59"/>
  <c r="N8" i="54"/>
  <c r="L8" i="55"/>
  <c r="N8" i="55" s="1"/>
  <c r="E56" i="54"/>
  <c r="F56" i="54" s="1"/>
  <c r="E39" i="56"/>
  <c r="F39" i="56" s="1"/>
  <c r="J39" i="56" s="1"/>
  <c r="P39" i="56" s="1"/>
  <c r="E48" i="59"/>
  <c r="F48" i="59" s="1"/>
  <c r="N20" i="59"/>
  <c r="N20" i="60"/>
  <c r="S20" i="60" s="1"/>
  <c r="E17" i="59"/>
  <c r="F17" i="59" s="1"/>
  <c r="J17" i="59" s="1"/>
  <c r="P17" i="59" s="1"/>
  <c r="E40" i="59"/>
  <c r="F40" i="59" s="1"/>
  <c r="J40" i="59" s="1"/>
  <c r="P40" i="59" s="1"/>
  <c r="E44" i="59"/>
  <c r="F44" i="59" s="1"/>
  <c r="J44" i="59" s="1"/>
  <c r="E50" i="59"/>
  <c r="F50" i="59" s="1"/>
  <c r="J50" i="59" s="1"/>
  <c r="P50" i="59" s="1"/>
  <c r="N36" i="59"/>
  <c r="E34" i="59"/>
  <c r="F34" i="59" s="1"/>
  <c r="J34" i="59" s="1"/>
  <c r="P34" i="59" s="1"/>
  <c r="E52" i="59"/>
  <c r="F52" i="59" s="1"/>
  <c r="J52" i="59" s="1"/>
  <c r="E21" i="1"/>
  <c r="F21" i="1" s="1"/>
  <c r="E50" i="1"/>
  <c r="F50" i="1" s="1"/>
  <c r="J50" i="1" s="1"/>
  <c r="E48" i="1"/>
  <c r="F48" i="1" s="1"/>
  <c r="C5" i="52"/>
  <c r="D5" i="52" s="1"/>
  <c r="D5" i="1"/>
  <c r="E15" i="1"/>
  <c r="F15" i="1" s="1"/>
  <c r="E44" i="1"/>
  <c r="F44" i="1" s="1"/>
  <c r="J44" i="1" s="1"/>
  <c r="E54" i="1"/>
  <c r="F54" i="1" s="1"/>
  <c r="E39" i="1"/>
  <c r="F39" i="1" s="1"/>
  <c r="J39" i="1" s="1"/>
  <c r="E8" i="1"/>
  <c r="F8" i="1" s="1"/>
  <c r="E51" i="1"/>
  <c r="F51" i="1" s="1"/>
  <c r="J51" i="1" s="1"/>
  <c r="E24" i="1"/>
  <c r="F24" i="1" s="1"/>
  <c r="E13" i="1"/>
  <c r="F13" i="1" s="1"/>
  <c r="J13" i="1" s="1"/>
  <c r="N29" i="54"/>
  <c r="S29" i="54" s="1"/>
  <c r="N29" i="53"/>
  <c r="E56" i="53"/>
  <c r="F56" i="53" s="1"/>
  <c r="J56" i="53" s="1"/>
  <c r="P56" i="53" s="1"/>
  <c r="E17" i="53"/>
  <c r="F17" i="53" s="1"/>
  <c r="J17" i="53" s="1"/>
  <c r="P17" i="53" s="1"/>
  <c r="N30" i="53"/>
  <c r="E45" i="55"/>
  <c r="F45" i="55" s="1"/>
  <c r="J45" i="55" s="1"/>
  <c r="N40" i="55"/>
  <c r="N37" i="55"/>
  <c r="C6" i="53"/>
  <c r="D6" i="53" s="1"/>
  <c r="D6" i="52"/>
  <c r="N15" i="60"/>
  <c r="E22" i="60"/>
  <c r="F22" i="60" s="1"/>
  <c r="J22" i="60" s="1"/>
  <c r="P22" i="60" s="1"/>
  <c r="E29" i="60"/>
  <c r="F29" i="60" s="1"/>
  <c r="J29" i="60" s="1"/>
  <c r="P29" i="60" s="1"/>
  <c r="N46" i="60"/>
  <c r="N50" i="53"/>
  <c r="N50" i="54"/>
  <c r="S50" i="54" s="1"/>
  <c r="E22" i="55"/>
  <c r="F22" i="55" s="1"/>
  <c r="J22" i="55" s="1"/>
  <c r="P22" i="55" s="1"/>
  <c r="N53" i="56"/>
  <c r="E16" i="56"/>
  <c r="F16" i="56" s="1"/>
  <c r="J16" i="56" s="1"/>
  <c r="E54" i="56"/>
  <c r="F54" i="56" s="1"/>
  <c r="N45" i="56"/>
  <c r="E30" i="56"/>
  <c r="F30" i="56" s="1"/>
  <c r="J30" i="56" s="1"/>
  <c r="P30" i="56" s="1"/>
  <c r="E12" i="56"/>
  <c r="F12" i="56" s="1"/>
  <c r="J12" i="56" s="1"/>
  <c r="E21" i="53"/>
  <c r="F21" i="53" s="1"/>
  <c r="J21" i="53" s="1"/>
  <c r="P21" i="53" s="1"/>
  <c r="N22" i="53"/>
  <c r="L13" i="60"/>
  <c r="N13" i="60" s="1"/>
  <c r="N13" i="59"/>
  <c r="E41" i="54"/>
  <c r="F41" i="54" s="1"/>
  <c r="J41" i="54" s="1"/>
  <c r="P41" i="54" s="1"/>
  <c r="E20" i="58"/>
  <c r="F20" i="58" s="1"/>
  <c r="J20" i="58" s="1"/>
  <c r="P20" i="58" s="1"/>
  <c r="N22" i="58"/>
  <c r="P22" i="58"/>
  <c r="N40" i="58"/>
  <c r="N53" i="58"/>
  <c r="E38" i="58"/>
  <c r="F38" i="58" s="1"/>
  <c r="J38" i="58" s="1"/>
  <c r="P38" i="58" s="1"/>
  <c r="N34" i="58"/>
  <c r="N21" i="58"/>
  <c r="N27" i="58"/>
  <c r="E21" i="61"/>
  <c r="F21" i="61" s="1"/>
  <c r="J21" i="61" s="1"/>
  <c r="P21" i="61" s="1"/>
  <c r="N39" i="61"/>
  <c r="E29" i="61"/>
  <c r="F29" i="61" s="1"/>
  <c r="J29" i="61" s="1"/>
  <c r="P29" i="61" s="1"/>
  <c r="E47" i="61"/>
  <c r="F47" i="61" s="1"/>
  <c r="J47" i="61" s="1"/>
  <c r="P47" i="61" s="1"/>
  <c r="N51" i="61"/>
  <c r="E40" i="61"/>
  <c r="F40" i="61" s="1"/>
  <c r="J40" i="61" s="1"/>
  <c r="P40" i="61" s="1"/>
  <c r="N33" i="61"/>
  <c r="P33" i="61"/>
  <c r="E43" i="53"/>
  <c r="F43" i="53" s="1"/>
  <c r="J43" i="53" s="1"/>
  <c r="P43" i="53" s="1"/>
  <c r="E46" i="55"/>
  <c r="F46" i="55" s="1"/>
  <c r="J46" i="55" s="1"/>
  <c r="P46" i="55" s="1"/>
  <c r="P19" i="55"/>
  <c r="N19" i="55"/>
  <c r="N49" i="55"/>
  <c r="P49" i="55"/>
  <c r="N56" i="55"/>
  <c r="P56" i="55"/>
  <c r="N42" i="55"/>
  <c r="N27" i="55"/>
  <c r="N15" i="56"/>
  <c r="N49" i="56"/>
  <c r="E47" i="56"/>
  <c r="F47" i="56" s="1"/>
  <c r="J47" i="56" s="1"/>
  <c r="P47" i="56" s="1"/>
  <c r="N44" i="56"/>
  <c r="E35" i="56"/>
  <c r="F35" i="56" s="1"/>
  <c r="J35" i="56" s="1"/>
  <c r="P35" i="56" s="1"/>
  <c r="N28" i="56"/>
  <c r="N43" i="56"/>
  <c r="E48" i="56"/>
  <c r="F48" i="56" s="1"/>
  <c r="J48" i="56" s="1"/>
  <c r="P48" i="56" s="1"/>
  <c r="N27" i="56"/>
  <c r="E11" i="56"/>
  <c r="F11" i="56" s="1"/>
  <c r="J11" i="56" s="1"/>
  <c r="P11" i="56" s="1"/>
  <c r="N19" i="56"/>
  <c r="N35" i="56"/>
  <c r="E20" i="56"/>
  <c r="F20" i="56" s="1"/>
  <c r="J20" i="56" s="1"/>
  <c r="P20" i="56" s="1"/>
  <c r="C10" i="57"/>
  <c r="D10" i="57" s="1"/>
  <c r="D10" i="56"/>
  <c r="N13" i="56"/>
  <c r="N21" i="56"/>
  <c r="E45" i="56"/>
  <c r="F45" i="56" s="1"/>
  <c r="J45" i="56" s="1"/>
  <c r="P45" i="56" s="1"/>
  <c r="E51" i="56"/>
  <c r="F51" i="56" s="1"/>
  <c r="J51" i="56" s="1"/>
  <c r="P51" i="56" s="1"/>
  <c r="E46" i="56"/>
  <c r="F46" i="56" s="1"/>
  <c r="J46" i="56" s="1"/>
  <c r="P46" i="56" s="1"/>
  <c r="N51" i="56"/>
  <c r="E53" i="56"/>
  <c r="F53" i="56" s="1"/>
  <c r="J53" i="56" s="1"/>
  <c r="P53" i="56" s="1"/>
  <c r="E53" i="53"/>
  <c r="F53" i="53" s="1"/>
  <c r="J53" i="53" s="1"/>
  <c r="E22" i="53"/>
  <c r="F22" i="53" s="1"/>
  <c r="J22" i="53" s="1"/>
  <c r="P22" i="53" s="1"/>
  <c r="N41" i="53"/>
  <c r="E47" i="53"/>
  <c r="F47" i="53" s="1"/>
  <c r="J47" i="53" s="1"/>
  <c r="P47" i="53" s="1"/>
  <c r="D7" i="53"/>
  <c r="C7" i="54"/>
  <c r="D7" i="54" s="1"/>
  <c r="N32" i="55"/>
  <c r="N21" i="55"/>
  <c r="P12" i="55"/>
  <c r="N12" i="55"/>
  <c r="N28" i="55"/>
  <c r="P28" i="55"/>
  <c r="N38" i="60"/>
  <c r="E18" i="60"/>
  <c r="F18" i="60" s="1"/>
  <c r="J18" i="60" s="1"/>
  <c r="P18" i="60" s="1"/>
  <c r="E51" i="60"/>
  <c r="F51" i="60" s="1"/>
  <c r="J51" i="60" s="1"/>
  <c r="P51" i="60" s="1"/>
  <c r="E29" i="55"/>
  <c r="F29" i="55" s="1"/>
  <c r="J29" i="55" s="1"/>
  <c r="N45" i="54"/>
  <c r="E25" i="54"/>
  <c r="F25" i="54" s="1"/>
  <c r="J25" i="54" s="1"/>
  <c r="N49" i="59"/>
  <c r="P49" i="59"/>
  <c r="N18" i="59"/>
  <c r="E43" i="59"/>
  <c r="F43" i="59" s="1"/>
  <c r="J43" i="59" s="1"/>
  <c r="P43" i="59" s="1"/>
  <c r="C13" i="60"/>
  <c r="D13" i="60" s="1"/>
  <c r="D13" i="59"/>
  <c r="N12" i="54"/>
  <c r="E30" i="54"/>
  <c r="F30" i="54" s="1"/>
  <c r="J30" i="54" s="1"/>
  <c r="N40" i="56"/>
  <c r="N26" i="58"/>
  <c r="E29" i="59"/>
  <c r="F29" i="59" s="1"/>
  <c r="J29" i="59" s="1"/>
  <c r="P29" i="59" s="1"/>
  <c r="N14" i="59"/>
  <c r="N12" i="58"/>
  <c r="L12" i="59"/>
  <c r="N12" i="59" s="1"/>
  <c r="E39" i="58"/>
  <c r="F39" i="58" s="1"/>
  <c r="J39" i="58" s="1"/>
  <c r="P39" i="58" s="1"/>
  <c r="E16" i="58"/>
  <c r="F16" i="58" s="1"/>
  <c r="E23" i="58"/>
  <c r="F23" i="58" s="1"/>
  <c r="J23" i="58" s="1"/>
  <c r="P23" i="58" s="1"/>
  <c r="N28" i="58"/>
  <c r="N16" i="58"/>
  <c r="N52" i="58"/>
  <c r="N39" i="58"/>
  <c r="N49" i="58"/>
  <c r="P49" i="58"/>
  <c r="N32" i="58"/>
  <c r="N51" i="58"/>
  <c r="N29" i="58"/>
  <c r="P29" i="58"/>
  <c r="E27" i="58"/>
  <c r="F27" i="58" s="1"/>
  <c r="J27" i="58" s="1"/>
  <c r="P27" i="58" s="1"/>
  <c r="E51" i="58"/>
  <c r="F51" i="58" s="1"/>
  <c r="J51" i="58" s="1"/>
  <c r="P51" i="58" s="1"/>
  <c r="N23" i="58"/>
  <c r="N47" i="58"/>
  <c r="N54" i="58"/>
  <c r="P54" i="58"/>
  <c r="E24" i="58"/>
  <c r="F24" i="58" s="1"/>
  <c r="J24" i="58" s="1"/>
  <c r="P24" i="58" s="1"/>
  <c r="E21" i="58"/>
  <c r="F21" i="58" s="1"/>
  <c r="J21" i="58" s="1"/>
  <c r="P21" i="58" s="1"/>
  <c r="N33" i="58"/>
  <c r="N48" i="61"/>
  <c r="E38" i="61"/>
  <c r="F38" i="61" s="1"/>
  <c r="J38" i="61" s="1"/>
  <c r="P38" i="61" s="1"/>
  <c r="E15" i="61"/>
  <c r="F15" i="61" s="1"/>
  <c r="N52" i="61"/>
  <c r="N38" i="61"/>
  <c r="E41" i="61"/>
  <c r="F41" i="61" s="1"/>
  <c r="J41" i="61" s="1"/>
  <c r="P41" i="61" s="1"/>
  <c r="P32" i="61"/>
  <c r="N32" i="61"/>
  <c r="N45" i="61"/>
  <c r="P45" i="61"/>
  <c r="E22" i="61"/>
  <c r="F22" i="61" s="1"/>
  <c r="N31" i="61"/>
  <c r="N50" i="61"/>
  <c r="N22" i="61"/>
  <c r="N47" i="61"/>
  <c r="E39" i="61"/>
  <c r="F39" i="61" s="1"/>
  <c r="J39" i="61" s="1"/>
  <c r="P39" i="61" s="1"/>
  <c r="N18" i="61"/>
  <c r="N28" i="61"/>
  <c r="P28" i="61"/>
  <c r="N53" i="61"/>
  <c r="P49" i="61"/>
  <c r="N49" i="61"/>
  <c r="E52" i="61"/>
  <c r="F52" i="61" s="1"/>
  <c r="J52" i="61" s="1"/>
  <c r="P52" i="61" s="1"/>
  <c r="E45" i="53"/>
  <c r="F45" i="53" s="1"/>
  <c r="N24" i="54"/>
  <c r="S24" i="54" s="1"/>
  <c r="N24" i="53"/>
  <c r="N33" i="53"/>
  <c r="N33" i="54"/>
  <c r="S33" i="54" s="1"/>
  <c r="N32" i="53"/>
  <c r="N32" i="54"/>
  <c r="S32" i="54" s="1"/>
  <c r="E11" i="53"/>
  <c r="F11" i="53" s="1"/>
  <c r="J11" i="53" s="1"/>
  <c r="P11" i="53" s="1"/>
  <c r="N43" i="54"/>
  <c r="S43" i="54" s="1"/>
  <c r="N43" i="53"/>
  <c r="E36" i="55"/>
  <c r="F36" i="55" s="1"/>
  <c r="J36" i="55" s="1"/>
  <c r="P36" i="55" s="1"/>
  <c r="E47" i="55"/>
  <c r="F47" i="55" s="1"/>
  <c r="E25" i="55"/>
  <c r="F25" i="55" s="1"/>
  <c r="J25" i="55" s="1"/>
  <c r="P25" i="55" s="1"/>
  <c r="E47" i="57"/>
  <c r="F47" i="57" s="1"/>
  <c r="J47" i="57" s="1"/>
  <c r="P47" i="57" s="1"/>
  <c r="N23" i="57"/>
  <c r="N16" i="57"/>
  <c r="N28" i="57"/>
  <c r="P31" i="57"/>
  <c r="N31" i="57"/>
  <c r="E50" i="57"/>
  <c r="F50" i="57" s="1"/>
  <c r="J50" i="57" s="1"/>
  <c r="P50" i="57" s="1"/>
  <c r="E21" i="57"/>
  <c r="F21" i="57" s="1"/>
  <c r="J21" i="57" s="1"/>
  <c r="P21" i="57" s="1"/>
  <c r="N38" i="57"/>
  <c r="N43" i="57"/>
  <c r="E29" i="57"/>
  <c r="F29" i="57" s="1"/>
  <c r="J29" i="57" s="1"/>
  <c r="P29" i="57" s="1"/>
  <c r="P24" i="57"/>
  <c r="N24" i="57"/>
  <c r="E53" i="57"/>
  <c r="F53" i="57" s="1"/>
  <c r="J53" i="57" s="1"/>
  <c r="P53" i="57" s="1"/>
  <c r="N26" i="57"/>
  <c r="P26" i="57"/>
  <c r="E46" i="57"/>
  <c r="F46" i="57" s="1"/>
  <c r="J46" i="57" s="1"/>
  <c r="E13" i="57"/>
  <c r="F13" i="57" s="1"/>
  <c r="J13" i="57" s="1"/>
  <c r="P13" i="57" s="1"/>
  <c r="E45" i="57"/>
  <c r="F45" i="57" s="1"/>
  <c r="J45" i="57" s="1"/>
  <c r="P45" i="57" s="1"/>
  <c r="E48" i="57"/>
  <c r="F48" i="57" s="1"/>
  <c r="J48" i="57" s="1"/>
  <c r="P48" i="57" s="1"/>
  <c r="E38" i="57"/>
  <c r="F38" i="57" s="1"/>
  <c r="J38" i="57" s="1"/>
  <c r="P38" i="57" s="1"/>
  <c r="N13" i="57"/>
  <c r="N17" i="57"/>
  <c r="E40" i="57"/>
  <c r="F40" i="57" s="1"/>
  <c r="J40" i="57" s="1"/>
  <c r="P40" i="57" s="1"/>
  <c r="E52" i="57"/>
  <c r="F52" i="57" s="1"/>
  <c r="J52" i="57" s="1"/>
  <c r="P52" i="57" s="1"/>
  <c r="E54" i="57"/>
  <c r="F54" i="57" s="1"/>
  <c r="J54" i="57" s="1"/>
  <c r="P54" i="57" s="1"/>
  <c r="E16" i="57"/>
  <c r="F16" i="57" s="1"/>
  <c r="J16" i="57" s="1"/>
  <c r="P16" i="57" s="1"/>
  <c r="P53" i="60"/>
  <c r="N53" i="60"/>
  <c r="E35" i="60"/>
  <c r="F35" i="60" s="1"/>
  <c r="J35" i="60" s="1"/>
  <c r="P35" i="60" s="1"/>
  <c r="N50" i="60"/>
  <c r="E25" i="60"/>
  <c r="F25" i="60" s="1"/>
  <c r="J25" i="60" s="1"/>
  <c r="P25" i="60" s="1"/>
  <c r="N34" i="60"/>
  <c r="E11" i="55"/>
  <c r="F11" i="55" s="1"/>
  <c r="J11" i="55" s="1"/>
  <c r="P11" i="55" s="1"/>
  <c r="P8" i="53"/>
  <c r="N8" i="53"/>
  <c r="E39" i="53"/>
  <c r="F39" i="53" s="1"/>
  <c r="J39" i="53" s="1"/>
  <c r="P39" i="53" s="1"/>
  <c r="N54" i="54"/>
  <c r="E24" i="59"/>
  <c r="F24" i="59" s="1"/>
  <c r="J24" i="59" s="1"/>
  <c r="J21" i="52"/>
  <c r="P21" i="52" s="1"/>
  <c r="N27" i="59"/>
  <c r="E47" i="59"/>
  <c r="F47" i="59" s="1"/>
  <c r="J47" i="59" s="1"/>
  <c r="P47" i="59" s="1"/>
  <c r="E18" i="56"/>
  <c r="F18" i="56" s="1"/>
  <c r="J18" i="56" s="1"/>
  <c r="P18" i="56" s="1"/>
  <c r="N44" i="54"/>
  <c r="S44" i="54" s="1"/>
  <c r="N44" i="53"/>
  <c r="N23" i="54"/>
  <c r="S23" i="54" s="1"/>
  <c r="N23" i="53"/>
  <c r="E18" i="53"/>
  <c r="F18" i="53" s="1"/>
  <c r="J18" i="53" s="1"/>
  <c r="P18" i="53" s="1"/>
  <c r="S18" i="53" s="1"/>
  <c r="N26" i="54"/>
  <c r="S26" i="54" s="1"/>
  <c r="N26" i="53"/>
  <c r="E37" i="52"/>
  <c r="F37" i="52" s="1"/>
  <c r="J37" i="52" s="1"/>
  <c r="P37" i="52" s="1"/>
  <c r="N37" i="53"/>
  <c r="N37" i="54"/>
  <c r="S37" i="54" s="1"/>
  <c r="E25" i="53"/>
  <c r="F25" i="53" s="1"/>
  <c r="J25" i="53" s="1"/>
  <c r="P25" i="53" s="1"/>
  <c r="N48" i="53"/>
  <c r="N27" i="53"/>
  <c r="P41" i="55"/>
  <c r="N41" i="55"/>
  <c r="E34" i="55"/>
  <c r="F34" i="55" s="1"/>
  <c r="J34" i="55" s="1"/>
  <c r="P34" i="55" s="1"/>
  <c r="E14" i="55"/>
  <c r="F14" i="55" s="1"/>
  <c r="J14" i="55" s="1"/>
  <c r="P14" i="55" s="1"/>
  <c r="N35" i="55"/>
  <c r="N55" i="52"/>
  <c r="N8" i="52"/>
  <c r="N46" i="52"/>
  <c r="N7" i="52"/>
  <c r="N9" i="52"/>
  <c r="N23" i="52"/>
  <c r="N37" i="52"/>
  <c r="N40" i="52"/>
  <c r="E11" i="52"/>
  <c r="F11" i="52" s="1"/>
  <c r="J11" i="52" s="1"/>
  <c r="P11" i="52" s="1"/>
  <c r="E27" i="52"/>
  <c r="F27" i="52" s="1"/>
  <c r="J27" i="52" s="1"/>
  <c r="E30" i="52"/>
  <c r="F30" i="52" s="1"/>
  <c r="J30" i="52" s="1"/>
  <c r="P30" i="52" s="1"/>
  <c r="E23" i="52"/>
  <c r="F23" i="52" s="1"/>
  <c r="J23" i="52" s="1"/>
  <c r="P23" i="52" s="1"/>
  <c r="E17" i="52"/>
  <c r="F17" i="52" s="1"/>
  <c r="J17" i="52" s="1"/>
  <c r="P17" i="52" s="1"/>
  <c r="N13" i="52"/>
  <c r="E41" i="52"/>
  <c r="F41" i="52" s="1"/>
  <c r="E47" i="52"/>
  <c r="F47" i="52" s="1"/>
  <c r="J47" i="52" s="1"/>
  <c r="P47" i="52" s="1"/>
  <c r="E25" i="52"/>
  <c r="F25" i="52" s="1"/>
  <c r="E13" i="52"/>
  <c r="F13" i="52" s="1"/>
  <c r="J13" i="52" s="1"/>
  <c r="P13" i="52" s="1"/>
  <c r="E40" i="52"/>
  <c r="F40" i="52" s="1"/>
  <c r="J40" i="52" s="1"/>
  <c r="P40" i="52" s="1"/>
  <c r="E32" i="52"/>
  <c r="F32" i="52" s="1"/>
  <c r="J32" i="52" s="1"/>
  <c r="P32" i="52" s="1"/>
  <c r="E10" i="52"/>
  <c r="F10" i="52" s="1"/>
  <c r="J10" i="52" s="1"/>
  <c r="P10" i="52" s="1"/>
  <c r="E56" i="52"/>
  <c r="F56" i="52" s="1"/>
  <c r="J56" i="52" s="1"/>
  <c r="P56" i="52" s="1"/>
  <c r="E39" i="52"/>
  <c r="F39" i="52" s="1"/>
  <c r="J39" i="52" s="1"/>
  <c r="E55" i="52"/>
  <c r="F55" i="52" s="1"/>
  <c r="E35" i="53"/>
  <c r="F35" i="53" s="1"/>
  <c r="J35" i="53" s="1"/>
  <c r="P35" i="53" s="1"/>
  <c r="N37" i="60"/>
  <c r="P37" i="60"/>
  <c r="N14" i="60"/>
  <c r="L14" i="61"/>
  <c r="N14" i="61" s="1"/>
  <c r="N32" i="60"/>
  <c r="E38" i="55"/>
  <c r="F38" i="55" s="1"/>
  <c r="J38" i="55" s="1"/>
  <c r="E31" i="59"/>
  <c r="F31" i="59" s="1"/>
  <c r="J31" i="59" s="1"/>
  <c r="N41" i="59"/>
  <c r="N41" i="60"/>
  <c r="S41" i="60" s="1"/>
  <c r="N16" i="59"/>
  <c r="C8" i="55"/>
  <c r="D8" i="55" s="1"/>
  <c r="D8" i="54"/>
  <c r="N35" i="54"/>
  <c r="E36" i="54"/>
  <c r="F36" i="54" s="1"/>
  <c r="J36" i="54" s="1"/>
  <c r="N39" i="56"/>
  <c r="N37" i="59"/>
  <c r="N56" i="59"/>
  <c r="J46" i="58"/>
  <c r="P46" i="58" s="1"/>
  <c r="N30" i="59"/>
  <c r="N40" i="59"/>
  <c r="E28" i="59"/>
  <c r="F28" i="59" s="1"/>
  <c r="J28" i="59" s="1"/>
  <c r="N15" i="59"/>
  <c r="N42" i="59"/>
  <c r="N38" i="59"/>
  <c r="P55" i="59"/>
  <c r="N55" i="59"/>
  <c r="E25" i="59"/>
  <c r="F25" i="59" s="1"/>
  <c r="J25" i="59" s="1"/>
  <c r="P25" i="59" s="1"/>
  <c r="E20" i="59"/>
  <c r="F20" i="59" s="1"/>
  <c r="J20" i="59" s="1"/>
  <c r="P20" i="59" s="1"/>
  <c r="E30" i="59"/>
  <c r="F30" i="59" s="1"/>
  <c r="J30" i="59" s="1"/>
  <c r="P30" i="59" s="1"/>
  <c r="E15" i="59"/>
  <c r="F15" i="59" s="1"/>
  <c r="J15" i="59" s="1"/>
  <c r="P15" i="59" s="1"/>
  <c r="E19" i="1"/>
  <c r="F19" i="1" s="1"/>
  <c r="J19" i="1" s="1"/>
  <c r="E16" i="1"/>
  <c r="F16" i="1" s="1"/>
  <c r="J16" i="1" s="1"/>
  <c r="E34" i="1"/>
  <c r="F34" i="1" s="1"/>
  <c r="J34" i="1" s="1"/>
  <c r="E11" i="1"/>
  <c r="F11" i="1" s="1"/>
  <c r="J11" i="1" s="1"/>
  <c r="E22" i="1"/>
  <c r="F22" i="1" s="1"/>
  <c r="J22" i="1" s="1"/>
  <c r="E25" i="1"/>
  <c r="F25" i="1" s="1"/>
  <c r="J25" i="1" s="1"/>
  <c r="E55" i="1"/>
  <c r="F55" i="1" s="1"/>
  <c r="J55" i="1" s="1"/>
  <c r="G55" i="1"/>
  <c r="I55" i="1" s="1"/>
  <c r="E36" i="1"/>
  <c r="F36" i="1" s="1"/>
  <c r="J36" i="1" s="1"/>
  <c r="E35" i="1"/>
  <c r="F35" i="1" s="1"/>
  <c r="J35" i="1" s="1"/>
  <c r="E23" i="1"/>
  <c r="F23" i="1" s="1"/>
  <c r="J23" i="1" s="1"/>
  <c r="N20" i="52"/>
  <c r="E29" i="53"/>
  <c r="F29" i="53" s="1"/>
  <c r="N14" i="54"/>
  <c r="S14" i="54" s="1"/>
  <c r="N14" i="53"/>
  <c r="E49" i="53"/>
  <c r="F49" i="53" s="1"/>
  <c r="J49" i="53" s="1"/>
  <c r="P49" i="53" s="1"/>
  <c r="N17" i="54"/>
  <c r="S17" i="54" s="1"/>
  <c r="N17" i="53"/>
  <c r="N13" i="53"/>
  <c r="N13" i="54"/>
  <c r="S13" i="54" s="1"/>
  <c r="E34" i="53"/>
  <c r="F34" i="53" s="1"/>
  <c r="J34" i="53" s="1"/>
  <c r="P34" i="53" s="1"/>
  <c r="N36" i="53"/>
  <c r="P45" i="55"/>
  <c r="N45" i="55"/>
  <c r="N54" i="55"/>
  <c r="E44" i="55"/>
  <c r="F44" i="55" s="1"/>
  <c r="J44" i="55" s="1"/>
  <c r="P44" i="55" s="1"/>
  <c r="N22" i="60"/>
  <c r="N36" i="60"/>
  <c r="N42" i="60"/>
  <c r="N29" i="60"/>
  <c r="N48" i="55"/>
  <c r="E11" i="54"/>
  <c r="F11" i="54" s="1"/>
  <c r="J11" i="54" s="1"/>
  <c r="P11" i="54" s="1"/>
  <c r="N46" i="55"/>
  <c r="E39" i="55"/>
  <c r="F39" i="55" s="1"/>
  <c r="J39" i="55" s="1"/>
  <c r="P39" i="55" s="1"/>
  <c r="E43" i="56"/>
  <c r="F43" i="56" s="1"/>
  <c r="J43" i="56" s="1"/>
  <c r="P43" i="56" s="1"/>
  <c r="E29" i="56"/>
  <c r="F29" i="56" s="1"/>
  <c r="J29" i="56" s="1"/>
  <c r="P29" i="56" s="1"/>
  <c r="P32" i="56"/>
  <c r="N32" i="56"/>
  <c r="N54" i="56"/>
  <c r="E25" i="56"/>
  <c r="F25" i="56" s="1"/>
  <c r="J25" i="56" s="1"/>
  <c r="P25" i="56" s="1"/>
  <c r="E15" i="56"/>
  <c r="F15" i="56" s="1"/>
  <c r="J15" i="56" s="1"/>
  <c r="P15" i="56" s="1"/>
  <c r="P53" i="53"/>
  <c r="N53" i="53"/>
  <c r="E41" i="53"/>
  <c r="F41" i="53" s="1"/>
  <c r="J41" i="53" s="1"/>
  <c r="P41" i="53" s="1"/>
  <c r="N46" i="53"/>
  <c r="L7" i="54"/>
  <c r="N7" i="54" s="1"/>
  <c r="N7" i="53"/>
  <c r="N30" i="55"/>
  <c r="E49" i="60"/>
  <c r="F49" i="60" s="1"/>
  <c r="J49" i="60" s="1"/>
  <c r="E19" i="60"/>
  <c r="F19" i="60" s="1"/>
  <c r="J19" i="60" s="1"/>
  <c r="P19" i="60" s="1"/>
  <c r="P29" i="55"/>
  <c r="N29" i="55"/>
  <c r="N28" i="54"/>
  <c r="P25" i="54"/>
  <c r="N25" i="54"/>
  <c r="E26" i="59"/>
  <c r="F26" i="59" s="1"/>
  <c r="J26" i="59" s="1"/>
  <c r="P26" i="59" s="1"/>
  <c r="N46" i="54"/>
  <c r="P46" i="54"/>
  <c r="N27" i="54"/>
  <c r="E42" i="58"/>
  <c r="F42" i="58" s="1"/>
  <c r="J42" i="58" s="1"/>
  <c r="E52" i="58"/>
  <c r="F52" i="58" s="1"/>
  <c r="J52" i="58" s="1"/>
  <c r="P52" i="58" s="1"/>
  <c r="E30" i="58"/>
  <c r="F30" i="58" s="1"/>
  <c r="J30" i="58" s="1"/>
  <c r="P30" i="58" s="1"/>
  <c r="E56" i="58"/>
  <c r="F56" i="58" s="1"/>
  <c r="J56" i="58" s="1"/>
  <c r="P56" i="58" s="1"/>
  <c r="E47" i="58"/>
  <c r="F47" i="58" s="1"/>
  <c r="J47" i="58" s="1"/>
  <c r="P47" i="58" s="1"/>
  <c r="E54" i="61"/>
  <c r="F54" i="61" s="1"/>
  <c r="J54" i="61" s="1"/>
  <c r="P54" i="61" s="1"/>
  <c r="N15" i="61"/>
  <c r="N36" i="61"/>
  <c r="N54" i="61"/>
  <c r="E16" i="61"/>
  <c r="F16" i="61" s="1"/>
  <c r="J16" i="61" s="1"/>
  <c r="P16" i="61" s="1"/>
  <c r="E25" i="61"/>
  <c r="F25" i="61" s="1"/>
  <c r="J25" i="61" s="1"/>
  <c r="P25" i="61" s="1"/>
  <c r="P17" i="61"/>
  <c r="N17" i="61"/>
  <c r="N45" i="53"/>
  <c r="C9" i="56"/>
  <c r="D9" i="56" s="1"/>
  <c r="D9" i="55"/>
  <c r="E53" i="55"/>
  <c r="F53" i="55" s="1"/>
  <c r="J53" i="55" s="1"/>
  <c r="P53" i="55" s="1"/>
  <c r="E33" i="55"/>
  <c r="F33" i="55" s="1"/>
  <c r="J33" i="55" s="1"/>
  <c r="P33" i="55" s="1"/>
  <c r="E15" i="55"/>
  <c r="F15" i="55" s="1"/>
  <c r="J15" i="55" s="1"/>
  <c r="P15" i="55" s="1"/>
  <c r="E55" i="55"/>
  <c r="F55" i="55" s="1"/>
  <c r="J55" i="55" s="1"/>
  <c r="P55" i="55" s="1"/>
  <c r="N55" i="55"/>
  <c r="E27" i="55"/>
  <c r="F27" i="55" s="1"/>
  <c r="J27" i="55" s="1"/>
  <c r="P27" i="55" s="1"/>
  <c r="N39" i="55"/>
  <c r="P42" i="56"/>
  <c r="N42" i="56"/>
  <c r="P26" i="56"/>
  <c r="N26" i="56"/>
  <c r="E41" i="56"/>
  <c r="F41" i="56" s="1"/>
  <c r="J41" i="56" s="1"/>
  <c r="P41" i="56" s="1"/>
  <c r="N48" i="56"/>
  <c r="N46" i="56"/>
  <c r="N20" i="56"/>
  <c r="P24" i="56"/>
  <c r="N24" i="56"/>
  <c r="N29" i="56"/>
  <c r="E14" i="56"/>
  <c r="F14" i="56" s="1"/>
  <c r="J14" i="56" s="1"/>
  <c r="P14" i="56" s="1"/>
  <c r="E19" i="56"/>
  <c r="F19" i="56" s="1"/>
  <c r="J19" i="56" s="1"/>
  <c r="P19" i="56" s="1"/>
  <c r="P12" i="56"/>
  <c r="N12" i="56"/>
  <c r="N37" i="56"/>
  <c r="E28" i="56"/>
  <c r="F28" i="56" s="1"/>
  <c r="J28" i="56" s="1"/>
  <c r="P28" i="56" s="1"/>
  <c r="E50" i="56"/>
  <c r="F50" i="56" s="1"/>
  <c r="J50" i="56" s="1"/>
  <c r="P50" i="56" s="1"/>
  <c r="N16" i="56"/>
  <c r="P16" i="56"/>
  <c r="N50" i="56"/>
  <c r="P55" i="56"/>
  <c r="N55" i="56"/>
  <c r="E37" i="56"/>
  <c r="F37" i="56" s="1"/>
  <c r="J37" i="56" s="1"/>
  <c r="P37" i="56" s="1"/>
  <c r="N32" i="52"/>
  <c r="E12" i="53"/>
  <c r="F12" i="53" s="1"/>
  <c r="J12" i="53" s="1"/>
  <c r="P12" i="53" s="1"/>
  <c r="N16" i="54"/>
  <c r="S16" i="54" s="1"/>
  <c r="N16" i="53"/>
  <c r="P16" i="53"/>
  <c r="E46" i="53"/>
  <c r="F46" i="53" s="1"/>
  <c r="J46" i="53" s="1"/>
  <c r="P46" i="53" s="1"/>
  <c r="E42" i="53"/>
  <c r="F42" i="53" s="1"/>
  <c r="E32" i="55"/>
  <c r="F32" i="55" s="1"/>
  <c r="J32" i="55" s="1"/>
  <c r="P32" i="55" s="1"/>
  <c r="E24" i="55"/>
  <c r="F24" i="55" s="1"/>
  <c r="E30" i="55"/>
  <c r="F30" i="55" s="1"/>
  <c r="J30" i="55" s="1"/>
  <c r="P30" i="55" s="1"/>
  <c r="E18" i="55"/>
  <c r="F18" i="55" s="1"/>
  <c r="N49" i="60"/>
  <c r="P49" i="60"/>
  <c r="E16" i="60"/>
  <c r="F16" i="60" s="1"/>
  <c r="E30" i="60"/>
  <c r="F30" i="60" s="1"/>
  <c r="J30" i="60" s="1"/>
  <c r="P30" i="60" s="1"/>
  <c r="N19" i="60"/>
  <c r="N55" i="60"/>
  <c r="E45" i="54"/>
  <c r="F45" i="54" s="1"/>
  <c r="J45" i="54" s="1"/>
  <c r="P45" i="54" s="1"/>
  <c r="E18" i="59"/>
  <c r="F18" i="59" s="1"/>
  <c r="J18" i="59" s="1"/>
  <c r="P18" i="59" s="1"/>
  <c r="N26" i="60"/>
  <c r="S26" i="60" s="1"/>
  <c r="N26" i="59"/>
  <c r="N34" i="54"/>
  <c r="E12" i="54"/>
  <c r="F12" i="54" s="1"/>
  <c r="J12" i="54" s="1"/>
  <c r="P12" i="54" s="1"/>
  <c r="N30" i="54"/>
  <c r="P30" i="54"/>
  <c r="E31" i="56"/>
  <c r="F31" i="56" s="1"/>
  <c r="J31" i="56" s="1"/>
  <c r="P31" i="56" s="1"/>
  <c r="E40" i="56"/>
  <c r="F40" i="56" s="1"/>
  <c r="J40" i="56" s="1"/>
  <c r="P40" i="56" s="1"/>
  <c r="N34" i="59"/>
  <c r="P15" i="54"/>
  <c r="N15" i="54"/>
  <c r="E26" i="58"/>
  <c r="F26" i="58" s="1"/>
  <c r="J26" i="58" s="1"/>
  <c r="P26" i="58" s="1"/>
  <c r="P40" i="54"/>
  <c r="N40" i="54"/>
  <c r="N29" i="59"/>
  <c r="E14" i="59"/>
  <c r="F14" i="59" s="1"/>
  <c r="J14" i="59" s="1"/>
  <c r="P14" i="59" s="1"/>
  <c r="E27" i="54"/>
  <c r="F27" i="54" s="1"/>
  <c r="J27" i="54" s="1"/>
  <c r="P27" i="54" s="1"/>
  <c r="N10" i="54"/>
  <c r="P15" i="58"/>
  <c r="N15" i="58"/>
  <c r="E55" i="58"/>
  <c r="F55" i="58" s="1"/>
  <c r="N38" i="58"/>
  <c r="P13" i="58"/>
  <c r="N13" i="58"/>
  <c r="N55" i="58"/>
  <c r="E41" i="58"/>
  <c r="F41" i="58" s="1"/>
  <c r="J41" i="58" s="1"/>
  <c r="P41" i="58" s="1"/>
  <c r="E43" i="58"/>
  <c r="F43" i="58" s="1"/>
  <c r="J43" i="58" s="1"/>
  <c r="P43" i="58" s="1"/>
  <c r="N42" i="58"/>
  <c r="P42" i="58"/>
  <c r="N19" i="58"/>
  <c r="E48" i="58"/>
  <c r="F48" i="58" s="1"/>
  <c r="J48" i="58" s="1"/>
  <c r="P48" i="58" s="1"/>
  <c r="N30" i="58"/>
  <c r="N20" i="58"/>
  <c r="N37" i="58"/>
  <c r="N36" i="58"/>
  <c r="N43" i="58"/>
  <c r="N24" i="58"/>
  <c r="E14" i="58"/>
  <c r="F14" i="58" s="1"/>
  <c r="N45" i="58"/>
  <c r="E28" i="58"/>
  <c r="F28" i="58" s="1"/>
  <c r="E44" i="58"/>
  <c r="F44" i="58" s="1"/>
  <c r="J44" i="58" s="1"/>
  <c r="P44" i="58" s="1"/>
  <c r="E17" i="58"/>
  <c r="F17" i="58" s="1"/>
  <c r="J17" i="58" s="1"/>
  <c r="P17" i="58" s="1"/>
  <c r="N46" i="58"/>
  <c r="E35" i="61"/>
  <c r="F35" i="61" s="1"/>
  <c r="J35" i="61" s="1"/>
  <c r="P35" i="61" s="1"/>
  <c r="E19" i="61"/>
  <c r="F19" i="61" s="1"/>
  <c r="E44" i="61"/>
  <c r="F44" i="61" s="1"/>
  <c r="J44" i="61" s="1"/>
  <c r="E30" i="61"/>
  <c r="F30" i="61" s="1"/>
  <c r="N24" i="61"/>
  <c r="N55" i="61"/>
  <c r="P55" i="61"/>
  <c r="N42" i="61"/>
  <c r="E48" i="61"/>
  <c r="F48" i="61" s="1"/>
  <c r="P44" i="61"/>
  <c r="N44" i="61"/>
  <c r="E51" i="61"/>
  <c r="F51" i="61" s="1"/>
  <c r="J51" i="61" s="1"/>
  <c r="P51" i="61" s="1"/>
  <c r="N37" i="61"/>
  <c r="E20" i="61"/>
  <c r="F20" i="61" s="1"/>
  <c r="J20" i="61" s="1"/>
  <c r="P20" i="61" s="1"/>
  <c r="N41" i="61"/>
  <c r="E27" i="61"/>
  <c r="F27" i="61" s="1"/>
  <c r="J27" i="61" s="1"/>
  <c r="P27" i="61" s="1"/>
  <c r="E37" i="61"/>
  <c r="F37" i="61" s="1"/>
  <c r="J37" i="61" s="1"/>
  <c r="P37" i="61" s="1"/>
  <c r="N19" i="61"/>
  <c r="N46" i="61"/>
  <c r="E26" i="61"/>
  <c r="F26" i="61" s="1"/>
  <c r="J26" i="61" s="1"/>
  <c r="P26" i="61" s="1"/>
  <c r="E42" i="61"/>
  <c r="F42" i="61" s="1"/>
  <c r="J42" i="61" s="1"/>
  <c r="P42" i="61" s="1"/>
  <c r="E34" i="61"/>
  <c r="F34" i="61" s="1"/>
  <c r="J34" i="61" s="1"/>
  <c r="P34" i="61" s="1"/>
  <c r="E53" i="61"/>
  <c r="F53" i="61" s="1"/>
  <c r="J53" i="61" s="1"/>
  <c r="P53" i="61" s="1"/>
  <c r="N26" i="61"/>
  <c r="E18" i="61"/>
  <c r="F18" i="61" s="1"/>
  <c r="J18" i="61" s="1"/>
  <c r="P18" i="61" s="1"/>
  <c r="P15" i="53"/>
  <c r="N15" i="53"/>
  <c r="E32" i="53"/>
  <c r="F32" i="53" s="1"/>
  <c r="J32" i="53" s="1"/>
  <c r="P32" i="53" s="1"/>
  <c r="E31" i="53"/>
  <c r="F31" i="53" s="1"/>
  <c r="J31" i="53" s="1"/>
  <c r="P31" i="53" s="1"/>
  <c r="G19" i="55"/>
  <c r="I19" i="55" s="1"/>
  <c r="E10" i="55"/>
  <c r="F10" i="55" s="1"/>
  <c r="J10" i="55" s="1"/>
  <c r="P10" i="55" s="1"/>
  <c r="N48" i="57"/>
  <c r="N41" i="57"/>
  <c r="N30" i="57"/>
  <c r="P14" i="57"/>
  <c r="N14" i="57"/>
  <c r="E44" i="57"/>
  <c r="F44" i="57" s="1"/>
  <c r="J44" i="57" s="1"/>
  <c r="P44" i="57" s="1"/>
  <c r="N50" i="57"/>
  <c r="N56" i="57"/>
  <c r="P56" i="57"/>
  <c r="N47" i="57"/>
  <c r="E17" i="57"/>
  <c r="F17" i="57" s="1"/>
  <c r="N54" i="57"/>
  <c r="E19" i="57"/>
  <c r="F19" i="57" s="1"/>
  <c r="E28" i="57"/>
  <c r="F28" i="57" s="1"/>
  <c r="J28" i="57" s="1"/>
  <c r="P28" i="57" s="1"/>
  <c r="E20" i="57"/>
  <c r="F20" i="57" s="1"/>
  <c r="N19" i="57"/>
  <c r="E35" i="57"/>
  <c r="F35" i="57" s="1"/>
  <c r="N46" i="57"/>
  <c r="P46" i="57"/>
  <c r="E23" i="57"/>
  <c r="F23" i="57" s="1"/>
  <c r="E22" i="57"/>
  <c r="F22" i="57" s="1"/>
  <c r="J22" i="57" s="1"/>
  <c r="P22" i="57" s="1"/>
  <c r="E51" i="57"/>
  <c r="F51" i="57" s="1"/>
  <c r="J51" i="57" s="1"/>
  <c r="P51" i="57" s="1"/>
  <c r="N44" i="57"/>
  <c r="N40" i="57"/>
  <c r="N35" i="57"/>
  <c r="E27" i="57"/>
  <c r="F27" i="57" s="1"/>
  <c r="J27" i="57" s="1"/>
  <c r="P27" i="57" s="1"/>
  <c r="N34" i="57"/>
  <c r="P34" i="57"/>
  <c r="E43" i="60"/>
  <c r="F43" i="60" s="1"/>
  <c r="J43" i="60" s="1"/>
  <c r="P43" i="60" s="1"/>
  <c r="N56" i="60"/>
  <c r="E50" i="60"/>
  <c r="F50" i="60" s="1"/>
  <c r="J50" i="60" s="1"/>
  <c r="P50" i="60" s="1"/>
  <c r="N28" i="60"/>
  <c r="E34" i="60"/>
  <c r="F34" i="60" s="1"/>
  <c r="J34" i="60" s="1"/>
  <c r="P34" i="60" s="1"/>
  <c r="N11" i="55"/>
  <c r="G55" i="59"/>
  <c r="I55" i="59" s="1"/>
  <c r="E45" i="59"/>
  <c r="F45" i="59" s="1"/>
  <c r="J45" i="59" s="1"/>
  <c r="P45" i="59" s="1"/>
  <c r="E39" i="59"/>
  <c r="F39" i="59" s="1"/>
  <c r="J39" i="59" s="1"/>
  <c r="P39" i="59" s="1"/>
  <c r="P24" i="59"/>
  <c r="N24" i="59"/>
  <c r="E52" i="54"/>
  <c r="F52" i="54" s="1"/>
  <c r="J52" i="54" s="1"/>
  <c r="P52" i="54" s="1"/>
  <c r="E22" i="54"/>
  <c r="F22" i="54" s="1"/>
  <c r="J22" i="54" s="1"/>
  <c r="P22" i="54" s="1"/>
  <c r="E53" i="54"/>
  <c r="F53" i="54" s="1"/>
  <c r="J53" i="54" s="1"/>
  <c r="N19" i="54"/>
  <c r="S19" i="54" s="1"/>
  <c r="N19" i="53"/>
  <c r="E19" i="53"/>
  <c r="F19" i="53" s="1"/>
  <c r="N55" i="54"/>
  <c r="S55" i="54" s="1"/>
  <c r="N55" i="53"/>
  <c r="E23" i="53"/>
  <c r="F23" i="53" s="1"/>
  <c r="J23" i="53" s="1"/>
  <c r="P23" i="53" s="1"/>
  <c r="N54" i="53"/>
  <c r="P54" i="53"/>
  <c r="E10" i="53"/>
  <c r="F10" i="53" s="1"/>
  <c r="J10" i="53" s="1"/>
  <c r="P10" i="53" s="1"/>
  <c r="N25" i="53"/>
  <c r="N28" i="53"/>
  <c r="N17" i="55"/>
  <c r="P17" i="55"/>
  <c r="N34" i="55"/>
  <c r="E50" i="55"/>
  <c r="F50" i="55" s="1"/>
  <c r="J50" i="55" s="1"/>
  <c r="P50" i="55" s="1"/>
  <c r="E35" i="55"/>
  <c r="F35" i="55" s="1"/>
  <c r="J35" i="55" s="1"/>
  <c r="P35" i="55" s="1"/>
  <c r="N24" i="52"/>
  <c r="N11" i="52"/>
  <c r="N17" i="52"/>
  <c r="N18" i="52"/>
  <c r="N26" i="52"/>
  <c r="N52" i="52"/>
  <c r="N28" i="52"/>
  <c r="L6" i="53"/>
  <c r="N6" i="53" s="1"/>
  <c r="N6" i="52"/>
  <c r="N27" i="52"/>
  <c r="P27" i="52"/>
  <c r="N35" i="52"/>
  <c r="E45" i="52"/>
  <c r="F45" i="52" s="1"/>
  <c r="E22" i="52"/>
  <c r="F22" i="52" s="1"/>
  <c r="J22" i="52" s="1"/>
  <c r="E9" i="52"/>
  <c r="F9" i="52" s="1"/>
  <c r="E8" i="52"/>
  <c r="F8" i="52" s="1"/>
  <c r="E52" i="52"/>
  <c r="F52" i="52" s="1"/>
  <c r="E14" i="52"/>
  <c r="F14" i="52" s="1"/>
  <c r="N14" i="52"/>
  <c r="E26" i="52"/>
  <c r="F26" i="52" s="1"/>
  <c r="J26" i="52" s="1"/>
  <c r="P26" i="52" s="1"/>
  <c r="E33" i="52"/>
  <c r="F33" i="52" s="1"/>
  <c r="J33" i="52" s="1"/>
  <c r="P33" i="52" s="1"/>
  <c r="E48" i="52"/>
  <c r="F48" i="52" s="1"/>
  <c r="E36" i="52"/>
  <c r="F36" i="52" s="1"/>
  <c r="J36" i="52" s="1"/>
  <c r="P36" i="52" s="1"/>
  <c r="E28" i="52"/>
  <c r="F28" i="52" s="1"/>
  <c r="J28" i="52" s="1"/>
  <c r="P28" i="52" s="1"/>
  <c r="N27" i="60"/>
  <c r="N40" i="60"/>
  <c r="N24" i="60"/>
  <c r="E31" i="60"/>
  <c r="F31" i="60" s="1"/>
  <c r="N31" i="55"/>
  <c r="E47" i="54"/>
  <c r="F47" i="54" s="1"/>
  <c r="J47" i="54" s="1"/>
  <c r="P47" i="54" s="1"/>
  <c r="P31" i="59"/>
  <c r="N31" i="59"/>
  <c r="E41" i="59"/>
  <c r="F41" i="59" s="1"/>
  <c r="J41" i="59" s="1"/>
  <c r="P41" i="59" s="1"/>
  <c r="E51" i="59"/>
  <c r="F51" i="59" s="1"/>
  <c r="J51" i="59" s="1"/>
  <c r="P51" i="59" s="1"/>
  <c r="E35" i="59"/>
  <c r="F35" i="59" s="1"/>
  <c r="J35" i="59" s="1"/>
  <c r="P35" i="59" s="1"/>
  <c r="E21" i="59"/>
  <c r="F21" i="59" s="1"/>
  <c r="J21" i="59" s="1"/>
  <c r="P21" i="59" s="1"/>
  <c r="N56" i="54"/>
  <c r="E35" i="54"/>
  <c r="F35" i="54" s="1"/>
  <c r="J35" i="54" s="1"/>
  <c r="P35" i="54" s="1"/>
  <c r="N36" i="54"/>
  <c r="P36" i="54"/>
  <c r="N35" i="58"/>
  <c r="E37" i="59"/>
  <c r="F37" i="59" s="1"/>
  <c r="J37" i="59" s="1"/>
  <c r="P37" i="59" s="1"/>
  <c r="J18" i="52"/>
  <c r="P18" i="52" s="1"/>
  <c r="N17" i="59"/>
  <c r="N17" i="60"/>
  <c r="S17" i="60" s="1"/>
  <c r="E42" i="59"/>
  <c r="F42" i="59" s="1"/>
  <c r="J42" i="59" s="1"/>
  <c r="P42" i="59" s="1"/>
  <c r="E53" i="59"/>
  <c r="F53" i="59" s="1"/>
  <c r="J53" i="59" s="1"/>
  <c r="N48" i="59"/>
  <c r="N48" i="60"/>
  <c r="S48" i="60" s="1"/>
  <c r="P53" i="59"/>
  <c r="N53" i="59"/>
  <c r="N25" i="59"/>
  <c r="G38" i="59"/>
  <c r="I38" i="59" s="1"/>
  <c r="E38" i="59"/>
  <c r="F38" i="59" s="1"/>
  <c r="J38" i="59" s="1"/>
  <c r="P38" i="59" s="1"/>
  <c r="E46" i="59"/>
  <c r="F46" i="59" s="1"/>
  <c r="J46" i="59" s="1"/>
  <c r="N22" i="59"/>
  <c r="E33" i="1"/>
  <c r="F33" i="1" s="1"/>
  <c r="J33" i="1" s="1"/>
  <c r="E40" i="1"/>
  <c r="F40" i="1" s="1"/>
  <c r="J40" i="1" s="1"/>
  <c r="E18" i="1"/>
  <c r="F18" i="1" s="1"/>
  <c r="J18" i="1" s="1"/>
  <c r="E6" i="1"/>
  <c r="F6" i="1" s="1"/>
  <c r="J6" i="1" s="1"/>
  <c r="E31" i="1"/>
  <c r="F31" i="1" s="1"/>
  <c r="J31" i="1" s="1"/>
  <c r="E52" i="1"/>
  <c r="F52" i="1" s="1"/>
  <c r="J52" i="1" s="1"/>
  <c r="E7" i="1"/>
  <c r="F7" i="1" s="1"/>
  <c r="J7" i="1" s="1"/>
  <c r="E14" i="1"/>
  <c r="F14" i="1" s="1"/>
  <c r="J14" i="1" s="1"/>
  <c r="E9" i="1"/>
  <c r="F9" i="1" s="1"/>
  <c r="J9" i="1" s="1"/>
  <c r="E30" i="1"/>
  <c r="F30" i="1" s="1"/>
  <c r="J30" i="1" s="1"/>
  <c r="E26" i="1"/>
  <c r="F26" i="1" s="1"/>
  <c r="J26" i="1" s="1"/>
  <c r="E38" i="1"/>
  <c r="F38" i="1" s="1"/>
  <c r="J38" i="1" s="1"/>
  <c r="E49" i="1"/>
  <c r="F49" i="1" s="1"/>
  <c r="J49" i="1" s="1"/>
  <c r="E42" i="1"/>
  <c r="F42" i="1" s="1"/>
  <c r="J42" i="1" s="1"/>
  <c r="N56" i="52"/>
  <c r="E14" i="53"/>
  <c r="F14" i="53" s="1"/>
  <c r="J14" i="53" s="1"/>
  <c r="P14" i="53" s="1"/>
  <c r="N49" i="54"/>
  <c r="S49" i="54" s="1"/>
  <c r="N49" i="53"/>
  <c r="E30" i="53"/>
  <c r="F30" i="53" s="1"/>
  <c r="J30" i="53" s="1"/>
  <c r="P30" i="53" s="1"/>
  <c r="E13" i="53"/>
  <c r="F13" i="53" s="1"/>
  <c r="J13" i="53" s="1"/>
  <c r="P13" i="53" s="1"/>
  <c r="N34" i="53"/>
  <c r="E43" i="55"/>
  <c r="F43" i="55" s="1"/>
  <c r="J43" i="55" s="1"/>
  <c r="P43" i="55" s="1"/>
  <c r="E37" i="55"/>
  <c r="F37" i="55" s="1"/>
  <c r="N44" i="60"/>
  <c r="E15" i="60"/>
  <c r="F15" i="60" s="1"/>
  <c r="N21" i="60"/>
  <c r="E36" i="60"/>
  <c r="F36" i="60" s="1"/>
  <c r="J36" i="60" s="1"/>
  <c r="P36" i="60" s="1"/>
  <c r="E42" i="60"/>
  <c r="F42" i="60" s="1"/>
  <c r="E46" i="60"/>
  <c r="F46" i="60" s="1"/>
  <c r="J46" i="60" s="1"/>
  <c r="P46" i="60" s="1"/>
  <c r="E50" i="53"/>
  <c r="F50" i="53" s="1"/>
  <c r="I42" i="52"/>
  <c r="E51" i="55"/>
  <c r="F51" i="55" s="1"/>
  <c r="J51" i="55" s="1"/>
  <c r="P51" i="55" s="1"/>
  <c r="P16" i="55"/>
  <c r="N16" i="55"/>
  <c r="E49" i="56"/>
  <c r="F49" i="56" s="1"/>
  <c r="J49" i="56" s="1"/>
  <c r="P49" i="56" s="1"/>
  <c r="N14" i="56"/>
  <c r="N10" i="56"/>
  <c r="L10" i="57"/>
  <c r="N10" i="57" s="1"/>
  <c r="N36" i="56"/>
  <c r="P36" i="56"/>
  <c r="E21" i="55"/>
  <c r="F21" i="55" s="1"/>
  <c r="J21" i="55" s="1"/>
  <c r="P21" i="55" s="1"/>
  <c r="E33" i="57"/>
  <c r="F33" i="57" s="1"/>
  <c r="J33" i="57" s="1"/>
  <c r="P33" i="57" s="1"/>
  <c r="N27" i="57"/>
  <c r="E56" i="60"/>
  <c r="F56" i="60" s="1"/>
  <c r="J56" i="60" s="1"/>
  <c r="P56" i="60" s="1"/>
  <c r="N35" i="60"/>
  <c r="E28" i="60"/>
  <c r="F28" i="60" s="1"/>
  <c r="J28" i="60" s="1"/>
  <c r="P28" i="60" s="1"/>
  <c r="N39" i="54"/>
  <c r="S39" i="54" s="1"/>
  <c r="N39" i="53"/>
  <c r="N21" i="54"/>
  <c r="E54" i="54"/>
  <c r="F54" i="54" s="1"/>
  <c r="J54" i="54" s="1"/>
  <c r="P54" i="54" s="1"/>
  <c r="E19" i="59"/>
  <c r="F19" i="59" s="1"/>
  <c r="J19" i="59" s="1"/>
  <c r="P19" i="59" s="1"/>
  <c r="N39" i="60"/>
  <c r="S39" i="60" s="1"/>
  <c r="N39" i="59"/>
  <c r="E48" i="54"/>
  <c r="F48" i="54" s="1"/>
  <c r="P52" i="56"/>
  <c r="N52" i="56"/>
  <c r="N22" i="54"/>
  <c r="N53" i="54"/>
  <c r="P53" i="54"/>
  <c r="E44" i="53"/>
  <c r="F44" i="53" s="1"/>
  <c r="J44" i="53" s="1"/>
  <c r="P44" i="53" s="1"/>
  <c r="E51" i="53"/>
  <c r="F51" i="53" s="1"/>
  <c r="J51" i="53" s="1"/>
  <c r="P51" i="53" s="1"/>
  <c r="E55" i="53"/>
  <c r="F55" i="53" s="1"/>
  <c r="J55" i="53" s="1"/>
  <c r="P55" i="53" s="1"/>
  <c r="E20" i="53"/>
  <c r="F20" i="53" s="1"/>
  <c r="J20" i="53" s="1"/>
  <c r="P20" i="53" s="1"/>
  <c r="N21" i="52"/>
  <c r="N40" i="53"/>
  <c r="N10" i="53"/>
  <c r="E48" i="53"/>
  <c r="F48" i="53" s="1"/>
  <c r="J48" i="53" s="1"/>
  <c r="P48" i="53" s="1"/>
  <c r="N9" i="54"/>
  <c r="S9" i="54" s="1"/>
  <c r="N9" i="53"/>
  <c r="E28" i="53"/>
  <c r="F28" i="53" s="1"/>
  <c r="J28" i="53" s="1"/>
  <c r="P28" i="53" s="1"/>
  <c r="N13" i="55"/>
  <c r="N36" i="52"/>
  <c r="N25" i="52"/>
  <c r="N44" i="52"/>
  <c r="N22" i="52"/>
  <c r="P22" i="52"/>
  <c r="N31" i="52"/>
  <c r="N48" i="52"/>
  <c r="N34" i="52"/>
  <c r="P34" i="52"/>
  <c r="N53" i="52"/>
  <c r="N51" i="52"/>
  <c r="P51" i="52"/>
  <c r="E46" i="52"/>
  <c r="F46" i="52" s="1"/>
  <c r="J46" i="52" s="1"/>
  <c r="P46" i="52" s="1"/>
  <c r="E44" i="52"/>
  <c r="F44" i="52" s="1"/>
  <c r="J44" i="52" s="1"/>
  <c r="P44" i="52" s="1"/>
  <c r="E53" i="52"/>
  <c r="F53" i="52" s="1"/>
  <c r="J53" i="52" s="1"/>
  <c r="P53" i="52" s="1"/>
  <c r="N16" i="52"/>
  <c r="P16" i="52"/>
  <c r="P39" i="52"/>
  <c r="N39" i="52"/>
  <c r="N29" i="52"/>
  <c r="E12" i="52"/>
  <c r="F12" i="52" s="1"/>
  <c r="J12" i="52" s="1"/>
  <c r="P12" i="52" s="1"/>
  <c r="E35" i="52"/>
  <c r="F35" i="52" s="1"/>
  <c r="J35" i="52" s="1"/>
  <c r="P35" i="52" s="1"/>
  <c r="E7" i="52"/>
  <c r="F7" i="52" s="1"/>
  <c r="J7" i="52" s="1"/>
  <c r="P7" i="52" s="1"/>
  <c r="E38" i="52"/>
  <c r="F38" i="52" s="1"/>
  <c r="J38" i="52" s="1"/>
  <c r="P38" i="52" s="1"/>
  <c r="N45" i="52"/>
  <c r="E29" i="52"/>
  <c r="F29" i="52" s="1"/>
  <c r="J29" i="52" s="1"/>
  <c r="P29" i="52" s="1"/>
  <c r="E40" i="60"/>
  <c r="F40" i="60" s="1"/>
  <c r="J40" i="60" s="1"/>
  <c r="P40" i="60" s="1"/>
  <c r="N47" i="60"/>
  <c r="E24" i="60"/>
  <c r="F24" i="60" s="1"/>
  <c r="J24" i="60" s="1"/>
  <c r="P24" i="60" s="1"/>
  <c r="N31" i="60"/>
  <c r="E32" i="60"/>
  <c r="F32" i="60" s="1"/>
  <c r="J32" i="60" s="1"/>
  <c r="P32" i="60" s="1"/>
  <c r="N38" i="55"/>
  <c r="P38" i="55"/>
  <c r="E16" i="59"/>
  <c r="F16" i="59" s="1"/>
  <c r="J16" i="59" s="1"/>
  <c r="P16" i="59" s="1"/>
  <c r="N51" i="59"/>
  <c r="N35" i="59"/>
  <c r="E35" i="58"/>
  <c r="F35" i="58" s="1"/>
  <c r="J35" i="58" s="1"/>
  <c r="P35" i="58" s="1"/>
  <c r="E56" i="59"/>
  <c r="F56" i="59" s="1"/>
  <c r="J56" i="59" s="1"/>
  <c r="P56" i="59" s="1"/>
  <c r="G18" i="52"/>
  <c r="I18" i="52" s="1"/>
  <c r="N32" i="59"/>
  <c r="N28" i="59"/>
  <c r="P28" i="59"/>
  <c r="N50" i="59"/>
  <c r="E22" i="59"/>
  <c r="F22" i="59" s="1"/>
  <c r="J22" i="59" s="1"/>
  <c r="P22" i="59" s="1"/>
  <c r="E23" i="59"/>
  <c r="F23" i="59" s="1"/>
  <c r="J23" i="59" s="1"/>
  <c r="P23" i="59" s="1"/>
  <c r="S23" i="59" s="1"/>
  <c r="E36" i="59"/>
  <c r="F36" i="59" s="1"/>
  <c r="J36" i="59" s="1"/>
  <c r="P36" i="59" s="1"/>
  <c r="N23" i="59"/>
  <c r="N23" i="60"/>
  <c r="S23" i="60" s="1"/>
  <c r="N52" i="60"/>
  <c r="S52" i="60" s="1"/>
  <c r="P52" i="59"/>
  <c r="N52" i="59"/>
  <c r="N44" i="59"/>
  <c r="P44" i="59"/>
  <c r="N46" i="59"/>
  <c r="P46" i="59"/>
  <c r="E32" i="59"/>
  <c r="F32" i="59" s="1"/>
  <c r="J32" i="59" s="1"/>
  <c r="P32" i="59" s="1"/>
  <c r="E29" i="1"/>
  <c r="F29" i="1" s="1"/>
  <c r="J29" i="1" s="1"/>
  <c r="E37" i="1"/>
  <c r="F37" i="1" s="1"/>
  <c r="J37" i="1" s="1"/>
  <c r="E32" i="1"/>
  <c r="F32" i="1" s="1"/>
  <c r="J32" i="1" s="1"/>
  <c r="E56" i="1"/>
  <c r="F56" i="1" s="1"/>
  <c r="J56" i="1" s="1"/>
  <c r="E41" i="1"/>
  <c r="F41" i="1" s="1"/>
  <c r="J41" i="1" s="1"/>
  <c r="E47" i="1"/>
  <c r="F47" i="1" s="1"/>
  <c r="J47" i="1" s="1"/>
  <c r="E20" i="1"/>
  <c r="F20" i="1" s="1"/>
  <c r="J20" i="1" s="1"/>
  <c r="E28" i="1"/>
  <c r="F28" i="1" s="1"/>
  <c r="J28" i="1" s="1"/>
  <c r="E27" i="1"/>
  <c r="F27" i="1" s="1"/>
  <c r="J27" i="1" s="1"/>
  <c r="E45" i="1"/>
  <c r="F45" i="1" s="1"/>
  <c r="J45" i="1" s="1"/>
  <c r="E46" i="1"/>
  <c r="F46" i="1" s="1"/>
  <c r="J46" i="1" s="1"/>
  <c r="E43" i="1"/>
  <c r="F43" i="1" s="1"/>
  <c r="J43" i="1" s="1"/>
  <c r="E10" i="1"/>
  <c r="F10" i="1" s="1"/>
  <c r="J10" i="1" s="1"/>
  <c r="E53" i="1"/>
  <c r="F53" i="1" s="1"/>
  <c r="J53" i="1" s="1"/>
  <c r="E17" i="1"/>
  <c r="F17" i="1" s="1"/>
  <c r="J17" i="1" s="1"/>
  <c r="E12" i="1"/>
  <c r="F12" i="1" s="1"/>
  <c r="J12" i="1" s="1"/>
  <c r="G12" i="1"/>
  <c r="I12" i="1" s="1"/>
  <c r="N56" i="53"/>
  <c r="E36" i="53"/>
  <c r="F36" i="53" s="1"/>
  <c r="J36" i="53" s="1"/>
  <c r="P36" i="53" s="1"/>
  <c r="E20" i="55"/>
  <c r="F20" i="55" s="1"/>
  <c r="J20" i="55" s="1"/>
  <c r="P20" i="55" s="1"/>
  <c r="S20" i="55" s="1"/>
  <c r="E54" i="55"/>
  <c r="F54" i="55" s="1"/>
  <c r="J54" i="55" s="1"/>
  <c r="P54" i="55" s="1"/>
  <c r="E40" i="55"/>
  <c r="F40" i="55" s="1"/>
  <c r="J40" i="55" s="1"/>
  <c r="P40" i="55" s="1"/>
  <c r="N43" i="55"/>
  <c r="N44" i="55"/>
  <c r="E44" i="60"/>
  <c r="F44" i="60" s="1"/>
  <c r="J44" i="60" s="1"/>
  <c r="P44" i="60" s="1"/>
  <c r="E21" i="60"/>
  <c r="F21" i="60" s="1"/>
  <c r="J21" i="60" s="1"/>
  <c r="P21" i="60" s="1"/>
  <c r="E48" i="55"/>
  <c r="F48" i="55" s="1"/>
  <c r="J48" i="55" s="1"/>
  <c r="P48" i="55" s="1"/>
  <c r="N11" i="54"/>
  <c r="J42" i="52"/>
  <c r="P42" i="52" s="1"/>
  <c r="G20" i="59" l="1"/>
  <c r="I20" i="59" s="1"/>
  <c r="S20" i="54"/>
  <c r="G28" i="54"/>
  <c r="I28" i="54" s="1"/>
  <c r="S54" i="60"/>
  <c r="G54" i="60"/>
  <c r="I54" i="60" s="1"/>
  <c r="G41" i="60"/>
  <c r="I41" i="60" s="1"/>
  <c r="G41" i="54"/>
  <c r="I41" i="54" s="1"/>
  <c r="S23" i="55"/>
  <c r="G48" i="53"/>
  <c r="I48" i="53" s="1"/>
  <c r="G27" i="56"/>
  <c r="I27" i="56" s="1"/>
  <c r="S33" i="60"/>
  <c r="S25" i="53"/>
  <c r="S31" i="52"/>
  <c r="G30" i="53"/>
  <c r="I30" i="53" s="1"/>
  <c r="G25" i="57"/>
  <c r="I25" i="57" s="1"/>
  <c r="G46" i="52"/>
  <c r="I46" i="52" s="1"/>
  <c r="G13" i="53"/>
  <c r="I13" i="53" s="1"/>
  <c r="G25" i="56"/>
  <c r="I25" i="56" s="1"/>
  <c r="G47" i="59"/>
  <c r="I47" i="59" s="1"/>
  <c r="G21" i="53"/>
  <c r="I21" i="53" s="1"/>
  <c r="S56" i="53"/>
  <c r="S56" i="55"/>
  <c r="G35" i="59"/>
  <c r="I35" i="59" s="1"/>
  <c r="G41" i="59"/>
  <c r="I41" i="59" s="1"/>
  <c r="G47" i="54"/>
  <c r="I47" i="54" s="1"/>
  <c r="G35" i="1"/>
  <c r="I35" i="1" s="1"/>
  <c r="G15" i="59"/>
  <c r="I15" i="59" s="1"/>
  <c r="G30" i="56"/>
  <c r="I30" i="56" s="1"/>
  <c r="G54" i="52"/>
  <c r="I54" i="52" s="1"/>
  <c r="G41" i="53"/>
  <c r="I41" i="53" s="1"/>
  <c r="G15" i="56"/>
  <c r="I15" i="56" s="1"/>
  <c r="G16" i="1"/>
  <c r="I16" i="1" s="1"/>
  <c r="S33" i="61"/>
  <c r="G22" i="59"/>
  <c r="I22" i="59" s="1"/>
  <c r="G53" i="52"/>
  <c r="I53" i="52" s="1"/>
  <c r="G44" i="53"/>
  <c r="I44" i="53" s="1"/>
  <c r="G28" i="60"/>
  <c r="I28" i="60" s="1"/>
  <c r="G21" i="59"/>
  <c r="I21" i="59" s="1"/>
  <c r="G51" i="59"/>
  <c r="I51" i="59" s="1"/>
  <c r="G44" i="57"/>
  <c r="I44" i="57" s="1"/>
  <c r="S55" i="59"/>
  <c r="G31" i="59"/>
  <c r="I31" i="59" s="1"/>
  <c r="G24" i="58"/>
  <c r="I24" i="58" s="1"/>
  <c r="S53" i="53"/>
  <c r="G38" i="55"/>
  <c r="I38" i="55" s="1"/>
  <c r="G26" i="57"/>
  <c r="I26" i="57" s="1"/>
  <c r="G40" i="58"/>
  <c r="I40" i="58" s="1"/>
  <c r="G46" i="54"/>
  <c r="I46" i="54" s="1"/>
  <c r="G32" i="56"/>
  <c r="I32" i="56" s="1"/>
  <c r="G12" i="52"/>
  <c r="I12" i="52" s="1"/>
  <c r="G56" i="60"/>
  <c r="I56" i="60" s="1"/>
  <c r="G21" i="55"/>
  <c r="I21" i="55" s="1"/>
  <c r="G49" i="56"/>
  <c r="I49" i="56" s="1"/>
  <c r="G42" i="59"/>
  <c r="I42" i="59" s="1"/>
  <c r="G53" i="54"/>
  <c r="I53" i="54" s="1"/>
  <c r="G52" i="54"/>
  <c r="I52" i="54" s="1"/>
  <c r="S44" i="57"/>
  <c r="S41" i="57"/>
  <c r="G10" i="55"/>
  <c r="I10" i="55" s="1"/>
  <c r="G34" i="61"/>
  <c r="I34" i="61" s="1"/>
  <c r="G26" i="61"/>
  <c r="I26" i="61" s="1"/>
  <c r="G37" i="61"/>
  <c r="I37" i="61" s="1"/>
  <c r="S41" i="61"/>
  <c r="G17" i="58"/>
  <c r="I17" i="58" s="1"/>
  <c r="G48" i="58"/>
  <c r="I48" i="58" s="1"/>
  <c r="G41" i="58"/>
  <c r="I41" i="58" s="1"/>
  <c r="G40" i="56"/>
  <c r="I40" i="56" s="1"/>
  <c r="S34" i="54"/>
  <c r="G18" i="59"/>
  <c r="I18" i="59" s="1"/>
  <c r="G29" i="56"/>
  <c r="I29" i="56" s="1"/>
  <c r="G39" i="55"/>
  <c r="I39" i="55" s="1"/>
  <c r="G31" i="57"/>
  <c r="I31" i="57" s="1"/>
  <c r="G16" i="53"/>
  <c r="I16" i="53" s="1"/>
  <c r="G24" i="56"/>
  <c r="I24" i="56" s="1"/>
  <c r="S37" i="60"/>
  <c r="G30" i="52"/>
  <c r="I30" i="52" s="1"/>
  <c r="S49" i="59"/>
  <c r="G49" i="52"/>
  <c r="I49" i="52" s="1"/>
  <c r="G44" i="52"/>
  <c r="I44" i="52" s="1"/>
  <c r="G44" i="60"/>
  <c r="I44" i="60" s="1"/>
  <c r="G36" i="59"/>
  <c r="I36" i="59" s="1"/>
  <c r="G55" i="53"/>
  <c r="I55" i="53" s="1"/>
  <c r="G46" i="60"/>
  <c r="I46" i="60" s="1"/>
  <c r="G53" i="59"/>
  <c r="I53" i="59" s="1"/>
  <c r="G37" i="59"/>
  <c r="I37" i="59" s="1"/>
  <c r="G28" i="52"/>
  <c r="I28" i="52" s="1"/>
  <c r="G22" i="54"/>
  <c r="I22" i="54" s="1"/>
  <c r="G50" i="60"/>
  <c r="I50" i="60" s="1"/>
  <c r="S40" i="57"/>
  <c r="G51" i="57"/>
  <c r="I51" i="57" s="1"/>
  <c r="G53" i="61"/>
  <c r="I53" i="61" s="1"/>
  <c r="G42" i="61"/>
  <c r="I42" i="61" s="1"/>
  <c r="G27" i="61"/>
  <c r="I27" i="61" s="1"/>
  <c r="G20" i="61"/>
  <c r="I20" i="61" s="1"/>
  <c r="G43" i="58"/>
  <c r="I43" i="58" s="1"/>
  <c r="G31" i="56"/>
  <c r="I31" i="56" s="1"/>
  <c r="G12" i="54"/>
  <c r="I12" i="54" s="1"/>
  <c r="G45" i="54"/>
  <c r="I45" i="54" s="1"/>
  <c r="S32" i="56"/>
  <c r="G43" i="56"/>
  <c r="I43" i="56" s="1"/>
  <c r="S29" i="60"/>
  <c r="G23" i="1"/>
  <c r="I23" i="1" s="1"/>
  <c r="G36" i="1"/>
  <c r="I36" i="1" s="1"/>
  <c r="G25" i="1"/>
  <c r="I25" i="1" s="1"/>
  <c r="G34" i="1"/>
  <c r="I34" i="1" s="1"/>
  <c r="G19" i="1"/>
  <c r="I19" i="1" s="1"/>
  <c r="G30" i="59"/>
  <c r="I30" i="59" s="1"/>
  <c r="G25" i="59"/>
  <c r="I25" i="59" s="1"/>
  <c r="G21" i="58"/>
  <c r="I21" i="58" s="1"/>
  <c r="G51" i="58"/>
  <c r="I51" i="58" s="1"/>
  <c r="G53" i="56"/>
  <c r="I53" i="56" s="1"/>
  <c r="S49" i="55"/>
  <c r="G12" i="56"/>
  <c r="I12" i="56" s="1"/>
  <c r="G22" i="55"/>
  <c r="I22" i="55" s="1"/>
  <c r="G24" i="57"/>
  <c r="I24" i="57" s="1"/>
  <c r="G33" i="59"/>
  <c r="I33" i="59" s="1"/>
  <c r="G14" i="57"/>
  <c r="I14" i="57" s="1"/>
  <c r="S51" i="59"/>
  <c r="S16" i="52"/>
  <c r="S51" i="52"/>
  <c r="S34" i="52"/>
  <c r="S56" i="52"/>
  <c r="S31" i="59"/>
  <c r="S14" i="57"/>
  <c r="S48" i="56"/>
  <c r="S44" i="56"/>
  <c r="S35" i="53"/>
  <c r="S17" i="56"/>
  <c r="S35" i="59"/>
  <c r="S29" i="56"/>
  <c r="S46" i="54"/>
  <c r="S54" i="52"/>
  <c r="S25" i="56"/>
  <c r="J48" i="54"/>
  <c r="P48" i="54" s="1"/>
  <c r="S48" i="54" s="1"/>
  <c r="G48" i="54"/>
  <c r="I48" i="54" s="1"/>
  <c r="J8" i="52"/>
  <c r="P8" i="52" s="1"/>
  <c r="S8" i="52" s="1"/>
  <c r="G8" i="52"/>
  <c r="I8" i="52" s="1"/>
  <c r="J21" i="1"/>
  <c r="G21" i="1"/>
  <c r="I21" i="1" s="1"/>
  <c r="J56" i="54"/>
  <c r="P56" i="54" s="1"/>
  <c r="S56" i="54" s="1"/>
  <c r="G56" i="54"/>
  <c r="I56" i="54" s="1"/>
  <c r="J43" i="57"/>
  <c r="P43" i="57" s="1"/>
  <c r="G43" i="57"/>
  <c r="I43" i="57" s="1"/>
  <c r="J31" i="58"/>
  <c r="P31" i="58" s="1"/>
  <c r="S31" i="58" s="1"/>
  <c r="G31" i="58"/>
  <c r="I31" i="58" s="1"/>
  <c r="J10" i="54"/>
  <c r="P10" i="54" s="1"/>
  <c r="S10" i="54" s="1"/>
  <c r="G10" i="54"/>
  <c r="I10" i="54" s="1"/>
  <c r="J23" i="56"/>
  <c r="P23" i="56" s="1"/>
  <c r="S23" i="56" s="1"/>
  <c r="G23" i="56"/>
  <c r="I23" i="56" s="1"/>
  <c r="G48" i="55"/>
  <c r="I48" i="55" s="1"/>
  <c r="G40" i="55"/>
  <c r="I40" i="55" s="1"/>
  <c r="G20" i="55"/>
  <c r="I20" i="55" s="1"/>
  <c r="G53" i="1"/>
  <c r="I53" i="1" s="1"/>
  <c r="G43" i="1"/>
  <c r="I43" i="1" s="1"/>
  <c r="G45" i="1"/>
  <c r="I45" i="1" s="1"/>
  <c r="G28" i="1"/>
  <c r="I28" i="1" s="1"/>
  <c r="G47" i="1"/>
  <c r="I47" i="1" s="1"/>
  <c r="G56" i="1"/>
  <c r="I56" i="1" s="1"/>
  <c r="G37" i="1"/>
  <c r="I37" i="1" s="1"/>
  <c r="G32" i="59"/>
  <c r="I32" i="59" s="1"/>
  <c r="S38" i="55"/>
  <c r="S22" i="52"/>
  <c r="J50" i="53"/>
  <c r="P50" i="53" s="1"/>
  <c r="S50" i="53" s="1"/>
  <c r="G50" i="53"/>
  <c r="I50" i="53" s="1"/>
  <c r="J9" i="52"/>
  <c r="P9" i="52" s="1"/>
  <c r="G9" i="52"/>
  <c r="I9" i="52" s="1"/>
  <c r="J30" i="61"/>
  <c r="P30" i="61" s="1"/>
  <c r="S30" i="61" s="1"/>
  <c r="G30" i="61"/>
  <c r="I30" i="61" s="1"/>
  <c r="J28" i="58"/>
  <c r="P28" i="58" s="1"/>
  <c r="G28" i="58"/>
  <c r="I28" i="58" s="1"/>
  <c r="J18" i="55"/>
  <c r="P18" i="55" s="1"/>
  <c r="G18" i="55"/>
  <c r="I18" i="55" s="1"/>
  <c r="J42" i="53"/>
  <c r="P42" i="53" s="1"/>
  <c r="G42" i="53"/>
  <c r="I42" i="53" s="1"/>
  <c r="J25" i="52"/>
  <c r="P25" i="52" s="1"/>
  <c r="G25" i="52"/>
  <c r="I25" i="52" s="1"/>
  <c r="S27" i="59"/>
  <c r="J24" i="1"/>
  <c r="G24" i="1"/>
  <c r="I24" i="1" s="1"/>
  <c r="J54" i="1"/>
  <c r="G54" i="1"/>
  <c r="I54" i="1" s="1"/>
  <c r="J37" i="57"/>
  <c r="P37" i="57" s="1"/>
  <c r="S37" i="57" s="1"/>
  <c r="G37" i="57"/>
  <c r="I37" i="57" s="1"/>
  <c r="J33" i="53"/>
  <c r="P33" i="53" s="1"/>
  <c r="S33" i="53" s="1"/>
  <c r="G33" i="53"/>
  <c r="I33" i="53" s="1"/>
  <c r="J42" i="60"/>
  <c r="P42" i="60" s="1"/>
  <c r="S42" i="60" s="1"/>
  <c r="G42" i="60"/>
  <c r="I42" i="60" s="1"/>
  <c r="J17" i="57"/>
  <c r="P17" i="57" s="1"/>
  <c r="S17" i="57" s="1"/>
  <c r="G17" i="57"/>
  <c r="I17" i="57" s="1"/>
  <c r="J14" i="58"/>
  <c r="P14" i="58" s="1"/>
  <c r="S14" i="58" s="1"/>
  <c r="G14" i="58"/>
  <c r="I14" i="58" s="1"/>
  <c r="G23" i="59"/>
  <c r="I23" i="59" s="1"/>
  <c r="G20" i="53"/>
  <c r="I20" i="53" s="1"/>
  <c r="G51" i="53"/>
  <c r="I51" i="53" s="1"/>
  <c r="S52" i="56"/>
  <c r="J37" i="55"/>
  <c r="P37" i="55" s="1"/>
  <c r="S37" i="55" s="1"/>
  <c r="G37" i="55"/>
  <c r="I37" i="55" s="1"/>
  <c r="J48" i="52"/>
  <c r="P48" i="52" s="1"/>
  <c r="S48" i="52" s="1"/>
  <c r="G48" i="52"/>
  <c r="I48" i="52" s="1"/>
  <c r="J14" i="52"/>
  <c r="P14" i="52" s="1"/>
  <c r="G14" i="52"/>
  <c r="I14" i="52" s="1"/>
  <c r="J35" i="57"/>
  <c r="P35" i="57" s="1"/>
  <c r="S35" i="57" s="1"/>
  <c r="G35" i="57"/>
  <c r="I35" i="57" s="1"/>
  <c r="J19" i="57"/>
  <c r="P19" i="57" s="1"/>
  <c r="S19" i="57" s="1"/>
  <c r="G19" i="57"/>
  <c r="I19" i="57" s="1"/>
  <c r="J55" i="58"/>
  <c r="P55" i="58" s="1"/>
  <c r="G55" i="58"/>
  <c r="I55" i="58" s="1"/>
  <c r="J16" i="60"/>
  <c r="P16" i="60" s="1"/>
  <c r="G16" i="60"/>
  <c r="I16" i="60" s="1"/>
  <c r="J55" i="52"/>
  <c r="P55" i="52" s="1"/>
  <c r="S55" i="52" s="1"/>
  <c r="G55" i="52"/>
  <c r="I55" i="52" s="1"/>
  <c r="J45" i="53"/>
  <c r="P45" i="53" s="1"/>
  <c r="G45" i="53"/>
  <c r="I45" i="53" s="1"/>
  <c r="J22" i="61"/>
  <c r="P22" i="61" s="1"/>
  <c r="S22" i="61" s="1"/>
  <c r="G22" i="61"/>
  <c r="I22" i="61" s="1"/>
  <c r="J15" i="61"/>
  <c r="P15" i="61" s="1"/>
  <c r="S15" i="61" s="1"/>
  <c r="G15" i="61"/>
  <c r="I15" i="61" s="1"/>
  <c r="J54" i="56"/>
  <c r="P54" i="56" s="1"/>
  <c r="S54" i="56" s="1"/>
  <c r="G54" i="56"/>
  <c r="I54" i="56" s="1"/>
  <c r="J48" i="1"/>
  <c r="G48" i="1"/>
  <c r="I48" i="1" s="1"/>
  <c r="J48" i="59"/>
  <c r="P48" i="59" s="1"/>
  <c r="S48" i="59" s="1"/>
  <c r="G48" i="59"/>
  <c r="I48" i="59" s="1"/>
  <c r="S52" i="55"/>
  <c r="J20" i="57"/>
  <c r="P20" i="57" s="1"/>
  <c r="G20" i="57"/>
  <c r="I20" i="57" s="1"/>
  <c r="G54" i="55"/>
  <c r="I54" i="55" s="1"/>
  <c r="G36" i="53"/>
  <c r="I36" i="53" s="1"/>
  <c r="G10" i="1"/>
  <c r="I10" i="1" s="1"/>
  <c r="G46" i="1"/>
  <c r="I46" i="1" s="1"/>
  <c r="G27" i="1"/>
  <c r="I27" i="1" s="1"/>
  <c r="G20" i="1"/>
  <c r="I20" i="1" s="1"/>
  <c r="G41" i="1"/>
  <c r="I41" i="1" s="1"/>
  <c r="G32" i="1"/>
  <c r="I32" i="1" s="1"/>
  <c r="G29" i="1"/>
  <c r="I29" i="1" s="1"/>
  <c r="S52" i="59"/>
  <c r="J15" i="60"/>
  <c r="P15" i="60" s="1"/>
  <c r="G15" i="60"/>
  <c r="I15" i="60" s="1"/>
  <c r="G43" i="55"/>
  <c r="I43" i="55" s="1"/>
  <c r="J31" i="60"/>
  <c r="P31" i="60" s="1"/>
  <c r="S31" i="60" s="1"/>
  <c r="G31" i="60"/>
  <c r="I31" i="60" s="1"/>
  <c r="J52" i="52"/>
  <c r="P52" i="52" s="1"/>
  <c r="S52" i="52" s="1"/>
  <c r="G52" i="52"/>
  <c r="I52" i="52" s="1"/>
  <c r="J45" i="52"/>
  <c r="P45" i="52" s="1"/>
  <c r="S45" i="52" s="1"/>
  <c r="G45" i="52"/>
  <c r="I45" i="52" s="1"/>
  <c r="J19" i="53"/>
  <c r="P19" i="53" s="1"/>
  <c r="S19" i="53" s="1"/>
  <c r="G19" i="53"/>
  <c r="I19" i="53" s="1"/>
  <c r="J23" i="57"/>
  <c r="P23" i="57" s="1"/>
  <c r="G23" i="57"/>
  <c r="I23" i="57" s="1"/>
  <c r="J48" i="61"/>
  <c r="P48" i="61" s="1"/>
  <c r="S48" i="61" s="1"/>
  <c r="G48" i="61"/>
  <c r="I48" i="61" s="1"/>
  <c r="J19" i="61"/>
  <c r="P19" i="61" s="1"/>
  <c r="S19" i="61" s="1"/>
  <c r="G19" i="61"/>
  <c r="I19" i="61" s="1"/>
  <c r="J24" i="55"/>
  <c r="P24" i="55" s="1"/>
  <c r="S24" i="55" s="1"/>
  <c r="G24" i="55"/>
  <c r="I24" i="55" s="1"/>
  <c r="J29" i="53"/>
  <c r="P29" i="53" s="1"/>
  <c r="G29" i="53"/>
  <c r="I29" i="53" s="1"/>
  <c r="J41" i="52"/>
  <c r="P41" i="52" s="1"/>
  <c r="S41" i="52" s="1"/>
  <c r="G41" i="52"/>
  <c r="I41" i="52" s="1"/>
  <c r="J47" i="55"/>
  <c r="P47" i="55" s="1"/>
  <c r="S47" i="55" s="1"/>
  <c r="G47" i="55"/>
  <c r="I47" i="55" s="1"/>
  <c r="J16" i="58"/>
  <c r="P16" i="58" s="1"/>
  <c r="S16" i="58" s="1"/>
  <c r="G16" i="58"/>
  <c r="I16" i="58" s="1"/>
  <c r="J8" i="1"/>
  <c r="G8" i="1"/>
  <c r="I8" i="1" s="1"/>
  <c r="J15" i="1"/>
  <c r="G15" i="1"/>
  <c r="I15" i="1" s="1"/>
  <c r="J50" i="61"/>
  <c r="P50" i="61" s="1"/>
  <c r="S50" i="61" s="1"/>
  <c r="G50" i="61"/>
  <c r="I50" i="61" s="1"/>
  <c r="J38" i="60"/>
  <c r="P38" i="60" s="1"/>
  <c r="S38" i="60" s="1"/>
  <c r="G38" i="60"/>
  <c r="I38" i="60" s="1"/>
  <c r="J33" i="58"/>
  <c r="P33" i="58" s="1"/>
  <c r="S33" i="58" s="1"/>
  <c r="G33" i="58"/>
  <c r="I33" i="58" s="1"/>
  <c r="J55" i="60"/>
  <c r="P55" i="60" s="1"/>
  <c r="G55" i="60"/>
  <c r="I55" i="60" s="1"/>
  <c r="S24" i="52"/>
  <c r="S54" i="53"/>
  <c r="S37" i="58"/>
  <c r="S13" i="58"/>
  <c r="G47" i="52"/>
  <c r="I47" i="52" s="1"/>
  <c r="G40" i="57"/>
  <c r="I40" i="57" s="1"/>
  <c r="G46" i="57"/>
  <c r="I46" i="57" s="1"/>
  <c r="S49" i="61"/>
  <c r="S32" i="61"/>
  <c r="S28" i="55"/>
  <c r="S21" i="56"/>
  <c r="S40" i="58"/>
  <c r="S43" i="52"/>
  <c r="G22" i="52"/>
  <c r="I22" i="52" s="1"/>
  <c r="S17" i="55"/>
  <c r="G43" i="60"/>
  <c r="I43" i="60" s="1"/>
  <c r="G28" i="57"/>
  <c r="I28" i="57" s="1"/>
  <c r="S54" i="57"/>
  <c r="S47" i="57"/>
  <c r="S44" i="61"/>
  <c r="S24" i="61"/>
  <c r="G44" i="61"/>
  <c r="I44" i="61" s="1"/>
  <c r="G35" i="61"/>
  <c r="I35" i="61" s="1"/>
  <c r="S45" i="58"/>
  <c r="S15" i="58"/>
  <c r="G30" i="60"/>
  <c r="I30" i="60" s="1"/>
  <c r="G30" i="55"/>
  <c r="I30" i="55" s="1"/>
  <c r="G32" i="55"/>
  <c r="I32" i="55" s="1"/>
  <c r="G46" i="53"/>
  <c r="I46" i="53" s="1"/>
  <c r="S16" i="56"/>
  <c r="S46" i="53"/>
  <c r="S17" i="53"/>
  <c r="G28" i="59"/>
  <c r="I28" i="59" s="1"/>
  <c r="S39" i="56"/>
  <c r="S26" i="53"/>
  <c r="S26" i="57"/>
  <c r="G25" i="55"/>
  <c r="I25" i="55" s="1"/>
  <c r="G36" i="55"/>
  <c r="I36" i="55" s="1"/>
  <c r="G52" i="61"/>
  <c r="I52" i="61" s="1"/>
  <c r="G39" i="61"/>
  <c r="I39" i="61" s="1"/>
  <c r="G41" i="61"/>
  <c r="I41" i="61" s="1"/>
  <c r="G38" i="61"/>
  <c r="I38" i="61" s="1"/>
  <c r="S51" i="58"/>
  <c r="G23" i="58"/>
  <c r="I23" i="58" s="1"/>
  <c r="G39" i="58"/>
  <c r="I39" i="58" s="1"/>
  <c r="S13" i="56"/>
  <c r="S27" i="56"/>
  <c r="S22" i="58"/>
  <c r="G16" i="56"/>
  <c r="I16" i="56" s="1"/>
  <c r="G13" i="1"/>
  <c r="I13" i="1" s="1"/>
  <c r="G51" i="1"/>
  <c r="I51" i="1" s="1"/>
  <c r="G39" i="1"/>
  <c r="I39" i="1" s="1"/>
  <c r="G44" i="1"/>
  <c r="I44" i="1" s="1"/>
  <c r="G50" i="1"/>
  <c r="I50" i="1" s="1"/>
  <c r="G39" i="56"/>
  <c r="I39" i="56" s="1"/>
  <c r="S36" i="57"/>
  <c r="G32" i="57"/>
  <c r="I32" i="57" s="1"/>
  <c r="G55" i="57"/>
  <c r="I55" i="57" s="1"/>
  <c r="G15" i="57"/>
  <c r="I15" i="57" s="1"/>
  <c r="S38" i="53"/>
  <c r="G49" i="58"/>
  <c r="I49" i="58" s="1"/>
  <c r="G34" i="52"/>
  <c r="I34" i="52" s="1"/>
  <c r="G12" i="55"/>
  <c r="I12" i="55" s="1"/>
  <c r="G42" i="57"/>
  <c r="I42" i="57" s="1"/>
  <c r="S55" i="60"/>
  <c r="S37" i="53"/>
  <c r="S23" i="58"/>
  <c r="S42" i="55"/>
  <c r="G53" i="60"/>
  <c r="I53" i="60" s="1"/>
  <c r="G36" i="57"/>
  <c r="I36" i="57" s="1"/>
  <c r="G39" i="57"/>
  <c r="I39" i="57" s="1"/>
  <c r="G56" i="57"/>
  <c r="I56" i="57" s="1"/>
  <c r="G18" i="57"/>
  <c r="I18" i="57" s="1"/>
  <c r="S56" i="56"/>
  <c r="G49" i="59"/>
  <c r="I49" i="59" s="1"/>
  <c r="G52" i="53"/>
  <c r="I52" i="53" s="1"/>
  <c r="G55" i="56"/>
  <c r="I55" i="56" s="1"/>
  <c r="G34" i="57"/>
  <c r="I34" i="57" s="1"/>
  <c r="G23" i="55"/>
  <c r="I23" i="55" s="1"/>
  <c r="G54" i="58"/>
  <c r="I54" i="58" s="1"/>
  <c r="G56" i="56"/>
  <c r="I56" i="56" s="1"/>
  <c r="G34" i="54"/>
  <c r="I34" i="54" s="1"/>
  <c r="G28" i="55"/>
  <c r="I28" i="55" s="1"/>
  <c r="G49" i="55"/>
  <c r="I49" i="55" s="1"/>
  <c r="S37" i="52"/>
  <c r="S35" i="52"/>
  <c r="S44" i="55"/>
  <c r="S10" i="53"/>
  <c r="S14" i="56"/>
  <c r="S21" i="60"/>
  <c r="S22" i="59"/>
  <c r="S28" i="52"/>
  <c r="S26" i="52"/>
  <c r="S17" i="52"/>
  <c r="S46" i="55"/>
  <c r="S30" i="59"/>
  <c r="S16" i="59"/>
  <c r="S32" i="60"/>
  <c r="S32" i="53"/>
  <c r="S15" i="56"/>
  <c r="S21" i="58"/>
  <c r="S10" i="52"/>
  <c r="S33" i="52"/>
  <c r="S50" i="52"/>
  <c r="S49" i="52"/>
  <c r="S15" i="52"/>
  <c r="S14" i="55"/>
  <c r="S20" i="53"/>
  <c r="G21" i="60"/>
  <c r="I21" i="60" s="1"/>
  <c r="G17" i="1"/>
  <c r="I17" i="1" s="1"/>
  <c r="S46" i="59"/>
  <c r="S50" i="59"/>
  <c r="S32" i="59"/>
  <c r="G35" i="58"/>
  <c r="I35" i="58" s="1"/>
  <c r="S47" i="60"/>
  <c r="G29" i="52"/>
  <c r="I29" i="52" s="1"/>
  <c r="G38" i="52"/>
  <c r="I38" i="52" s="1"/>
  <c r="G35" i="52"/>
  <c r="I35" i="52" s="1"/>
  <c r="S36" i="52"/>
  <c r="G28" i="53"/>
  <c r="I28" i="53" s="1"/>
  <c r="S21" i="52"/>
  <c r="S22" i="54"/>
  <c r="G19" i="59"/>
  <c r="I19" i="59" s="1"/>
  <c r="S21" i="54"/>
  <c r="S35" i="60"/>
  <c r="S27" i="57"/>
  <c r="G51" i="55"/>
  <c r="I51" i="55" s="1"/>
  <c r="S44" i="60"/>
  <c r="G49" i="1"/>
  <c r="I49" i="1" s="1"/>
  <c r="G26" i="1"/>
  <c r="I26" i="1" s="1"/>
  <c r="G9" i="1"/>
  <c r="I9" i="1" s="1"/>
  <c r="G7" i="1"/>
  <c r="I7" i="1" s="1"/>
  <c r="G31" i="1"/>
  <c r="I31" i="1" s="1"/>
  <c r="G18" i="1"/>
  <c r="I18" i="1" s="1"/>
  <c r="G33" i="1"/>
  <c r="I33" i="1" s="1"/>
  <c r="G46" i="59"/>
  <c r="I46" i="59" s="1"/>
  <c r="S25" i="59"/>
  <c r="S17" i="59"/>
  <c r="S36" i="54"/>
  <c r="S40" i="60"/>
  <c r="G26" i="52"/>
  <c r="I26" i="52" s="1"/>
  <c r="S18" i="52"/>
  <c r="G35" i="55"/>
  <c r="I35" i="55" s="1"/>
  <c r="S34" i="55"/>
  <c r="G10" i="53"/>
  <c r="I10" i="53" s="1"/>
  <c r="G23" i="53"/>
  <c r="I23" i="53" s="1"/>
  <c r="G39" i="59"/>
  <c r="I39" i="59" s="1"/>
  <c r="G34" i="60"/>
  <c r="I34" i="60" s="1"/>
  <c r="G27" i="57"/>
  <c r="I27" i="57" s="1"/>
  <c r="S56" i="57"/>
  <c r="S30" i="57"/>
  <c r="S48" i="57"/>
  <c r="G31" i="53"/>
  <c r="I31" i="53" s="1"/>
  <c r="S15" i="53"/>
  <c r="G18" i="61"/>
  <c r="I18" i="61" s="1"/>
  <c r="S46" i="61"/>
  <c r="S37" i="61"/>
  <c r="S42" i="61"/>
  <c r="S43" i="58"/>
  <c r="S30" i="58"/>
  <c r="S19" i="58"/>
  <c r="S38" i="58"/>
  <c r="G27" i="54"/>
  <c r="I27" i="54" s="1"/>
  <c r="S29" i="59"/>
  <c r="G26" i="58"/>
  <c r="I26" i="58" s="1"/>
  <c r="S34" i="59"/>
  <c r="S26" i="59"/>
  <c r="S49" i="60"/>
  <c r="G12" i="53"/>
  <c r="I12" i="53" s="1"/>
  <c r="G37" i="56"/>
  <c r="I37" i="56" s="1"/>
  <c r="G50" i="56"/>
  <c r="I50" i="56" s="1"/>
  <c r="G19" i="56"/>
  <c r="I19" i="56" s="1"/>
  <c r="S26" i="56"/>
  <c r="S39" i="55"/>
  <c r="G15" i="55"/>
  <c r="I15" i="55" s="1"/>
  <c r="G53" i="55"/>
  <c r="I53" i="55" s="1"/>
  <c r="S45" i="53"/>
  <c r="G25" i="61"/>
  <c r="I25" i="61" s="1"/>
  <c r="G47" i="58"/>
  <c r="I47" i="58" s="1"/>
  <c r="G30" i="58"/>
  <c r="I30" i="58" s="1"/>
  <c r="G42" i="58"/>
  <c r="I42" i="58" s="1"/>
  <c r="S25" i="54"/>
  <c r="S29" i="55"/>
  <c r="G49" i="60"/>
  <c r="I49" i="60" s="1"/>
  <c r="S36" i="53"/>
  <c r="G11" i="1"/>
  <c r="I11" i="1" s="1"/>
  <c r="S37" i="59"/>
  <c r="G36" i="54"/>
  <c r="I36" i="54" s="1"/>
  <c r="E8" i="54"/>
  <c r="F8" i="54" s="1"/>
  <c r="J8" i="54" s="1"/>
  <c r="P8" i="54" s="1"/>
  <c r="S8" i="54" s="1"/>
  <c r="G56" i="52"/>
  <c r="I56" i="52" s="1"/>
  <c r="G32" i="52"/>
  <c r="I32" i="52" s="1"/>
  <c r="G13" i="52"/>
  <c r="I13" i="52" s="1"/>
  <c r="G23" i="52"/>
  <c r="I23" i="52" s="1"/>
  <c r="G27" i="52"/>
  <c r="I27" i="52" s="1"/>
  <c r="S35" i="55"/>
  <c r="G34" i="55"/>
  <c r="I34" i="55" s="1"/>
  <c r="S27" i="53"/>
  <c r="G25" i="53"/>
  <c r="I25" i="53" s="1"/>
  <c r="S54" i="54"/>
  <c r="S8" i="53"/>
  <c r="S34" i="60"/>
  <c r="S53" i="60"/>
  <c r="G54" i="57"/>
  <c r="I54" i="57" s="1"/>
  <c r="G48" i="57"/>
  <c r="I48" i="57" s="1"/>
  <c r="G13" i="57"/>
  <c r="I13" i="57" s="1"/>
  <c r="S24" i="57"/>
  <c r="S43" i="57"/>
  <c r="G21" i="57"/>
  <c r="I21" i="57" s="1"/>
  <c r="S31" i="57"/>
  <c r="S16" i="57"/>
  <c r="G47" i="57"/>
  <c r="I47" i="57" s="1"/>
  <c r="G11" i="53"/>
  <c r="I11" i="53" s="1"/>
  <c r="S24" i="53"/>
  <c r="S28" i="61"/>
  <c r="S31" i="61"/>
  <c r="S45" i="61"/>
  <c r="S52" i="61"/>
  <c r="S47" i="58"/>
  <c r="S29" i="58"/>
  <c r="S32" i="58"/>
  <c r="S39" i="58"/>
  <c r="S14" i="59"/>
  <c r="S26" i="58"/>
  <c r="G30" i="54"/>
  <c r="I30" i="54" s="1"/>
  <c r="E13" i="59"/>
  <c r="F13" i="59" s="1"/>
  <c r="J13" i="59" s="1"/>
  <c r="P13" i="59" s="1"/>
  <c r="S13" i="59" s="1"/>
  <c r="S18" i="59"/>
  <c r="G25" i="54"/>
  <c r="I25" i="54" s="1"/>
  <c r="G29" i="55"/>
  <c r="I29" i="55" s="1"/>
  <c r="G18" i="60"/>
  <c r="I18" i="60" s="1"/>
  <c r="S21" i="55"/>
  <c r="E7" i="54"/>
  <c r="F7" i="54" s="1"/>
  <c r="J7" i="54" s="1"/>
  <c r="G7" i="54"/>
  <c r="I7" i="54" s="1"/>
  <c r="S41" i="53"/>
  <c r="G53" i="53"/>
  <c r="I53" i="53" s="1"/>
  <c r="S51" i="56"/>
  <c r="G51" i="56"/>
  <c r="I51" i="56" s="1"/>
  <c r="E10" i="56"/>
  <c r="F10" i="56" s="1"/>
  <c r="J10" i="56" s="1"/>
  <c r="P10" i="56" s="1"/>
  <c r="G11" i="56"/>
  <c r="I11" i="56" s="1"/>
  <c r="G48" i="56"/>
  <c r="I48" i="56" s="1"/>
  <c r="S28" i="56"/>
  <c r="S49" i="56"/>
  <c r="S19" i="55"/>
  <c r="G43" i="53"/>
  <c r="I43" i="53" s="1"/>
  <c r="G40" i="61"/>
  <c r="I40" i="61" s="1"/>
  <c r="G47" i="61"/>
  <c r="I47" i="61" s="1"/>
  <c r="S34" i="58"/>
  <c r="S53" i="58"/>
  <c r="G29" i="60"/>
  <c r="I29" i="60" s="1"/>
  <c r="G45" i="55"/>
  <c r="I45" i="55" s="1"/>
  <c r="G17" i="53"/>
  <c r="I17" i="53" s="1"/>
  <c r="E5" i="52"/>
  <c r="F5" i="52" s="1"/>
  <c r="J5" i="52" s="1"/>
  <c r="G52" i="59"/>
  <c r="I52" i="59" s="1"/>
  <c r="G44" i="59"/>
  <c r="I44" i="59" s="1"/>
  <c r="G17" i="59"/>
  <c r="I17" i="59" s="1"/>
  <c r="S20" i="59"/>
  <c r="E14" i="61"/>
  <c r="F14" i="61" s="1"/>
  <c r="J14" i="61" s="1"/>
  <c r="G37" i="60"/>
  <c r="I37" i="60" s="1"/>
  <c r="S12" i="52"/>
  <c r="G50" i="52"/>
  <c r="I50" i="52" s="1"/>
  <c r="G15" i="52"/>
  <c r="I15" i="52" s="1"/>
  <c r="G16" i="52"/>
  <c r="I16" i="52" s="1"/>
  <c r="G24" i="52"/>
  <c r="I24" i="52" s="1"/>
  <c r="G13" i="55"/>
  <c r="I13" i="55" s="1"/>
  <c r="G17" i="55"/>
  <c r="I17" i="55" s="1"/>
  <c r="G27" i="53"/>
  <c r="I27" i="53" s="1"/>
  <c r="G54" i="53"/>
  <c r="I54" i="53" s="1"/>
  <c r="G37" i="53"/>
  <c r="I37" i="53" s="1"/>
  <c r="G26" i="53"/>
  <c r="I26" i="53" s="1"/>
  <c r="G27" i="59"/>
  <c r="I27" i="59" s="1"/>
  <c r="S19" i="59"/>
  <c r="G8" i="53"/>
  <c r="I8" i="53" s="1"/>
  <c r="S33" i="57"/>
  <c r="S29" i="57"/>
  <c r="S12" i="57"/>
  <c r="S25" i="55"/>
  <c r="G24" i="53"/>
  <c r="I24" i="53" s="1"/>
  <c r="G28" i="61"/>
  <c r="I28" i="61" s="1"/>
  <c r="G49" i="61"/>
  <c r="I49" i="61" s="1"/>
  <c r="S20" i="61"/>
  <c r="G32" i="61"/>
  <c r="I32" i="61" s="1"/>
  <c r="S16" i="61"/>
  <c r="S29" i="61"/>
  <c r="G17" i="61"/>
  <c r="I17" i="61" s="1"/>
  <c r="G55" i="61"/>
  <c r="I55" i="61" s="1"/>
  <c r="G50" i="58"/>
  <c r="I50" i="58" s="1"/>
  <c r="G15" i="58"/>
  <c r="I15" i="58" s="1"/>
  <c r="S44" i="58"/>
  <c r="G13" i="58"/>
  <c r="I13" i="58" s="1"/>
  <c r="S41" i="58"/>
  <c r="G22" i="58"/>
  <c r="I22" i="58" s="1"/>
  <c r="G53" i="58"/>
  <c r="I53" i="58" s="1"/>
  <c r="G32" i="58"/>
  <c r="I32" i="58" s="1"/>
  <c r="G19" i="58"/>
  <c r="I19" i="58" s="1"/>
  <c r="S25" i="58"/>
  <c r="S17" i="58"/>
  <c r="G15" i="54"/>
  <c r="I15" i="54" s="1"/>
  <c r="G54" i="59"/>
  <c r="I54" i="59" s="1"/>
  <c r="S41" i="54"/>
  <c r="S43" i="59"/>
  <c r="S18" i="60"/>
  <c r="S42" i="53"/>
  <c r="S12" i="53"/>
  <c r="S52" i="57"/>
  <c r="S49" i="57"/>
  <c r="G41" i="57"/>
  <c r="I41" i="57" s="1"/>
  <c r="S22" i="57"/>
  <c r="S51" i="57"/>
  <c r="S18" i="57"/>
  <c r="G49" i="57"/>
  <c r="I49" i="57" s="1"/>
  <c r="S25" i="61"/>
  <c r="S50" i="58"/>
  <c r="S54" i="59"/>
  <c r="S33" i="59"/>
  <c r="S11" i="54"/>
  <c r="S49" i="53"/>
  <c r="S9" i="52"/>
  <c r="S19" i="56"/>
  <c r="S51" i="61"/>
  <c r="S53" i="56"/>
  <c r="E6" i="53"/>
  <c r="F6" i="53" s="1"/>
  <c r="J6" i="53" s="1"/>
  <c r="S29" i="52"/>
  <c r="S44" i="52"/>
  <c r="S10" i="56"/>
  <c r="S35" i="58"/>
  <c r="S31" i="55"/>
  <c r="S27" i="60"/>
  <c r="S11" i="52"/>
  <c r="S28" i="53"/>
  <c r="S11" i="55"/>
  <c r="S28" i="60"/>
  <c r="S56" i="60"/>
  <c r="S46" i="58"/>
  <c r="S50" i="56"/>
  <c r="S37" i="56"/>
  <c r="S20" i="56"/>
  <c r="S55" i="55"/>
  <c r="S54" i="61"/>
  <c r="S48" i="55"/>
  <c r="S22" i="60"/>
  <c r="S54" i="55"/>
  <c r="S14" i="53"/>
  <c r="S15" i="59"/>
  <c r="E8" i="55"/>
  <c r="F8" i="55" s="1"/>
  <c r="J8" i="55" s="1"/>
  <c r="S41" i="59"/>
  <c r="S13" i="52"/>
  <c r="S40" i="52"/>
  <c r="S23" i="52"/>
  <c r="S7" i="52"/>
  <c r="S23" i="53"/>
  <c r="S50" i="60"/>
  <c r="S13" i="57"/>
  <c r="S43" i="53"/>
  <c r="S18" i="61"/>
  <c r="S52" i="58"/>
  <c r="E13" i="60"/>
  <c r="F13" i="60" s="1"/>
  <c r="J13" i="60" s="1"/>
  <c r="E7" i="53"/>
  <c r="F7" i="53" s="1"/>
  <c r="J7" i="53" s="1"/>
  <c r="P7" i="53" s="1"/>
  <c r="S7" i="53" s="1"/>
  <c r="E10" i="57"/>
  <c r="F10" i="57" s="1"/>
  <c r="J10" i="57" s="1"/>
  <c r="S35" i="56"/>
  <c r="S27" i="55"/>
  <c r="S39" i="61"/>
  <c r="S27" i="58"/>
  <c r="S22" i="53"/>
  <c r="S15" i="60"/>
  <c r="S29" i="53"/>
  <c r="S36" i="59"/>
  <c r="S47" i="54"/>
  <c r="E14" i="60"/>
  <c r="F14" i="60" s="1"/>
  <c r="J14" i="60" s="1"/>
  <c r="P14" i="60" s="1"/>
  <c r="S14" i="60" s="1"/>
  <c r="S30" i="52"/>
  <c r="S19" i="52"/>
  <c r="S38" i="52"/>
  <c r="S43" i="60"/>
  <c r="E11" i="57"/>
  <c r="F11" i="57" s="1"/>
  <c r="J11" i="57" s="1"/>
  <c r="P11" i="57" s="1"/>
  <c r="S11" i="57" s="1"/>
  <c r="S20" i="57"/>
  <c r="S15" i="57"/>
  <c r="S56" i="61"/>
  <c r="S48" i="58"/>
  <c r="S18" i="55"/>
  <c r="G21" i="56"/>
  <c r="I21" i="56" s="1"/>
  <c r="S11" i="56"/>
  <c r="S51" i="55"/>
  <c r="S32" i="57"/>
  <c r="S53" i="57"/>
  <c r="S56" i="58"/>
  <c r="S55" i="58"/>
  <c r="S32" i="52"/>
  <c r="S46" i="56"/>
  <c r="E9" i="56"/>
  <c r="F9" i="56" s="1"/>
  <c r="J9" i="56" s="1"/>
  <c r="S30" i="55"/>
  <c r="S42" i="59"/>
  <c r="S44" i="53"/>
  <c r="S28" i="57"/>
  <c r="S23" i="57"/>
  <c r="S45" i="54"/>
  <c r="E5" i="1"/>
  <c r="F5" i="1" s="1"/>
  <c r="J5" i="1" s="1"/>
  <c r="S40" i="53"/>
  <c r="S39" i="59"/>
  <c r="S34" i="53"/>
  <c r="S43" i="55"/>
  <c r="S44" i="59"/>
  <c r="S28" i="59"/>
  <c r="G56" i="59"/>
  <c r="I56" i="59" s="1"/>
  <c r="G16" i="59"/>
  <c r="I16" i="59" s="1"/>
  <c r="G32" i="60"/>
  <c r="I32" i="60" s="1"/>
  <c r="G24" i="60"/>
  <c r="I24" i="60" s="1"/>
  <c r="G40" i="60"/>
  <c r="I40" i="60" s="1"/>
  <c r="G7" i="52"/>
  <c r="I7" i="52" s="1"/>
  <c r="S39" i="52"/>
  <c r="S53" i="52"/>
  <c r="S25" i="52"/>
  <c r="S13" i="55"/>
  <c r="S9" i="53"/>
  <c r="S53" i="54"/>
  <c r="G54" i="54"/>
  <c r="I54" i="54" s="1"/>
  <c r="S39" i="53"/>
  <c r="G33" i="57"/>
  <c r="I33" i="57" s="1"/>
  <c r="S36" i="56"/>
  <c r="S16" i="55"/>
  <c r="G36" i="60"/>
  <c r="I36" i="60" s="1"/>
  <c r="G14" i="53"/>
  <c r="I14" i="53" s="1"/>
  <c r="G42" i="1"/>
  <c r="I42" i="1" s="1"/>
  <c r="G38" i="1"/>
  <c r="I38" i="1" s="1"/>
  <c r="G30" i="1"/>
  <c r="I30" i="1" s="1"/>
  <c r="G14" i="1"/>
  <c r="I14" i="1" s="1"/>
  <c r="G52" i="1"/>
  <c r="I52" i="1" s="1"/>
  <c r="G6" i="1"/>
  <c r="I6" i="1" s="1"/>
  <c r="G40" i="1"/>
  <c r="I40" i="1" s="1"/>
  <c r="S53" i="59"/>
  <c r="G35" i="54"/>
  <c r="I35" i="54" s="1"/>
  <c r="S24" i="60"/>
  <c r="G36" i="52"/>
  <c r="I36" i="52" s="1"/>
  <c r="G33" i="52"/>
  <c r="I33" i="52" s="1"/>
  <c r="S14" i="52"/>
  <c r="S27" i="52"/>
  <c r="G50" i="55"/>
  <c r="I50" i="55" s="1"/>
  <c r="S55" i="53"/>
  <c r="S24" i="59"/>
  <c r="G45" i="59"/>
  <c r="I45" i="59" s="1"/>
  <c r="S34" i="57"/>
  <c r="G22" i="57"/>
  <c r="I22" i="57" s="1"/>
  <c r="S46" i="57"/>
  <c r="S50" i="57"/>
  <c r="G32" i="53"/>
  <c r="I32" i="53" s="1"/>
  <c r="S26" i="61"/>
  <c r="G51" i="61"/>
  <c r="I51" i="61" s="1"/>
  <c r="S55" i="61"/>
  <c r="G44" i="58"/>
  <c r="I44" i="58" s="1"/>
  <c r="S24" i="58"/>
  <c r="S36" i="58"/>
  <c r="S20" i="58"/>
  <c r="S42" i="58"/>
  <c r="G14" i="59"/>
  <c r="I14" i="59" s="1"/>
  <c r="S40" i="54"/>
  <c r="S15" i="54"/>
  <c r="S30" i="54"/>
  <c r="S19" i="60"/>
  <c r="S16" i="53"/>
  <c r="S55" i="56"/>
  <c r="G28" i="56"/>
  <c r="I28" i="56" s="1"/>
  <c r="S12" i="56"/>
  <c r="G14" i="56"/>
  <c r="I14" i="56" s="1"/>
  <c r="S24" i="56"/>
  <c r="G41" i="56"/>
  <c r="I41" i="56" s="1"/>
  <c r="S42" i="56"/>
  <c r="G27" i="55"/>
  <c r="I27" i="55" s="1"/>
  <c r="G55" i="55"/>
  <c r="I55" i="55" s="1"/>
  <c r="G33" i="55"/>
  <c r="I33" i="55" s="1"/>
  <c r="E9" i="55"/>
  <c r="F9" i="55" s="1"/>
  <c r="J9" i="55" s="1"/>
  <c r="P9" i="55" s="1"/>
  <c r="S9" i="55" s="1"/>
  <c r="S17" i="61"/>
  <c r="G16" i="61"/>
  <c r="I16" i="61" s="1"/>
  <c r="S36" i="61"/>
  <c r="G54" i="61"/>
  <c r="I54" i="61" s="1"/>
  <c r="G56" i="58"/>
  <c r="I56" i="58" s="1"/>
  <c r="G52" i="58"/>
  <c r="I52" i="58" s="1"/>
  <c r="S27" i="54"/>
  <c r="G26" i="59"/>
  <c r="I26" i="59" s="1"/>
  <c r="S28" i="54"/>
  <c r="G19" i="60"/>
  <c r="I19" i="60" s="1"/>
  <c r="G11" i="54"/>
  <c r="I11" i="54" s="1"/>
  <c r="S36" i="60"/>
  <c r="G44" i="55"/>
  <c r="I44" i="55" s="1"/>
  <c r="S45" i="55"/>
  <c r="G34" i="53"/>
  <c r="I34" i="53" s="1"/>
  <c r="S13" i="53"/>
  <c r="G49" i="53"/>
  <c r="I49" i="53" s="1"/>
  <c r="S20" i="52"/>
  <c r="G22" i="1"/>
  <c r="I22" i="1" s="1"/>
  <c r="S38" i="59"/>
  <c r="S40" i="59"/>
  <c r="S56" i="59"/>
  <c r="S35" i="54"/>
  <c r="G35" i="53"/>
  <c r="I35" i="53" s="1"/>
  <c r="G39" i="52"/>
  <c r="I39" i="52" s="1"/>
  <c r="G10" i="52"/>
  <c r="I10" i="52" s="1"/>
  <c r="G40" i="52"/>
  <c r="I40" i="52" s="1"/>
  <c r="G17" i="52"/>
  <c r="I17" i="52" s="1"/>
  <c r="G11" i="52"/>
  <c r="I11" i="52" s="1"/>
  <c r="S46" i="52"/>
  <c r="G14" i="55"/>
  <c r="I14" i="55" s="1"/>
  <c r="S41" i="55"/>
  <c r="S48" i="53"/>
  <c r="G37" i="52"/>
  <c r="I37" i="52" s="1"/>
  <c r="G18" i="53"/>
  <c r="I18" i="53" s="1"/>
  <c r="G18" i="56"/>
  <c r="I18" i="56" s="1"/>
  <c r="G24" i="59"/>
  <c r="I24" i="59" s="1"/>
  <c r="G39" i="53"/>
  <c r="I39" i="53" s="1"/>
  <c r="G11" i="55"/>
  <c r="I11" i="55" s="1"/>
  <c r="G25" i="60"/>
  <c r="I25" i="60" s="1"/>
  <c r="G35" i="60"/>
  <c r="I35" i="60" s="1"/>
  <c r="G16" i="57"/>
  <c r="I16" i="57" s="1"/>
  <c r="G52" i="57"/>
  <c r="I52" i="57" s="1"/>
  <c r="G38" i="57"/>
  <c r="I38" i="57" s="1"/>
  <c r="G45" i="57"/>
  <c r="I45" i="57" s="1"/>
  <c r="G53" i="57"/>
  <c r="I53" i="57" s="1"/>
  <c r="G29" i="57"/>
  <c r="I29" i="57" s="1"/>
  <c r="S38" i="57"/>
  <c r="G50" i="57"/>
  <c r="I50" i="57" s="1"/>
  <c r="S53" i="61"/>
  <c r="S47" i="61"/>
  <c r="S38" i="61"/>
  <c r="S54" i="58"/>
  <c r="G27" i="58"/>
  <c r="I27" i="58" s="1"/>
  <c r="S49" i="58"/>
  <c r="S28" i="58"/>
  <c r="G29" i="59"/>
  <c r="I29" i="59" s="1"/>
  <c r="S40" i="56"/>
  <c r="S12" i="54"/>
  <c r="G43" i="59"/>
  <c r="I43" i="59" s="1"/>
  <c r="G51" i="60"/>
  <c r="I51" i="60" s="1"/>
  <c r="S12" i="55"/>
  <c r="S32" i="55"/>
  <c r="G47" i="53"/>
  <c r="I47" i="53" s="1"/>
  <c r="G22" i="53"/>
  <c r="I22" i="53" s="1"/>
  <c r="G46" i="56"/>
  <c r="I46" i="56" s="1"/>
  <c r="G45" i="56"/>
  <c r="I45" i="56" s="1"/>
  <c r="G20" i="56"/>
  <c r="I20" i="56" s="1"/>
  <c r="S43" i="56"/>
  <c r="G35" i="56"/>
  <c r="I35" i="56" s="1"/>
  <c r="G47" i="56"/>
  <c r="I47" i="56" s="1"/>
  <c r="G46" i="55"/>
  <c r="I46" i="55" s="1"/>
  <c r="G29" i="61"/>
  <c r="I29" i="61" s="1"/>
  <c r="G21" i="61"/>
  <c r="I21" i="61" s="1"/>
  <c r="G38" i="58"/>
  <c r="I38" i="58" s="1"/>
  <c r="G20" i="58"/>
  <c r="I20" i="58" s="1"/>
  <c r="S45" i="56"/>
  <c r="S46" i="60"/>
  <c r="G22" i="60"/>
  <c r="I22" i="60" s="1"/>
  <c r="E6" i="52"/>
  <c r="F6" i="52" s="1"/>
  <c r="J6" i="52" s="1"/>
  <c r="P6" i="52" s="1"/>
  <c r="S6" i="52" s="1"/>
  <c r="S40" i="55"/>
  <c r="S30" i="53"/>
  <c r="G56" i="53"/>
  <c r="I56" i="53" s="1"/>
  <c r="G34" i="59"/>
  <c r="I34" i="59" s="1"/>
  <c r="G50" i="59"/>
  <c r="I50" i="59" s="1"/>
  <c r="G40" i="59"/>
  <c r="I40" i="59" s="1"/>
  <c r="S21" i="59"/>
  <c r="G31" i="55"/>
  <c r="I31" i="55" s="1"/>
  <c r="G47" i="60"/>
  <c r="I47" i="60" s="1"/>
  <c r="G27" i="60"/>
  <c r="I27" i="60" s="1"/>
  <c r="G19" i="52"/>
  <c r="I19" i="52" s="1"/>
  <c r="G31" i="52"/>
  <c r="I31" i="52" s="1"/>
  <c r="G20" i="52"/>
  <c r="I20" i="52" s="1"/>
  <c r="S47" i="52"/>
  <c r="S50" i="55"/>
  <c r="G41" i="55"/>
  <c r="I41" i="55" s="1"/>
  <c r="G9" i="53"/>
  <c r="I9" i="53" s="1"/>
  <c r="G40" i="53"/>
  <c r="I40" i="53" s="1"/>
  <c r="S51" i="53"/>
  <c r="G52" i="56"/>
  <c r="I52" i="56" s="1"/>
  <c r="S52" i="54"/>
  <c r="G21" i="54"/>
  <c r="I21" i="54" s="1"/>
  <c r="E11" i="58"/>
  <c r="F11" i="58" s="1"/>
  <c r="J11" i="58" s="1"/>
  <c r="S45" i="57"/>
  <c r="S21" i="57"/>
  <c r="S36" i="55"/>
  <c r="G56" i="61"/>
  <c r="I56" i="61" s="1"/>
  <c r="G31" i="61"/>
  <c r="I31" i="61" s="1"/>
  <c r="G45" i="61"/>
  <c r="I45" i="61" s="1"/>
  <c r="G43" i="61"/>
  <c r="I43" i="61" s="1"/>
  <c r="G23" i="61"/>
  <c r="I23" i="61" s="1"/>
  <c r="G36" i="61"/>
  <c r="I36" i="61" s="1"/>
  <c r="G36" i="58"/>
  <c r="I36" i="58" s="1"/>
  <c r="G29" i="58"/>
  <c r="I29" i="58" s="1"/>
  <c r="E12" i="58"/>
  <c r="F12" i="58" s="1"/>
  <c r="J12" i="58" s="1"/>
  <c r="P12" i="58" s="1"/>
  <c r="S12" i="58" s="1"/>
  <c r="S30" i="60"/>
  <c r="S47" i="53"/>
  <c r="S21" i="53"/>
  <c r="S30" i="56"/>
  <c r="S22" i="56"/>
  <c r="G34" i="56"/>
  <c r="I34" i="56" s="1"/>
  <c r="S47" i="56"/>
  <c r="G26" i="55"/>
  <c r="I26" i="55" s="1"/>
  <c r="S33" i="55"/>
  <c r="S15" i="55"/>
  <c r="S25" i="60"/>
  <c r="S55" i="57"/>
  <c r="S42" i="57"/>
  <c r="S31" i="53"/>
  <c r="G38" i="53"/>
  <c r="I38" i="53" s="1"/>
  <c r="G46" i="61"/>
  <c r="I46" i="61" s="1"/>
  <c r="S27" i="61"/>
  <c r="S43" i="61"/>
  <c r="S34" i="56"/>
  <c r="S53" i="55"/>
  <c r="S18" i="56"/>
  <c r="S47" i="59"/>
  <c r="S45" i="59"/>
  <c r="S10" i="55"/>
  <c r="S11" i="53"/>
  <c r="S42" i="52"/>
  <c r="S23" i="61"/>
  <c r="S34" i="61"/>
  <c r="S35" i="61"/>
  <c r="S40" i="61"/>
  <c r="S21" i="61"/>
  <c r="E12" i="59"/>
  <c r="F12" i="59" s="1"/>
  <c r="J12" i="59" s="1"/>
  <c r="G45" i="58"/>
  <c r="I45" i="58" s="1"/>
  <c r="G34" i="58"/>
  <c r="I34" i="58" s="1"/>
  <c r="G18" i="58"/>
  <c r="I18" i="58" s="1"/>
  <c r="G40" i="54"/>
  <c r="I40" i="54" s="1"/>
  <c r="S31" i="56"/>
  <c r="S51" i="60"/>
  <c r="G43" i="52"/>
  <c r="I43" i="52" s="1"/>
  <c r="G13" i="56"/>
  <c r="I13" i="56" s="1"/>
  <c r="G36" i="56"/>
  <c r="I36" i="56" s="1"/>
  <c r="S33" i="56"/>
  <c r="G44" i="56"/>
  <c r="I44" i="56" s="1"/>
  <c r="G38" i="56"/>
  <c r="I38" i="56" s="1"/>
  <c r="G26" i="56"/>
  <c r="I26" i="56" s="1"/>
  <c r="G17" i="56"/>
  <c r="I17" i="56" s="1"/>
  <c r="S38" i="56"/>
  <c r="S26" i="55"/>
  <c r="G56" i="55"/>
  <c r="I56" i="55" s="1"/>
  <c r="G42" i="55"/>
  <c r="I42" i="55" s="1"/>
  <c r="G16" i="55"/>
  <c r="I16" i="55" s="1"/>
  <c r="G12" i="57"/>
  <c r="I12" i="57" s="1"/>
  <c r="G30" i="57"/>
  <c r="I30" i="57" s="1"/>
  <c r="S25" i="57"/>
  <c r="S39" i="57"/>
  <c r="G15" i="53"/>
  <c r="I15" i="53" s="1"/>
  <c r="G33" i="61"/>
  <c r="I33" i="61" s="1"/>
  <c r="G24" i="61"/>
  <c r="I24" i="61" s="1"/>
  <c r="G37" i="58"/>
  <c r="I37" i="58" s="1"/>
  <c r="G25" i="58"/>
  <c r="I25" i="58" s="1"/>
  <c r="S18" i="58"/>
  <c r="S52" i="53"/>
  <c r="S16" i="60"/>
  <c r="G52" i="55"/>
  <c r="I52" i="55" s="1"/>
  <c r="G42" i="56"/>
  <c r="I42" i="56" s="1"/>
  <c r="G33" i="56"/>
  <c r="I33" i="56" s="1"/>
  <c r="S41" i="56"/>
  <c r="G22" i="56"/>
  <c r="I22" i="56" s="1"/>
  <c r="S22" i="55"/>
  <c r="G12" i="58" l="1"/>
  <c r="I12" i="58" s="1"/>
  <c r="G5" i="52"/>
  <c r="I5" i="52" s="1"/>
  <c r="G5" i="1"/>
  <c r="I5" i="1" s="1"/>
  <c r="G9" i="56"/>
  <c r="I9" i="56" s="1"/>
  <c r="G14" i="61"/>
  <c r="I14" i="61" s="1"/>
  <c r="G9" i="55"/>
  <c r="I9" i="55" s="1"/>
  <c r="G10" i="57"/>
  <c r="I10" i="57" s="1"/>
  <c r="G8" i="55"/>
  <c r="I8" i="55" s="1"/>
  <c r="G6" i="53"/>
  <c r="I6" i="53" s="1"/>
  <c r="Q9" i="56"/>
  <c r="S9" i="56" s="1"/>
  <c r="G11" i="58"/>
  <c r="I11" i="58" s="1"/>
  <c r="G6" i="52"/>
  <c r="G13" i="60"/>
  <c r="I13" i="60" s="1"/>
  <c r="G10" i="56"/>
  <c r="Q12" i="59"/>
  <c r="S12" i="59" s="1"/>
  <c r="Q5" i="52"/>
  <c r="S5" i="52" s="1"/>
  <c r="G12" i="59"/>
  <c r="I12" i="59" s="1"/>
  <c r="G11" i="57"/>
  <c r="G14" i="60"/>
  <c r="G7" i="53"/>
  <c r="G13" i="59"/>
  <c r="G8" i="54"/>
  <c r="I8" i="54" l="1"/>
  <c r="Q8" i="55"/>
  <c r="S8" i="55" s="1"/>
  <c r="I13" i="59"/>
  <c r="Q13" i="60"/>
  <c r="S13" i="60" s="1"/>
  <c r="T2" i="52"/>
  <c r="T5" i="52" s="1"/>
  <c r="Q6" i="53"/>
  <c r="S6" i="53" s="1"/>
  <c r="I6" i="52"/>
  <c r="I14" i="60"/>
  <c r="Q14" i="61"/>
  <c r="S14" i="61" s="1"/>
  <c r="T2" i="59"/>
  <c r="T12" i="59" s="1"/>
  <c r="Q7" i="54"/>
  <c r="S7" i="54" s="1"/>
  <c r="I7" i="53"/>
  <c r="I10" i="56"/>
  <c r="Q10" i="57"/>
  <c r="S10" i="57" s="1"/>
  <c r="Q11" i="58"/>
  <c r="S11" i="58" s="1"/>
  <c r="I11" i="57"/>
  <c r="T2" i="56"/>
  <c r="T9" i="56" s="1"/>
  <c r="T2" i="60" l="1"/>
  <c r="T2" i="58"/>
  <c r="T2" i="54"/>
  <c r="T7" i="54" s="1"/>
  <c r="T2" i="57"/>
  <c r="T10" i="57" s="1"/>
  <c r="T46" i="59"/>
  <c r="T65" i="59"/>
  <c r="T63" i="59"/>
  <c r="T62" i="59"/>
  <c r="T69" i="59"/>
  <c r="T57" i="59"/>
  <c r="T64" i="59"/>
  <c r="T31" i="59"/>
  <c r="T59" i="59"/>
  <c r="T58" i="59"/>
  <c r="T35" i="59"/>
  <c r="T48" i="59"/>
  <c r="T67" i="59"/>
  <c r="T68" i="59"/>
  <c r="T61" i="59"/>
  <c r="D10" i="50"/>
  <c r="T66" i="59"/>
  <c r="T60" i="59"/>
  <c r="T49" i="59"/>
  <c r="T27" i="59"/>
  <c r="T23" i="59"/>
  <c r="T55" i="59"/>
  <c r="T51" i="59"/>
  <c r="T52" i="59"/>
  <c r="T30" i="59"/>
  <c r="T44" i="59"/>
  <c r="T54" i="59"/>
  <c r="T56" i="59"/>
  <c r="T14" i="59"/>
  <c r="T25" i="59"/>
  <c r="T13" i="59"/>
  <c r="T28" i="59"/>
  <c r="T43" i="59"/>
  <c r="T50" i="59"/>
  <c r="T53" i="59"/>
  <c r="T29" i="59"/>
  <c r="T32" i="59"/>
  <c r="T26" i="59"/>
  <c r="T47" i="59"/>
  <c r="T20" i="59"/>
  <c r="T34" i="59"/>
  <c r="T39" i="59"/>
  <c r="T17" i="59"/>
  <c r="T24" i="59"/>
  <c r="T41" i="59"/>
  <c r="T33" i="59"/>
  <c r="T40" i="59"/>
  <c r="T42" i="59"/>
  <c r="T18" i="59"/>
  <c r="T37" i="59"/>
  <c r="T15" i="59"/>
  <c r="T45" i="59"/>
  <c r="T21" i="59"/>
  <c r="T38" i="59"/>
  <c r="T36" i="59"/>
  <c r="T19" i="59"/>
  <c r="T16" i="59"/>
  <c r="T22" i="59"/>
  <c r="T19" i="56"/>
  <c r="T21" i="56"/>
  <c r="D7" i="50"/>
  <c r="T48" i="56"/>
  <c r="T57" i="56"/>
  <c r="T44" i="56"/>
  <c r="T64" i="56"/>
  <c r="T63" i="56"/>
  <c r="T58" i="56"/>
  <c r="T69" i="56"/>
  <c r="T66" i="56"/>
  <c r="T59" i="56"/>
  <c r="T29" i="56"/>
  <c r="T65" i="56"/>
  <c r="T67" i="56"/>
  <c r="T60" i="56"/>
  <c r="T56" i="56"/>
  <c r="T68" i="56"/>
  <c r="T62" i="56"/>
  <c r="T61" i="56"/>
  <c r="T17" i="56"/>
  <c r="T32" i="56"/>
  <c r="T25" i="56"/>
  <c r="T13" i="56"/>
  <c r="T52" i="56"/>
  <c r="T27" i="56"/>
  <c r="T16" i="56"/>
  <c r="T39" i="56"/>
  <c r="T47" i="56"/>
  <c r="T22" i="56"/>
  <c r="T45" i="56"/>
  <c r="T12" i="56"/>
  <c r="T46" i="56"/>
  <c r="T50" i="56"/>
  <c r="T49" i="56"/>
  <c r="T20" i="56"/>
  <c r="T18" i="56"/>
  <c r="T37" i="56"/>
  <c r="T23" i="56"/>
  <c r="T34" i="56"/>
  <c r="T55" i="56"/>
  <c r="T26" i="56"/>
  <c r="T43" i="56"/>
  <c r="T35" i="56"/>
  <c r="T31" i="56"/>
  <c r="T51" i="56"/>
  <c r="T28" i="56"/>
  <c r="T14" i="56"/>
  <c r="T11" i="56"/>
  <c r="T10" i="56"/>
  <c r="T40" i="56"/>
  <c r="T36" i="56"/>
  <c r="T30" i="56"/>
  <c r="T53" i="56"/>
  <c r="T33" i="56"/>
  <c r="T54" i="56"/>
  <c r="T15" i="56"/>
  <c r="T41" i="56"/>
  <c r="T42" i="56"/>
  <c r="T24" i="56"/>
  <c r="T38" i="56"/>
  <c r="T2" i="53"/>
  <c r="T6" i="53" s="1"/>
  <c r="T2" i="61"/>
  <c r="T14" i="61" s="1"/>
  <c r="T2" i="55"/>
  <c r="T68" i="52"/>
  <c r="T66" i="52"/>
  <c r="T58" i="52"/>
  <c r="T16" i="52"/>
  <c r="T62" i="52"/>
  <c r="T34" i="52"/>
  <c r="T56" i="52"/>
  <c r="D3" i="50"/>
  <c r="T67" i="52"/>
  <c r="T69" i="52"/>
  <c r="T57" i="52"/>
  <c r="T59" i="52"/>
  <c r="T65" i="52"/>
  <c r="T61" i="52"/>
  <c r="T60" i="52"/>
  <c r="T64" i="52"/>
  <c r="T63" i="52"/>
  <c r="T22" i="52"/>
  <c r="T31" i="52"/>
  <c r="T24" i="52"/>
  <c r="T48" i="52"/>
  <c r="T43" i="52"/>
  <c r="T54" i="52"/>
  <c r="T45" i="52"/>
  <c r="T8" i="52"/>
  <c r="T51" i="52"/>
  <c r="T6" i="52"/>
  <c r="T27" i="52"/>
  <c r="T28" i="52"/>
  <c r="T21" i="52"/>
  <c r="T17" i="52"/>
  <c r="T52" i="52"/>
  <c r="T40" i="52"/>
  <c r="T12" i="52"/>
  <c r="T33" i="52"/>
  <c r="T41" i="52"/>
  <c r="T18" i="52"/>
  <c r="T19" i="52"/>
  <c r="T26" i="52"/>
  <c r="T30" i="52"/>
  <c r="T23" i="52"/>
  <c r="T14" i="52"/>
  <c r="T32" i="52"/>
  <c r="T38" i="52"/>
  <c r="T44" i="52"/>
  <c r="T25" i="52"/>
  <c r="T29" i="52"/>
  <c r="T20" i="52"/>
  <c r="T11" i="52"/>
  <c r="T49" i="52"/>
  <c r="T50" i="52"/>
  <c r="T37" i="52"/>
  <c r="T15" i="52"/>
  <c r="T7" i="52"/>
  <c r="T42" i="52"/>
  <c r="T55" i="52"/>
  <c r="T35" i="52"/>
  <c r="T13" i="52"/>
  <c r="T10" i="52"/>
  <c r="T39" i="52"/>
  <c r="T9" i="52"/>
  <c r="T36" i="52"/>
  <c r="T47" i="52"/>
  <c r="T46" i="52"/>
  <c r="T53" i="52"/>
  <c r="S70" i="52" l="1"/>
  <c r="S70" i="56"/>
  <c r="S70" i="59"/>
  <c r="T43" i="55"/>
  <c r="T60" i="55"/>
  <c r="T66" i="55"/>
  <c r="T57" i="55"/>
  <c r="T63" i="55"/>
  <c r="T68" i="55"/>
  <c r="T61" i="55"/>
  <c r="T64" i="55"/>
  <c r="T62" i="55"/>
  <c r="T67" i="55"/>
  <c r="T65" i="55"/>
  <c r="T59" i="55"/>
  <c r="T69" i="55"/>
  <c r="T23" i="55"/>
  <c r="D6" i="50"/>
  <c r="T58" i="55"/>
  <c r="T49" i="55"/>
  <c r="T17" i="55"/>
  <c r="T38" i="55"/>
  <c r="T56" i="55"/>
  <c r="T52" i="55"/>
  <c r="T28" i="55"/>
  <c r="T42" i="55"/>
  <c r="T20" i="55"/>
  <c r="T48" i="55"/>
  <c r="T35" i="55"/>
  <c r="T46" i="55"/>
  <c r="T19" i="55"/>
  <c r="T30" i="55"/>
  <c r="T27" i="55"/>
  <c r="T29" i="55"/>
  <c r="T16" i="55"/>
  <c r="T40" i="55"/>
  <c r="T41" i="55"/>
  <c r="T53" i="55"/>
  <c r="T36" i="55"/>
  <c r="T34" i="55"/>
  <c r="T31" i="55"/>
  <c r="T45" i="55"/>
  <c r="T44" i="55"/>
  <c r="T32" i="55"/>
  <c r="T12" i="55"/>
  <c r="T26" i="55"/>
  <c r="T9" i="55"/>
  <c r="T54" i="55"/>
  <c r="T25" i="55"/>
  <c r="T21" i="55"/>
  <c r="T24" i="55"/>
  <c r="T37" i="55"/>
  <c r="T15" i="55"/>
  <c r="T18" i="55"/>
  <c r="T50" i="55"/>
  <c r="T13" i="55"/>
  <c r="T55" i="55"/>
  <c r="T10" i="55"/>
  <c r="T51" i="55"/>
  <c r="T33" i="55"/>
  <c r="T22" i="55"/>
  <c r="T39" i="55"/>
  <c r="T47" i="55"/>
  <c r="T11" i="55"/>
  <c r="T14" i="55"/>
  <c r="T18" i="60"/>
  <c r="T63" i="60"/>
  <c r="T39" i="60"/>
  <c r="T37" i="60"/>
  <c r="T26" i="60"/>
  <c r="T66" i="60"/>
  <c r="T61" i="60"/>
  <c r="T69" i="60"/>
  <c r="T52" i="60"/>
  <c r="T54" i="60"/>
  <c r="T33" i="60"/>
  <c r="T60" i="60"/>
  <c r="T62" i="60"/>
  <c r="T67" i="60"/>
  <c r="T57" i="60"/>
  <c r="T41" i="60"/>
  <c r="T45" i="60"/>
  <c r="T59" i="60"/>
  <c r="T29" i="60"/>
  <c r="T17" i="60"/>
  <c r="T65" i="60"/>
  <c r="T20" i="60"/>
  <c r="T68" i="60"/>
  <c r="T64" i="60"/>
  <c r="T48" i="60"/>
  <c r="D11" i="50"/>
  <c r="T58" i="60"/>
  <c r="T38" i="60"/>
  <c r="T55" i="60"/>
  <c r="T23" i="60"/>
  <c r="T31" i="60"/>
  <c r="T51" i="60"/>
  <c r="T42" i="60"/>
  <c r="T16" i="60"/>
  <c r="T49" i="60"/>
  <c r="T47" i="60"/>
  <c r="T27" i="60"/>
  <c r="T14" i="60"/>
  <c r="T21" i="60"/>
  <c r="T19" i="60"/>
  <c r="T28" i="60"/>
  <c r="T46" i="60"/>
  <c r="T56" i="60"/>
  <c r="T36" i="60"/>
  <c r="T22" i="60"/>
  <c r="T34" i="60"/>
  <c r="T35" i="60"/>
  <c r="T15" i="60"/>
  <c r="T53" i="60"/>
  <c r="T24" i="60"/>
  <c r="T40" i="60"/>
  <c r="T32" i="60"/>
  <c r="T25" i="60"/>
  <c r="T44" i="60"/>
  <c r="T43" i="60"/>
  <c r="T30" i="60"/>
  <c r="T50" i="60"/>
  <c r="T60" i="57"/>
  <c r="T57" i="57"/>
  <c r="T66" i="57"/>
  <c r="D8" i="50"/>
  <c r="L8" i="50" s="1"/>
  <c r="M8" i="50" s="1"/>
  <c r="T58" i="57"/>
  <c r="T65" i="57"/>
  <c r="T63" i="57"/>
  <c r="T68" i="57"/>
  <c r="T62" i="57"/>
  <c r="T67" i="57"/>
  <c r="T64" i="57"/>
  <c r="T61" i="57"/>
  <c r="T69" i="57"/>
  <c r="T59" i="57"/>
  <c r="T44" i="57"/>
  <c r="T14" i="57"/>
  <c r="T40" i="57"/>
  <c r="T35" i="57"/>
  <c r="T47" i="57"/>
  <c r="T19" i="57"/>
  <c r="T41" i="57"/>
  <c r="T36" i="57"/>
  <c r="T54" i="57"/>
  <c r="T26" i="57"/>
  <c r="T11" i="57"/>
  <c r="T28" i="57"/>
  <c r="T52" i="57"/>
  <c r="T56" i="57"/>
  <c r="T38" i="57"/>
  <c r="T15" i="57"/>
  <c r="T22" i="57"/>
  <c r="T20" i="57"/>
  <c r="T13" i="57"/>
  <c r="T16" i="57"/>
  <c r="T48" i="57"/>
  <c r="T51" i="57"/>
  <c r="T37" i="57"/>
  <c r="T46" i="57"/>
  <c r="T43" i="57"/>
  <c r="T21" i="57"/>
  <c r="T34" i="57"/>
  <c r="T31" i="57"/>
  <c r="T45" i="57"/>
  <c r="T39" i="57"/>
  <c r="T24" i="57"/>
  <c r="T32" i="57"/>
  <c r="T29" i="57"/>
  <c r="T55" i="57"/>
  <c r="T18" i="57"/>
  <c r="T27" i="57"/>
  <c r="T33" i="57"/>
  <c r="T42" i="57"/>
  <c r="T25" i="57"/>
  <c r="T53" i="57"/>
  <c r="T49" i="57"/>
  <c r="T12" i="57"/>
  <c r="T50" i="57"/>
  <c r="T17" i="57"/>
  <c r="T23" i="57"/>
  <c r="T30" i="57"/>
  <c r="F3" i="50"/>
  <c r="L3" i="50"/>
  <c r="M3" i="50" s="1"/>
  <c r="T8" i="55"/>
  <c r="L7" i="50"/>
  <c r="M7" i="50" s="1"/>
  <c r="F7" i="50"/>
  <c r="T13" i="60"/>
  <c r="T48" i="54"/>
  <c r="T31" i="54"/>
  <c r="T43" i="54"/>
  <c r="T59" i="54"/>
  <c r="T29" i="54"/>
  <c r="T20" i="54"/>
  <c r="T65" i="54"/>
  <c r="T46" i="54"/>
  <c r="T18" i="54"/>
  <c r="T49" i="54"/>
  <c r="T24" i="54"/>
  <c r="T26" i="54"/>
  <c r="T33" i="54"/>
  <c r="T37" i="54"/>
  <c r="T57" i="54"/>
  <c r="T67" i="54"/>
  <c r="T42" i="54"/>
  <c r="T62" i="54"/>
  <c r="T34" i="54"/>
  <c r="T63" i="54"/>
  <c r="T50" i="54"/>
  <c r="T23" i="54"/>
  <c r="T32" i="54"/>
  <c r="T69" i="54"/>
  <c r="T38" i="54"/>
  <c r="T13" i="54"/>
  <c r="T64" i="54"/>
  <c r="T60" i="54"/>
  <c r="T14" i="54"/>
  <c r="T44" i="54"/>
  <c r="T17" i="54"/>
  <c r="T58" i="54"/>
  <c r="T68" i="54"/>
  <c r="T55" i="54"/>
  <c r="T19" i="54"/>
  <c r="T61" i="54"/>
  <c r="D5" i="50"/>
  <c r="T66" i="54"/>
  <c r="T39" i="54"/>
  <c r="T10" i="54"/>
  <c r="T9" i="54"/>
  <c r="T16" i="54"/>
  <c r="T51" i="54"/>
  <c r="T56" i="54"/>
  <c r="T52" i="54"/>
  <c r="T53" i="54"/>
  <c r="T21" i="54"/>
  <c r="T27" i="54"/>
  <c r="T35" i="54"/>
  <c r="T15" i="54"/>
  <c r="T47" i="54"/>
  <c r="T25" i="54"/>
  <c r="T12" i="54"/>
  <c r="T28" i="54"/>
  <c r="T54" i="54"/>
  <c r="T40" i="54"/>
  <c r="T45" i="54"/>
  <c r="T41" i="54"/>
  <c r="T30" i="54"/>
  <c r="T22" i="54"/>
  <c r="T8" i="54"/>
  <c r="T36" i="54"/>
  <c r="T11" i="54"/>
  <c r="T65" i="58"/>
  <c r="D9" i="50"/>
  <c r="T69" i="58"/>
  <c r="T62" i="58"/>
  <c r="T66" i="58"/>
  <c r="T58" i="58"/>
  <c r="T61" i="58"/>
  <c r="T63" i="58"/>
  <c r="T59" i="58"/>
  <c r="T67" i="58"/>
  <c r="T68" i="58"/>
  <c r="T64" i="58"/>
  <c r="T57" i="58"/>
  <c r="T60" i="58"/>
  <c r="T13" i="58"/>
  <c r="T22" i="58"/>
  <c r="T40" i="58"/>
  <c r="T23" i="58"/>
  <c r="T51" i="58"/>
  <c r="T37" i="58"/>
  <c r="T45" i="58"/>
  <c r="T15" i="58"/>
  <c r="T26" i="58"/>
  <c r="T18" i="58"/>
  <c r="T27" i="58"/>
  <c r="T47" i="58"/>
  <c r="T38" i="58"/>
  <c r="T54" i="58"/>
  <c r="T50" i="58"/>
  <c r="T41" i="58"/>
  <c r="T46" i="58"/>
  <c r="T56" i="58"/>
  <c r="T32" i="58"/>
  <c r="T55" i="58"/>
  <c r="T17" i="58"/>
  <c r="T29" i="58"/>
  <c r="T21" i="58"/>
  <c r="T12" i="58"/>
  <c r="T20" i="58"/>
  <c r="T31" i="58"/>
  <c r="T24" i="58"/>
  <c r="T30" i="58"/>
  <c r="T52" i="58"/>
  <c r="T14" i="58"/>
  <c r="T35" i="58"/>
  <c r="T44" i="58"/>
  <c r="T39" i="58"/>
  <c r="T43" i="58"/>
  <c r="T28" i="58"/>
  <c r="T53" i="58"/>
  <c r="T49" i="58"/>
  <c r="T33" i="58"/>
  <c r="T48" i="58"/>
  <c r="T25" i="58"/>
  <c r="T16" i="58"/>
  <c r="T36" i="58"/>
  <c r="T34" i="58"/>
  <c r="T19" i="58"/>
  <c r="T42" i="58"/>
  <c r="T23" i="53"/>
  <c r="T58" i="53"/>
  <c r="T64" i="53"/>
  <c r="T57" i="53"/>
  <c r="T66" i="53"/>
  <c r="T60" i="53"/>
  <c r="T68" i="53"/>
  <c r="T67" i="53"/>
  <c r="D4" i="50"/>
  <c r="T63" i="53"/>
  <c r="T61" i="53"/>
  <c r="T69" i="53"/>
  <c r="T62" i="53"/>
  <c r="T65" i="53"/>
  <c r="T59" i="53"/>
  <c r="T54" i="53"/>
  <c r="T56" i="53"/>
  <c r="T35" i="53"/>
  <c r="T18" i="53"/>
  <c r="T17" i="53"/>
  <c r="T38" i="53"/>
  <c r="T19" i="53"/>
  <c r="T26" i="53"/>
  <c r="T33" i="53"/>
  <c r="T53" i="53"/>
  <c r="T25" i="53"/>
  <c r="T37" i="53"/>
  <c r="T46" i="53"/>
  <c r="T48" i="53"/>
  <c r="T55" i="53"/>
  <c r="T21" i="53"/>
  <c r="T30" i="53"/>
  <c r="T44" i="53"/>
  <c r="T13" i="53"/>
  <c r="T28" i="53"/>
  <c r="T40" i="53"/>
  <c r="T12" i="53"/>
  <c r="T20" i="53"/>
  <c r="T10" i="53"/>
  <c r="T11" i="53"/>
  <c r="T8" i="53"/>
  <c r="T15" i="53"/>
  <c r="T52" i="53"/>
  <c r="T51" i="53"/>
  <c r="T39" i="53"/>
  <c r="T7" i="53"/>
  <c r="T43" i="53"/>
  <c r="T9" i="53"/>
  <c r="T22" i="53"/>
  <c r="T36" i="53"/>
  <c r="T16" i="53"/>
  <c r="T45" i="53"/>
  <c r="T41" i="53"/>
  <c r="T27" i="53"/>
  <c r="T32" i="53"/>
  <c r="T31" i="53"/>
  <c r="T34" i="53"/>
  <c r="T50" i="53"/>
  <c r="T29" i="53"/>
  <c r="T47" i="53"/>
  <c r="T14" i="53"/>
  <c r="T49" i="53"/>
  <c r="T42" i="53"/>
  <c r="T24" i="53"/>
  <c r="F10" i="50"/>
  <c r="U10" i="50"/>
  <c r="V10" i="50" s="1"/>
  <c r="G10" i="50" s="1"/>
  <c r="T61" i="61"/>
  <c r="T62" i="61"/>
  <c r="T69" i="61"/>
  <c r="T59" i="61"/>
  <c r="T15" i="61"/>
  <c r="T50" i="61"/>
  <c r="T63" i="61"/>
  <c r="T32" i="61"/>
  <c r="T68" i="61"/>
  <c r="T44" i="61"/>
  <c r="T19" i="61"/>
  <c r="T64" i="61"/>
  <c r="T66" i="61"/>
  <c r="T58" i="61"/>
  <c r="T60" i="61"/>
  <c r="T65" i="61"/>
  <c r="D12" i="50"/>
  <c r="T67" i="61"/>
  <c r="T57" i="61"/>
  <c r="T24" i="61"/>
  <c r="T49" i="61"/>
  <c r="T33" i="61"/>
  <c r="T41" i="61"/>
  <c r="T31" i="61"/>
  <c r="T23" i="61"/>
  <c r="T29" i="61"/>
  <c r="T35" i="61"/>
  <c r="T30" i="61"/>
  <c r="T36" i="61"/>
  <c r="T20" i="61"/>
  <c r="T55" i="61"/>
  <c r="T27" i="61"/>
  <c r="T39" i="61"/>
  <c r="T40" i="61"/>
  <c r="T53" i="61"/>
  <c r="T16" i="61"/>
  <c r="T37" i="61"/>
  <c r="T47" i="61"/>
  <c r="T52" i="61"/>
  <c r="T43" i="61"/>
  <c r="T48" i="61"/>
  <c r="T17" i="61"/>
  <c r="T51" i="61"/>
  <c r="T18" i="61"/>
  <c r="T45" i="61"/>
  <c r="T25" i="61"/>
  <c r="T42" i="61"/>
  <c r="T21" i="61"/>
  <c r="T26" i="61"/>
  <c r="T54" i="61"/>
  <c r="T28" i="61"/>
  <c r="T46" i="61"/>
  <c r="T34" i="61"/>
  <c r="T38" i="61"/>
  <c r="T22" i="61"/>
  <c r="T56" i="61"/>
  <c r="T11" i="58"/>
  <c r="L6" i="50" l="1"/>
  <c r="M6" i="50" s="1"/>
  <c r="S70" i="61"/>
  <c r="S70" i="53"/>
  <c r="S70" i="57"/>
  <c r="S70" i="54"/>
  <c r="S70" i="60"/>
  <c r="F11" i="50"/>
  <c r="L11" i="50"/>
  <c r="M11" i="50" s="1"/>
  <c r="L12" i="50"/>
  <c r="M12" i="50" s="1"/>
  <c r="S70" i="58"/>
  <c r="F12" i="50"/>
  <c r="O12" i="50"/>
  <c r="P12" i="50" s="1"/>
  <c r="G12" i="50" s="1"/>
  <c r="R9" i="50"/>
  <c r="S9" i="50" s="1"/>
  <c r="F9" i="50"/>
  <c r="R10" i="50"/>
  <c r="S10" i="50" s="1"/>
  <c r="R6" i="50"/>
  <c r="S6" i="50" s="1"/>
  <c r="F5" i="50"/>
  <c r="R5" i="50"/>
  <c r="S5" i="50" s="1"/>
  <c r="L9" i="50"/>
  <c r="M9" i="50" s="1"/>
  <c r="O4" i="50"/>
  <c r="P4" i="50" s="1"/>
  <c r="F4" i="50"/>
  <c r="O5" i="50"/>
  <c r="P5" i="50" s="1"/>
  <c r="O6" i="50"/>
  <c r="P6" i="50" s="1"/>
  <c r="L5" i="50"/>
  <c r="M5" i="50" s="1"/>
  <c r="U6" i="50"/>
  <c r="V6" i="50" s="1"/>
  <c r="G6" i="50" s="1"/>
  <c r="F6" i="50"/>
  <c r="O8" i="50"/>
  <c r="P8" i="50" s="1"/>
  <c r="O10" i="50"/>
  <c r="P10" i="50" s="1"/>
  <c r="F8" i="50"/>
  <c r="O9" i="50"/>
  <c r="P9" i="50" s="1"/>
  <c r="L10" i="50"/>
  <c r="M10" i="50" s="1"/>
  <c r="S70" i="55"/>
  <c r="L4" i="50"/>
  <c r="M4" i="50" s="1"/>
  <c r="G3" i="50" l="1"/>
  <c r="G7" i="50"/>
  <c r="G8" i="50"/>
  <c r="G9" i="50"/>
  <c r="G11" i="50"/>
  <c r="G4" i="50"/>
  <c r="G5" i="50"/>
</calcChain>
</file>

<file path=xl/sharedStrings.xml><?xml version="1.0" encoding="utf-8"?>
<sst xmlns="http://schemas.openxmlformats.org/spreadsheetml/2006/main" count="416" uniqueCount="61">
  <si>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</si>
  <si>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</si>
  <si>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</si>
  <si>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</si>
  <si>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</si>
  <si>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</si>
  <si>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</si>
  <si>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</si>
  <si>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</si>
  <si>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</si>
  <si>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</si>
  <si>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</si>
  <si>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</si>
  <si>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Return to Education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</si>
  <si>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</si>
  <si>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</si>
  <si>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</si>
  <si>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</si>
  <si>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</si>
  <si>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</si>
  <si>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</si>
  <si>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</si>
  <si>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</si>
  <si>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</si>
  <si>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</si>
  <si>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</si>
  <si>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</si>
  <si>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</si>
  <si>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</si>
  <si>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</si>
  <si>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</si>
  <si>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</si>
  <si>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</si>
  <si>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</si>
  <si>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</si>
  <si>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</si>
  <si>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</si>
  <si>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</si>
  <si>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</si>
  <si>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</si>
  <si>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</si>
  <si>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</si>
  <si>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</si>
  <si>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Social Income</t>
  </si>
  <si>
    <t>Social Benefits</t>
  </si>
  <si>
    <t>Social Unemployment</t>
  </si>
  <si>
    <t>Social Participation</t>
  </si>
  <si>
    <t>Average Net Tax Rate</t>
  </si>
  <si>
    <t>Expected Productivity if Participating</t>
  </si>
  <si>
    <t>Participation</t>
  </si>
  <si>
    <t>Nonparticipation Transfers</t>
  </si>
  <si>
    <t>Crime Risk Factor</t>
  </si>
  <si>
    <t>Crime Risk Factor from crimeworksheet.xls</t>
  </si>
  <si>
    <t>Social Crime Cost</t>
  </si>
  <si>
    <t>Expected Crime Costs</t>
  </si>
  <si>
    <t>Enhanced Participation Benefit</t>
  </si>
  <si>
    <t>Initial Social Participation</t>
  </si>
  <si>
    <t>Social Return to Education</t>
  </si>
  <si>
    <t>Crime Reduction Benefit</t>
  </si>
  <si>
    <t>Expected Productivity Benefit</t>
  </si>
  <si>
    <t>All other variables from metasocialcutgoodr.xls and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</si>
</sst>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000"/>
    <numFmt numFmtId="166" formatCode="0.0000"/>
    <numFmt numFmtId="167" formatCode="0.0"/>
    <numFmt numFmtId="168" formatCode="0.0%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4" fontId="3" fillId="0" borderId="0" applyFont="0" applyAlignment="0"/>
    <xf numFmtId="3" fontId="3" fillId="0" borderId="0"/>
    <xf numFmtId="1" fontId="3" fillId="0" borderId="0"/>
    <xf numFmtId="168" fontId="3" fillId="0" borderId="0"/>
    <xf numFmtId="164" fontId="6" fillId="0" borderId="0"/>
  </cellStyleXfs>
  <cellXfs count="32">
    <xf numFmtId="0" fontId="0" fillId="0" borderId="0" xfId="0"/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165" fontId="0" fillId="0" borderId="0" xfId="0" applyNumberFormat="1"/>
    <xf numFmtId="1" fontId="0" fillId="0" borderId="0" xfId="0" applyNumberFormat="1"/>
    <xf numFmtId="166" fontId="0" fillId="0" borderId="0" xfId="0" applyNumberFormat="1"/>
    <xf numFmtId="1" fontId="3" fillId="0" borderId="0" xfId="0" applyNumberFormat="1" applyFont="1"/>
    <xf numFmtId="164" fontId="1" fillId="0" borderId="0" xfId="0" applyNumberFormat="1" applyFont="1"/>
    <xf numFmtId="0" fontId="1" fillId="0" borderId="0" xfId="0" applyFont="1"/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Border="1" applyAlignment="1">
      <alignment vertical="top" wrapText="1"/>
    </xf>
    <xf numFmtId="164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67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4" fontId="0" fillId="0" borderId="0" xfId="0" applyNumberFormat="1" applyFont="1"/>
    <xf numFmtId="3" fontId="3" fillId="0" borderId="0" xfId="2"/>
    <xf numFmtId="1" fontId="3" fillId="0" borderId="0" xfId="3"/>
    <xf numFmtId="0" fontId="0" fillId="0" borderId="0" xfId="0" applyAlignment="1">
      <alignment horizontal="right" vertical="center"/>
    </xf>
    <xf numFmtId="164" fontId="0" fillId="0" borderId="0" xfId="1" applyFont="1" applyAlignment="1">
      <alignment horizontal="right" vertical="center"/>
    </xf>
    <xf numFmtId="3" fontId="0" fillId="0" borderId="0" xfId="0" applyNumberFormat="1" applyFont="1"/>
    <xf numFmtId="164" fontId="3" fillId="0" borderId="0" xfId="1"/>
    <xf numFmtId="1" fontId="0" fillId="0" borderId="0" xfId="0" applyNumberFormat="1" applyFont="1"/>
    <xf numFmtId="0" fontId="0" fillId="0" borderId="0" xfId="0" applyNumberFormat="1" applyFont="1" applyBorder="1"/>
    <xf numFmtId="164" fontId="0" fillId="0" borderId="0" xfId="1" applyFont="1"/>
    <xf numFmtId="49" fontId="1" fillId="0" borderId="0" xfId="0" applyNumberFormat="1" applyFont="1"/>
    <xf numFmtId="0" fontId="7" fillId="0" borderId="0" xfId="0" applyFont="1" applyAlignment="1">
      <alignment horizontal="right" vertical="center"/>
    </xf>
  </cellXfs>
  <cellStyles count="6">
    <cellStyle name="3Decimals" xfId="1"/>
    <cellStyle name="NoDecimals" xfId="2"/>
    <cellStyle name="NoDecimalsNoComma" xfId="3"/>
    <cellStyle name="Normal" xfId="0" builtinId="0" customBuiltin="1"/>
    <cellStyle name="PercentOneDecimal" xfId="4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tabSelected="1" workbookViewId="0">
      <selection activeCell="F18" sqref="F18"/>
    </sheetView>
  </sheetViews>
  <sheetFormatPr defaultRowHeight="12.75" x14ac:dyDescent="0.2"/>
  <cols>
    <col min="1" max="1" width="9.140625" style="18"/>
    <col min="2" max="3" width="12.42578125" style="8" customWidth="1"/>
    <col min="4" max="7" width="9.140625" style="8"/>
    <col min="8" max="8" width="9.5703125" style="8" customWidth="1"/>
    <col min="9" max="10" width="9.140625" style="8"/>
    <col min="11" max="11" width="9.5703125" style="8" customWidth="1"/>
    <col min="12" max="12" width="9.140625" style="9"/>
    <col min="13" max="16384" width="9.140625" style="8"/>
  </cols>
  <sheetData>
    <row r="1" spans="1:24" x14ac:dyDescent="0.2">
      <c r="A1" s="18" t="s">
        <v>5</v>
      </c>
      <c r="B1" s="20" t="s">
        <v>35</v>
      </c>
      <c r="C1" s="20" t="s">
        <v>36</v>
      </c>
      <c r="D1" s="8" t="s">
        <v>9</v>
      </c>
      <c r="E1" s="8" t="s">
        <v>8</v>
      </c>
      <c r="F1" s="20" t="s">
        <v>42</v>
      </c>
      <c r="H1" s="8" t="s">
        <v>3</v>
      </c>
      <c r="I1" s="8" t="s">
        <v>4</v>
      </c>
      <c r="L1" s="9" t="s">
        <v>16</v>
      </c>
      <c r="M1" s="8" t="s">
        <v>1</v>
      </c>
      <c r="N1" s="20" t="s">
        <v>0</v>
      </c>
      <c r="O1" s="20" t="s">
        <v>51</v>
      </c>
      <c r="P1" s="8" t="s">
        <v>39</v>
      </c>
      <c r="Q1" s="8" t="s">
        <v>40</v>
      </c>
      <c r="R1" s="8" t="s">
        <v>41</v>
      </c>
      <c r="S1" s="20" t="s">
        <v>50</v>
      </c>
      <c r="T1" s="20" t="s">
        <v>43</v>
      </c>
      <c r="U1" s="20" t="s">
        <v>44</v>
      </c>
      <c r="V1" s="20" t="s">
        <v>45</v>
      </c>
      <c r="W1" s="20" t="s">
        <v>53</v>
      </c>
      <c r="X1" s="20" t="s">
        <v>46</v>
      </c>
    </row>
    <row r="2" spans="1:24" x14ac:dyDescent="0.2">
      <c r="A2" s="18">
        <v>8</v>
      </c>
      <c r="B2" s="19">
        <v>81819</v>
      </c>
      <c r="C2" s="19">
        <v>36875</v>
      </c>
      <c r="D2" s="24">
        <v>6.3E-2</v>
      </c>
      <c r="E2" s="24">
        <v>1</v>
      </c>
      <c r="F2" s="24">
        <v>0.60199999999999998</v>
      </c>
      <c r="H2" s="8">
        <v>2.5000000000000001E-2</v>
      </c>
      <c r="I2" s="10">
        <f>AVERAGE(M2:M53)</f>
        <v>2.0085479604911836</v>
      </c>
      <c r="J2" s="13"/>
      <c r="K2" s="18"/>
      <c r="L2" s="9">
        <v>0</v>
      </c>
      <c r="M2" s="8">
        <f t="shared" ref="M2:M33" si="0">(1+experiencepremium)^L2</f>
        <v>1</v>
      </c>
      <c r="N2" s="22">
        <v>14</v>
      </c>
      <c r="O2" s="31">
        <v>1.0940000000000001</v>
      </c>
      <c r="P2" s="25">
        <v>11298</v>
      </c>
      <c r="Q2" s="25">
        <v>8279</v>
      </c>
      <c r="R2" s="8">
        <v>0.28000000000000003</v>
      </c>
      <c r="S2" s="22">
        <f>4362+2192</f>
        <v>6554</v>
      </c>
      <c r="T2" s="19">
        <v>117810</v>
      </c>
      <c r="U2" s="19">
        <v>51625</v>
      </c>
      <c r="V2" s="23">
        <v>3.9E-2</v>
      </c>
      <c r="W2" s="19">
        <v>1113</v>
      </c>
      <c r="X2" s="24">
        <v>0.72799999999999998</v>
      </c>
    </row>
    <row r="3" spans="1:24" x14ac:dyDescent="0.2">
      <c r="A3" s="18">
        <v>9</v>
      </c>
      <c r="B3" s="19">
        <v>86521</v>
      </c>
      <c r="C3" s="19">
        <v>38994</v>
      </c>
      <c r="D3" s="24">
        <v>0.06</v>
      </c>
      <c r="E3" s="24">
        <v>0.98</v>
      </c>
      <c r="F3" s="24">
        <v>0.61799999999999999</v>
      </c>
      <c r="I3" s="10">
        <f>AVERAGE(M2:M52)</f>
        <v>1.978852107996969</v>
      </c>
      <c r="J3" s="13"/>
      <c r="K3" s="18"/>
      <c r="L3" s="9">
        <v>1</v>
      </c>
      <c r="M3" s="8">
        <f t="shared" si="0"/>
        <v>1.0249999999999999</v>
      </c>
      <c r="N3" s="22">
        <v>15</v>
      </c>
      <c r="O3" s="31">
        <v>1.8560000000000001</v>
      </c>
      <c r="Q3" s="15"/>
      <c r="R3" s="15"/>
      <c r="T3" s="19">
        <v>123236</v>
      </c>
      <c r="U3" s="19">
        <v>54003</v>
      </c>
      <c r="V3" s="23">
        <v>3.7999999999999999E-2</v>
      </c>
      <c r="W3" s="19">
        <v>1090</v>
      </c>
      <c r="X3" s="24">
        <v>0.73599999999999999</v>
      </c>
    </row>
    <row r="4" spans="1:24" x14ac:dyDescent="0.2">
      <c r="A4" s="18">
        <v>10</v>
      </c>
      <c r="B4" s="19">
        <v>91493</v>
      </c>
      <c r="C4" s="19">
        <v>41235</v>
      </c>
      <c r="D4" s="24">
        <v>5.7000000000000002E-2</v>
      </c>
      <c r="E4" s="24">
        <v>0.98</v>
      </c>
      <c r="F4" s="24">
        <v>0.63400000000000001</v>
      </c>
      <c r="I4" s="10">
        <f>AVERAGE(M2:M51)</f>
        <v>1.9496869757628374</v>
      </c>
      <c r="J4" s="13"/>
      <c r="K4" s="18"/>
      <c r="L4" s="9">
        <v>2</v>
      </c>
      <c r="M4" s="8">
        <f t="shared" si="0"/>
        <v>1.0506249999999999</v>
      </c>
      <c r="N4" s="22">
        <v>16</v>
      </c>
      <c r="O4" s="31">
        <v>2.3479999999999999</v>
      </c>
      <c r="Q4" s="15"/>
      <c r="R4" s="15"/>
      <c r="T4" s="19">
        <v>128912</v>
      </c>
      <c r="U4" s="19">
        <v>56490</v>
      </c>
      <c r="V4" s="23">
        <v>3.6999999999999998E-2</v>
      </c>
      <c r="W4" s="19">
        <v>1068</v>
      </c>
      <c r="X4" s="24">
        <v>0.745</v>
      </c>
    </row>
    <row r="5" spans="1:24" x14ac:dyDescent="0.2">
      <c r="A5" s="18">
        <v>11</v>
      </c>
      <c r="B5" s="19">
        <v>96752</v>
      </c>
      <c r="C5" s="19">
        <v>43605</v>
      </c>
      <c r="D5" s="24">
        <v>5.3999999999999999E-2</v>
      </c>
      <c r="E5" s="24">
        <v>0.98</v>
      </c>
      <c r="F5" s="24">
        <v>0.65100000000000002</v>
      </c>
      <c r="I5" s="10">
        <f>AVERAGE(M2:M50)</f>
        <v>1.9210422854781857</v>
      </c>
      <c r="J5" s="13"/>
      <c r="K5" s="18"/>
      <c r="L5" s="9">
        <v>3</v>
      </c>
      <c r="M5" s="8">
        <f t="shared" si="0"/>
        <v>1.0768906249999999</v>
      </c>
      <c r="N5" s="22">
        <v>17</v>
      </c>
      <c r="O5" s="31">
        <v>2.7120000000000002</v>
      </c>
      <c r="Q5" s="15"/>
      <c r="R5" s="15"/>
      <c r="T5" s="19">
        <v>134850</v>
      </c>
      <c r="U5" s="19">
        <v>59092</v>
      </c>
      <c r="V5" s="23">
        <v>3.6999999999999998E-2</v>
      </c>
      <c r="W5" s="19">
        <v>1046</v>
      </c>
      <c r="X5" s="24">
        <v>0.754</v>
      </c>
    </row>
    <row r="6" spans="1:24" x14ac:dyDescent="0.2">
      <c r="A6" s="18">
        <v>12</v>
      </c>
      <c r="B6" s="19">
        <v>115657</v>
      </c>
      <c r="C6" s="19">
        <v>52125</v>
      </c>
      <c r="D6" s="24">
        <v>4.4999999999999998E-2</v>
      </c>
      <c r="E6" s="24">
        <v>0.98</v>
      </c>
      <c r="F6" s="24">
        <v>0.70899999999999996</v>
      </c>
      <c r="I6" s="10">
        <f>AVERAGE(M2:M49)</f>
        <v>1.8929079672445346</v>
      </c>
      <c r="J6" s="13"/>
      <c r="K6" s="18"/>
      <c r="L6" s="9">
        <v>4</v>
      </c>
      <c r="M6" s="8">
        <f t="shared" si="0"/>
        <v>1.1038128906249998</v>
      </c>
      <c r="N6" s="22">
        <v>18</v>
      </c>
      <c r="O6" s="31">
        <v>3.2959999999999998</v>
      </c>
      <c r="Q6" s="15"/>
      <c r="R6" s="15"/>
      <c r="T6" s="19">
        <v>141061</v>
      </c>
      <c r="U6" s="19">
        <v>61814</v>
      </c>
      <c r="V6" s="23">
        <v>3.5999999999999997E-2</v>
      </c>
      <c r="W6" s="19">
        <v>1025</v>
      </c>
      <c r="X6" s="24">
        <v>0.76200000000000001</v>
      </c>
    </row>
    <row r="7" spans="1:24" x14ac:dyDescent="0.2">
      <c r="A7" s="18">
        <v>13</v>
      </c>
      <c r="B7" s="19">
        <v>121226</v>
      </c>
      <c r="C7" s="19">
        <v>54329</v>
      </c>
      <c r="D7" s="24">
        <v>4.3999999999999997E-2</v>
      </c>
      <c r="E7" s="24">
        <v>0.81200000000000006</v>
      </c>
      <c r="F7" s="24">
        <v>0.71599999999999997</v>
      </c>
      <c r="I7" s="10">
        <f>AVERAGE(M2:M48)</f>
        <v>1.8652741552202943</v>
      </c>
      <c r="J7" s="13"/>
      <c r="K7" s="18"/>
      <c r="L7" s="9">
        <v>5</v>
      </c>
      <c r="M7" s="8">
        <f t="shared" si="0"/>
        <v>1.1314082128906247</v>
      </c>
      <c r="N7" s="22">
        <v>19</v>
      </c>
      <c r="O7" s="31">
        <v>3.5230000000000001</v>
      </c>
      <c r="Q7" s="15"/>
      <c r="R7" s="15"/>
      <c r="T7" s="19">
        <v>149114</v>
      </c>
      <c r="U7" s="19">
        <v>65035</v>
      </c>
      <c r="V7" s="23">
        <v>3.5000000000000003E-2</v>
      </c>
      <c r="W7" s="19">
        <v>1017</v>
      </c>
      <c r="X7" s="24">
        <v>0.76600000000000001</v>
      </c>
    </row>
    <row r="8" spans="1:24" x14ac:dyDescent="0.2">
      <c r="A8" s="18">
        <v>14</v>
      </c>
      <c r="B8" s="19">
        <v>127062</v>
      </c>
      <c r="C8" s="19">
        <v>56626</v>
      </c>
      <c r="D8" s="24">
        <v>4.2999999999999997E-2</v>
      </c>
      <c r="E8" s="24">
        <v>0.81200000000000006</v>
      </c>
      <c r="F8" s="24">
        <v>0.72299999999999998</v>
      </c>
      <c r="I8" s="10">
        <f>AVERAGE(M2:M47)</f>
        <v>1.8381311833585117</v>
      </c>
      <c r="J8" s="13"/>
      <c r="K8" s="18"/>
      <c r="L8" s="9">
        <v>6</v>
      </c>
      <c r="M8" s="8">
        <f t="shared" si="0"/>
        <v>1.1596934182128902</v>
      </c>
      <c r="N8" s="22">
        <v>20</v>
      </c>
      <c r="O8" s="31">
        <v>3.3740000000000001</v>
      </c>
      <c r="Q8" s="15"/>
      <c r="R8" s="15"/>
      <c r="T8" s="19">
        <v>157628</v>
      </c>
      <c r="U8" s="19">
        <v>68424</v>
      </c>
      <c r="V8" s="23">
        <v>3.5000000000000003E-2</v>
      </c>
      <c r="W8" s="19">
        <v>1009</v>
      </c>
      <c r="X8" s="24">
        <v>0.77</v>
      </c>
    </row>
    <row r="9" spans="1:24" x14ac:dyDescent="0.2">
      <c r="A9" s="18">
        <v>15</v>
      </c>
      <c r="B9" s="19">
        <v>133180</v>
      </c>
      <c r="C9" s="19">
        <v>59021</v>
      </c>
      <c r="D9" s="24">
        <v>4.2000000000000003E-2</v>
      </c>
      <c r="E9" s="24">
        <v>0.81200000000000006</v>
      </c>
      <c r="F9" s="24">
        <v>0.73</v>
      </c>
      <c r="I9" s="10">
        <f>AVERAGE(M2:M46)</f>
        <v>1.8114695812355892</v>
      </c>
      <c r="J9" s="13"/>
      <c r="K9" s="18"/>
      <c r="L9" s="9">
        <v>7</v>
      </c>
      <c r="M9" s="8">
        <f t="shared" si="0"/>
        <v>1.1886857536682125</v>
      </c>
      <c r="N9" s="22">
        <v>21</v>
      </c>
      <c r="O9" s="31">
        <v>3.0640000000000001</v>
      </c>
      <c r="Q9" s="15"/>
      <c r="R9" s="15"/>
      <c r="T9" s="19">
        <v>166627</v>
      </c>
      <c r="U9" s="19">
        <v>71989</v>
      </c>
      <c r="V9" s="23">
        <v>3.4000000000000002E-2</v>
      </c>
      <c r="W9" s="19">
        <v>1001</v>
      </c>
      <c r="X9" s="24">
        <v>0.77300000000000002</v>
      </c>
    </row>
    <row r="10" spans="1:24" x14ac:dyDescent="0.2">
      <c r="A10" s="18">
        <v>16</v>
      </c>
      <c r="B10" s="19">
        <v>176140</v>
      </c>
      <c r="C10" s="19">
        <v>75740</v>
      </c>
      <c r="D10" s="24">
        <v>3.4000000000000002E-2</v>
      </c>
      <c r="E10" s="24">
        <v>0.81200000000000006</v>
      </c>
      <c r="F10" s="24">
        <v>0.77700000000000002</v>
      </c>
      <c r="I10" s="10">
        <f>AVERAGE(M2:M45)</f>
        <v>1.7852800699689915</v>
      </c>
      <c r="J10" s="13"/>
      <c r="K10" s="18"/>
      <c r="L10" s="9">
        <v>8</v>
      </c>
      <c r="M10" s="8">
        <f t="shared" si="0"/>
        <v>1.2184028975099177</v>
      </c>
      <c r="N10" s="22">
        <v>22</v>
      </c>
      <c r="O10" s="31">
        <v>2.8079999999999998</v>
      </c>
      <c r="Q10" s="15"/>
      <c r="R10" s="15"/>
      <c r="T10" s="19">
        <v>176140</v>
      </c>
      <c r="U10" s="19">
        <v>75740</v>
      </c>
      <c r="V10" s="23">
        <v>3.4000000000000002E-2</v>
      </c>
      <c r="W10" s="23">
        <v>994</v>
      </c>
      <c r="X10" s="24">
        <v>0.77700000000000002</v>
      </c>
    </row>
    <row r="11" spans="1:24" x14ac:dyDescent="0.2">
      <c r="A11" s="18">
        <v>17</v>
      </c>
      <c r="B11" s="19">
        <v>181385</v>
      </c>
      <c r="C11" s="19">
        <v>77653</v>
      </c>
      <c r="D11" s="24">
        <v>3.3000000000000002E-2</v>
      </c>
      <c r="E11" s="24">
        <v>0.57199999999999995</v>
      </c>
      <c r="F11" s="24">
        <v>0.77700000000000002</v>
      </c>
      <c r="I11" s="10">
        <f>AVERAGE(M2:M44)</f>
        <v>1.7595535582220223</v>
      </c>
      <c r="J11" s="13"/>
      <c r="K11" s="18"/>
      <c r="L11" s="9">
        <v>9</v>
      </c>
      <c r="M11" s="8">
        <f t="shared" si="0"/>
        <v>1.2488629699476654</v>
      </c>
      <c r="N11" s="22">
        <v>23</v>
      </c>
      <c r="O11" s="31">
        <v>2.6240000000000001</v>
      </c>
      <c r="Q11" s="15"/>
      <c r="R11" s="15"/>
      <c r="T11" s="19">
        <v>190507</v>
      </c>
      <c r="U11" s="19">
        <v>81461</v>
      </c>
      <c r="V11" s="23">
        <v>3.4000000000000002E-2</v>
      </c>
      <c r="W11" s="23">
        <v>994</v>
      </c>
      <c r="X11" s="24">
        <v>0.77700000000000002</v>
      </c>
    </row>
    <row r="12" spans="1:24" x14ac:dyDescent="0.2">
      <c r="A12" s="18">
        <v>18</v>
      </c>
      <c r="B12" s="19">
        <v>217569</v>
      </c>
      <c r="C12" s="19">
        <v>90792</v>
      </c>
      <c r="D12" s="24">
        <v>0.03</v>
      </c>
      <c r="E12" s="24">
        <v>0.57199999999999995</v>
      </c>
      <c r="F12" s="24">
        <v>0.77700000000000002</v>
      </c>
      <c r="I12" s="10">
        <f>AVERAGE(M2:M43)</f>
        <v>1.7342811382937739</v>
      </c>
      <c r="J12" s="13"/>
      <c r="K12" s="18"/>
      <c r="L12" s="9">
        <v>10</v>
      </c>
      <c r="M12" s="8">
        <f t="shared" si="0"/>
        <v>1.2800845441963571</v>
      </c>
      <c r="N12" s="22">
        <v>24</v>
      </c>
      <c r="O12" s="31">
        <v>2.5070000000000001</v>
      </c>
      <c r="Q12" s="15"/>
      <c r="R12" s="15"/>
      <c r="T12" s="19">
        <v>206046</v>
      </c>
      <c r="U12" s="19">
        <v>87614</v>
      </c>
      <c r="V12" s="23">
        <v>3.3000000000000002E-2</v>
      </c>
      <c r="W12" s="23">
        <v>994</v>
      </c>
      <c r="X12" s="24">
        <v>0.77700000000000002</v>
      </c>
    </row>
    <row r="13" spans="1:24" x14ac:dyDescent="0.2">
      <c r="B13"/>
      <c r="C13"/>
      <c r="F13" s="2"/>
      <c r="L13" s="9">
        <v>11</v>
      </c>
      <c r="M13" s="8">
        <f t="shared" si="0"/>
        <v>1.312086657801266</v>
      </c>
      <c r="N13" s="22">
        <v>25</v>
      </c>
      <c r="O13" s="31">
        <v>2.105</v>
      </c>
    </row>
    <row r="14" spans="1:24" x14ac:dyDescent="0.2">
      <c r="B14" s="14"/>
      <c r="C14" s="14"/>
      <c r="D14" s="16"/>
      <c r="E14" s="16"/>
      <c r="F14" s="16"/>
      <c r="L14" s="9">
        <v>12</v>
      </c>
      <c r="M14" s="8">
        <f t="shared" si="0"/>
        <v>1.3448888242462975</v>
      </c>
      <c r="N14" s="22">
        <v>26</v>
      </c>
      <c r="O14" s="31">
        <v>2.105</v>
      </c>
    </row>
    <row r="15" spans="1:24" ht="14.25" x14ac:dyDescent="0.2">
      <c r="B15" s="14"/>
      <c r="C15" s="14"/>
      <c r="D15" s="17"/>
      <c r="E15" s="17"/>
      <c r="F15" s="28"/>
      <c r="L15" s="9">
        <v>13</v>
      </c>
      <c r="M15" s="8">
        <f t="shared" si="0"/>
        <v>1.3785110448524549</v>
      </c>
      <c r="N15" s="22">
        <v>27</v>
      </c>
      <c r="O15" s="31">
        <v>2.105</v>
      </c>
    </row>
    <row r="16" spans="1:24" ht="14.25" x14ac:dyDescent="0.2">
      <c r="B16" s="14"/>
      <c r="C16" s="14"/>
      <c r="D16" s="17"/>
      <c r="E16" s="17"/>
      <c r="F16" s="16" t="s">
        <v>52</v>
      </c>
      <c r="L16" s="9">
        <v>14</v>
      </c>
      <c r="M16" s="8">
        <f t="shared" si="0"/>
        <v>1.4129738209737661</v>
      </c>
      <c r="N16" s="22">
        <v>28</v>
      </c>
      <c r="O16" s="31">
        <v>2.105</v>
      </c>
    </row>
    <row r="17" spans="2:15" ht="14.25" x14ac:dyDescent="0.2">
      <c r="B17" s="14"/>
      <c r="C17" s="14"/>
      <c r="D17" s="17"/>
      <c r="E17" s="17"/>
      <c r="F17" s="28" t="s">
        <v>60</v>
      </c>
      <c r="L17" s="9">
        <v>15</v>
      </c>
      <c r="M17" s="8">
        <f t="shared" si="0"/>
        <v>1.4482981664981105</v>
      </c>
      <c r="N17" s="22">
        <v>29</v>
      </c>
      <c r="O17" s="31">
        <v>2.105</v>
      </c>
    </row>
    <row r="18" spans="2:15" ht="14.25" x14ac:dyDescent="0.2">
      <c r="B18" s="14"/>
      <c r="C18" s="14"/>
      <c r="D18" s="17"/>
      <c r="E18" s="17"/>
      <c r="F18" s="16"/>
      <c r="L18" s="9">
        <v>16</v>
      </c>
      <c r="M18" s="8">
        <f t="shared" si="0"/>
        <v>1.4845056206605631</v>
      </c>
      <c r="N18" s="22">
        <v>30</v>
      </c>
      <c r="O18" s="31">
        <v>1.6970000000000001</v>
      </c>
    </row>
    <row r="19" spans="2:15" ht="14.25" x14ac:dyDescent="0.2">
      <c r="B19" s="14"/>
      <c r="C19" s="14"/>
      <c r="D19" s="17"/>
      <c r="E19" s="17"/>
      <c r="F19" s="16"/>
      <c r="L19" s="9">
        <v>17</v>
      </c>
      <c r="M19" s="8">
        <f t="shared" si="0"/>
        <v>1.521618261177077</v>
      </c>
      <c r="N19" s="22">
        <v>31</v>
      </c>
      <c r="O19" s="31">
        <v>1.6970000000000001</v>
      </c>
    </row>
    <row r="20" spans="2:15" ht="14.25" x14ac:dyDescent="0.2">
      <c r="B20" s="14"/>
      <c r="C20" s="14"/>
      <c r="D20" s="17"/>
      <c r="E20" s="17"/>
      <c r="F20" s="16"/>
      <c r="L20" s="9">
        <v>18</v>
      </c>
      <c r="M20" s="8">
        <f t="shared" si="0"/>
        <v>1.559658717706504</v>
      </c>
      <c r="N20" s="22">
        <v>32</v>
      </c>
      <c r="O20" s="31">
        <v>1.6970000000000001</v>
      </c>
    </row>
    <row r="21" spans="2:15" ht="14.25" x14ac:dyDescent="0.2">
      <c r="B21" s="14"/>
      <c r="C21" s="14"/>
      <c r="D21" s="17"/>
      <c r="E21" s="17"/>
      <c r="F21" s="16"/>
      <c r="L21" s="9">
        <v>19</v>
      </c>
      <c r="M21" s="8">
        <f t="shared" si="0"/>
        <v>1.5986501856491666</v>
      </c>
      <c r="N21" s="22">
        <v>33</v>
      </c>
      <c r="O21" s="31">
        <v>1.6970000000000001</v>
      </c>
    </row>
    <row r="22" spans="2:15" ht="14.25" x14ac:dyDescent="0.2">
      <c r="B22" s="14"/>
      <c r="C22" s="14"/>
      <c r="D22" s="17"/>
      <c r="E22" s="17"/>
      <c r="F22" s="16"/>
      <c r="L22" s="9">
        <v>20</v>
      </c>
      <c r="M22" s="8">
        <f t="shared" si="0"/>
        <v>1.6386164402903955</v>
      </c>
      <c r="N22" s="22">
        <v>34</v>
      </c>
      <c r="O22" s="31">
        <v>1.6970000000000001</v>
      </c>
    </row>
    <row r="23" spans="2:15" ht="14.25" x14ac:dyDescent="0.2">
      <c r="B23" s="14"/>
      <c r="C23" s="14"/>
      <c r="D23" s="17"/>
      <c r="E23" s="17"/>
      <c r="F23" s="16"/>
      <c r="L23" s="9">
        <v>21</v>
      </c>
      <c r="M23" s="8">
        <f t="shared" si="0"/>
        <v>1.6795818512976552</v>
      </c>
      <c r="N23" s="22">
        <v>35</v>
      </c>
      <c r="O23" s="31">
        <v>1.3169999999999999</v>
      </c>
    </row>
    <row r="24" spans="2:15" ht="14.25" x14ac:dyDescent="0.2">
      <c r="B24" s="14"/>
      <c r="C24" s="14"/>
      <c r="D24" s="17"/>
      <c r="E24" s="17"/>
      <c r="F24" s="16"/>
      <c r="L24" s="9">
        <v>22</v>
      </c>
      <c r="M24" s="8">
        <f t="shared" si="0"/>
        <v>1.7215713975800966</v>
      </c>
      <c r="N24" s="22">
        <v>36</v>
      </c>
      <c r="O24" s="31">
        <v>1.3169999999999999</v>
      </c>
    </row>
    <row r="25" spans="2:15" ht="14.25" x14ac:dyDescent="0.2">
      <c r="B25" s="14"/>
      <c r="C25" s="14"/>
      <c r="D25" s="17"/>
      <c r="E25" s="17"/>
      <c r="F25" s="16"/>
      <c r="L25" s="9">
        <v>23</v>
      </c>
      <c r="M25" s="8">
        <f t="shared" si="0"/>
        <v>1.7646106825195991</v>
      </c>
      <c r="N25" s="22">
        <v>37</v>
      </c>
      <c r="O25" s="31">
        <v>1.3169999999999999</v>
      </c>
    </row>
    <row r="26" spans="2:15" x14ac:dyDescent="0.2">
      <c r="B26" s="14"/>
      <c r="C26" s="14"/>
      <c r="D26" s="16"/>
      <c r="E26" s="16"/>
      <c r="F26" s="16"/>
      <c r="L26" s="9">
        <v>24</v>
      </c>
      <c r="M26" s="8">
        <f t="shared" si="0"/>
        <v>1.8087259495825889</v>
      </c>
      <c r="N26" s="22">
        <v>38</v>
      </c>
      <c r="O26" s="31">
        <v>1.3169999999999999</v>
      </c>
    </row>
    <row r="27" spans="2:15" x14ac:dyDescent="0.2">
      <c r="B27" s="2"/>
      <c r="C27" s="2"/>
      <c r="D27" s="2"/>
      <c r="E27" s="2"/>
      <c r="F27" s="2"/>
      <c r="L27" s="9">
        <v>25</v>
      </c>
      <c r="M27" s="8">
        <f t="shared" si="0"/>
        <v>1.8539440983221533</v>
      </c>
      <c r="N27" s="22">
        <v>39</v>
      </c>
      <c r="O27" s="31">
        <v>1.3169999999999999</v>
      </c>
    </row>
    <row r="28" spans="2:15" x14ac:dyDescent="0.2">
      <c r="B28" s="2"/>
      <c r="C28" s="2"/>
      <c r="D28" s="2"/>
      <c r="E28" s="2"/>
      <c r="F28" s="2"/>
      <c r="L28" s="9">
        <v>26</v>
      </c>
      <c r="M28" s="8">
        <f t="shared" si="0"/>
        <v>1.9002927007802071</v>
      </c>
      <c r="N28" s="22">
        <v>40</v>
      </c>
      <c r="O28" s="31">
        <v>1.1519999999999999</v>
      </c>
    </row>
    <row r="29" spans="2:15" x14ac:dyDescent="0.2">
      <c r="L29" s="9">
        <v>27</v>
      </c>
      <c r="M29" s="8">
        <f t="shared" si="0"/>
        <v>1.9478000182997122</v>
      </c>
      <c r="N29" s="22">
        <v>41</v>
      </c>
      <c r="O29" s="31">
        <v>1.1519999999999999</v>
      </c>
    </row>
    <row r="30" spans="2:15" x14ac:dyDescent="0.2">
      <c r="L30" s="9">
        <v>28</v>
      </c>
      <c r="M30" s="8">
        <f t="shared" si="0"/>
        <v>1.9964950187572048</v>
      </c>
      <c r="N30" s="22">
        <v>42</v>
      </c>
      <c r="O30" s="31">
        <v>1.1519999999999999</v>
      </c>
    </row>
    <row r="31" spans="2:15" x14ac:dyDescent="0.2">
      <c r="L31" s="9">
        <v>29</v>
      </c>
      <c r="M31" s="8">
        <f t="shared" si="0"/>
        <v>2.0464073942261352</v>
      </c>
      <c r="N31" s="22">
        <v>43</v>
      </c>
      <c r="O31" s="31">
        <v>1.1519999999999999</v>
      </c>
    </row>
    <row r="32" spans="2:15" x14ac:dyDescent="0.2">
      <c r="L32" s="9">
        <v>30</v>
      </c>
      <c r="M32" s="8">
        <f t="shared" si="0"/>
        <v>2.097567579081788</v>
      </c>
      <c r="N32" s="22">
        <v>44</v>
      </c>
      <c r="O32" s="31">
        <v>1.1519999999999999</v>
      </c>
    </row>
    <row r="33" spans="12:15" x14ac:dyDescent="0.2">
      <c r="L33" s="9">
        <v>31</v>
      </c>
      <c r="M33" s="8">
        <f t="shared" si="0"/>
        <v>2.1500067685588333</v>
      </c>
      <c r="N33" s="22">
        <v>45</v>
      </c>
      <c r="O33" s="31">
        <v>0.93100000000000005</v>
      </c>
    </row>
    <row r="34" spans="12:15" x14ac:dyDescent="0.2">
      <c r="L34" s="9">
        <v>32</v>
      </c>
      <c r="M34" s="8">
        <f t="shared" ref="M34:M53" si="1">(1+experiencepremium)^L34</f>
        <v>2.2037569377728037</v>
      </c>
      <c r="N34" s="22">
        <v>46</v>
      </c>
      <c r="O34" s="31">
        <v>0.93100000000000005</v>
      </c>
    </row>
    <row r="35" spans="12:15" x14ac:dyDescent="0.2">
      <c r="L35" s="9">
        <v>33</v>
      </c>
      <c r="M35" s="8">
        <f t="shared" si="1"/>
        <v>2.2588508612171236</v>
      </c>
      <c r="N35" s="22">
        <v>47</v>
      </c>
      <c r="O35" s="31">
        <v>0.93100000000000005</v>
      </c>
    </row>
    <row r="36" spans="12:15" x14ac:dyDescent="0.2">
      <c r="L36" s="9">
        <v>34</v>
      </c>
      <c r="M36" s="8">
        <f t="shared" si="1"/>
        <v>2.3153221327475517</v>
      </c>
      <c r="N36" s="22">
        <v>48</v>
      </c>
      <c r="O36" s="31">
        <v>0.93100000000000005</v>
      </c>
    </row>
    <row r="37" spans="12:15" x14ac:dyDescent="0.2">
      <c r="L37" s="9">
        <v>35</v>
      </c>
      <c r="M37" s="8">
        <f t="shared" si="1"/>
        <v>2.3732051860662402</v>
      </c>
      <c r="N37" s="22">
        <v>49</v>
      </c>
      <c r="O37" s="31">
        <v>0.93100000000000005</v>
      </c>
    </row>
    <row r="38" spans="12:15" x14ac:dyDescent="0.2">
      <c r="L38" s="9">
        <v>36</v>
      </c>
      <c r="M38" s="8">
        <f t="shared" si="1"/>
        <v>2.4325353157178964</v>
      </c>
      <c r="N38" s="22">
        <v>50</v>
      </c>
      <c r="O38" s="31">
        <v>0.622</v>
      </c>
    </row>
    <row r="39" spans="12:15" x14ac:dyDescent="0.2">
      <c r="L39" s="9">
        <v>37</v>
      </c>
      <c r="M39" s="8">
        <f t="shared" si="1"/>
        <v>2.4933486986108435</v>
      </c>
      <c r="N39" s="22">
        <v>51</v>
      </c>
      <c r="O39" s="31">
        <v>0.622</v>
      </c>
    </row>
    <row r="40" spans="12:15" x14ac:dyDescent="0.2">
      <c r="L40" s="9">
        <v>38</v>
      </c>
      <c r="M40" s="8">
        <f t="shared" si="1"/>
        <v>2.555682416076114</v>
      </c>
      <c r="N40" s="22">
        <v>52</v>
      </c>
      <c r="O40" s="31">
        <v>0.622</v>
      </c>
    </row>
    <row r="41" spans="12:15" x14ac:dyDescent="0.2">
      <c r="L41" s="9">
        <v>39</v>
      </c>
      <c r="M41" s="8">
        <f t="shared" si="1"/>
        <v>2.6195744764780171</v>
      </c>
      <c r="N41" s="22">
        <v>53</v>
      </c>
      <c r="O41" s="31">
        <v>0.622</v>
      </c>
    </row>
    <row r="42" spans="12:15" x14ac:dyDescent="0.2">
      <c r="L42" s="9">
        <v>40</v>
      </c>
      <c r="M42" s="8">
        <f t="shared" si="1"/>
        <v>2.6850638383899672</v>
      </c>
      <c r="N42" s="22">
        <v>54</v>
      </c>
      <c r="O42" s="31">
        <v>0.622</v>
      </c>
    </row>
    <row r="43" spans="12:15" x14ac:dyDescent="0.2">
      <c r="L43" s="9">
        <v>41</v>
      </c>
      <c r="M43" s="8">
        <f t="shared" si="1"/>
        <v>2.7521904343497163</v>
      </c>
      <c r="N43" s="22">
        <v>55</v>
      </c>
      <c r="O43" s="31">
        <v>0.34499999999999997</v>
      </c>
    </row>
    <row r="44" spans="12:15" x14ac:dyDescent="0.2">
      <c r="L44" s="9">
        <v>42</v>
      </c>
      <c r="M44" s="8">
        <f t="shared" si="1"/>
        <v>2.8209951952084591</v>
      </c>
      <c r="N44" s="22">
        <v>56</v>
      </c>
      <c r="O44" s="31">
        <v>0.34499999999999997</v>
      </c>
    </row>
    <row r="45" spans="12:15" x14ac:dyDescent="0.2">
      <c r="L45" s="9">
        <v>43</v>
      </c>
      <c r="M45" s="8">
        <f t="shared" si="1"/>
        <v>2.8915200750886707</v>
      </c>
      <c r="N45" s="22">
        <v>57</v>
      </c>
      <c r="O45" s="31">
        <v>0.34499999999999997</v>
      </c>
    </row>
    <row r="46" spans="12:15" x14ac:dyDescent="0.2">
      <c r="L46" s="9">
        <v>44</v>
      </c>
      <c r="M46" s="8">
        <f t="shared" si="1"/>
        <v>2.9638080769658868</v>
      </c>
      <c r="N46" s="22">
        <v>58</v>
      </c>
      <c r="O46" s="31">
        <v>0.34499999999999997</v>
      </c>
    </row>
    <row r="47" spans="12:15" x14ac:dyDescent="0.2">
      <c r="L47" s="9">
        <v>45</v>
      </c>
      <c r="M47" s="8">
        <f t="shared" si="1"/>
        <v>3.0379032788900342</v>
      </c>
      <c r="N47" s="22">
        <v>59</v>
      </c>
      <c r="O47" s="31">
        <v>0.34499999999999997</v>
      </c>
    </row>
    <row r="48" spans="12:15" x14ac:dyDescent="0.2">
      <c r="L48" s="9">
        <v>46</v>
      </c>
      <c r="M48" s="8">
        <f t="shared" si="1"/>
        <v>3.1138508608622844</v>
      </c>
      <c r="N48" s="22">
        <v>60</v>
      </c>
      <c r="O48" s="31">
        <v>0.182</v>
      </c>
    </row>
    <row r="49" spans="12:15" x14ac:dyDescent="0.2">
      <c r="L49" s="9">
        <v>47</v>
      </c>
      <c r="M49" s="8">
        <f t="shared" si="1"/>
        <v>3.1916971323838421</v>
      </c>
      <c r="N49" s="22">
        <v>61</v>
      </c>
      <c r="O49" s="31">
        <v>0.182</v>
      </c>
    </row>
    <row r="50" spans="12:15" x14ac:dyDescent="0.2">
      <c r="L50" s="9">
        <v>48</v>
      </c>
      <c r="M50" s="8">
        <f t="shared" si="1"/>
        <v>3.2714895606934378</v>
      </c>
      <c r="N50" s="22">
        <v>62</v>
      </c>
      <c r="O50" s="31">
        <v>0.182</v>
      </c>
    </row>
    <row r="51" spans="12:15" x14ac:dyDescent="0.2">
      <c r="L51" s="9">
        <v>49</v>
      </c>
      <c r="M51" s="8">
        <f t="shared" si="1"/>
        <v>3.3532767997107733</v>
      </c>
      <c r="N51" s="22">
        <v>63</v>
      </c>
      <c r="O51" s="31">
        <v>0.182</v>
      </c>
    </row>
    <row r="52" spans="12:15" x14ac:dyDescent="0.2">
      <c r="L52" s="9">
        <v>50</v>
      </c>
      <c r="M52" s="8">
        <f t="shared" si="1"/>
        <v>3.4371087197035428</v>
      </c>
      <c r="N52" s="22">
        <v>64</v>
      </c>
      <c r="O52" s="31">
        <v>0.182</v>
      </c>
    </row>
    <row r="53" spans="12:15" x14ac:dyDescent="0.2">
      <c r="L53" s="9">
        <v>51</v>
      </c>
      <c r="M53" s="8">
        <f t="shared" si="1"/>
        <v>3.5230364376961316</v>
      </c>
      <c r="N53" s="22">
        <v>65</v>
      </c>
      <c r="O53" s="31">
        <v>5.5E-2</v>
      </c>
    </row>
    <row r="54" spans="12:15" x14ac:dyDescent="0.2">
      <c r="N54" s="22">
        <v>66</v>
      </c>
      <c r="O54" s="31">
        <v>5.5E-2</v>
      </c>
    </row>
    <row r="55" spans="12:15" x14ac:dyDescent="0.2">
      <c r="N55" s="22">
        <v>67</v>
      </c>
      <c r="O55" s="31">
        <v>5.5E-2</v>
      </c>
    </row>
    <row r="56" spans="12:15" x14ac:dyDescent="0.2">
      <c r="N56" s="22">
        <v>68</v>
      </c>
      <c r="O56" s="31">
        <v>5.5E-2</v>
      </c>
    </row>
    <row r="57" spans="12:15" x14ac:dyDescent="0.2">
      <c r="N57" s="22">
        <v>69</v>
      </c>
      <c r="O57" s="31">
        <v>5.5E-2</v>
      </c>
    </row>
    <row r="58" spans="12:15" x14ac:dyDescent="0.2">
      <c r="N58" s="22">
        <v>70</v>
      </c>
      <c r="O58" s="31">
        <v>5.5E-2</v>
      </c>
    </row>
    <row r="59" spans="12:15" x14ac:dyDescent="0.2">
      <c r="N59" s="22">
        <v>71</v>
      </c>
      <c r="O59" s="31">
        <v>5.5E-2</v>
      </c>
    </row>
    <row r="60" spans="12:15" x14ac:dyDescent="0.2">
      <c r="N60" s="22">
        <v>72</v>
      </c>
      <c r="O60" s="31">
        <v>5.5E-2</v>
      </c>
    </row>
    <row r="61" spans="12:15" x14ac:dyDescent="0.2">
      <c r="N61" s="22">
        <v>73</v>
      </c>
      <c r="O61" s="31">
        <v>5.5E-2</v>
      </c>
    </row>
    <row r="62" spans="12:15" x14ac:dyDescent="0.2">
      <c r="N62" s="22">
        <v>74</v>
      </c>
      <c r="O62" s="31">
        <v>5.5E-2</v>
      </c>
    </row>
    <row r="63" spans="12:15" x14ac:dyDescent="0.2">
      <c r="N63" s="22">
        <v>75</v>
      </c>
      <c r="O63" s="31">
        <v>5.5E-2</v>
      </c>
    </row>
    <row r="64" spans="12:15" x14ac:dyDescent="0.2">
      <c r="N64" s="22">
        <v>76</v>
      </c>
      <c r="O64" s="31">
        <v>5.5E-2</v>
      </c>
    </row>
    <row r="65" spans="14:15" x14ac:dyDescent="0.2">
      <c r="N65" s="22">
        <v>77</v>
      </c>
      <c r="O65" s="31">
        <v>5.5E-2</v>
      </c>
    </row>
    <row r="66" spans="14:15" x14ac:dyDescent="0.2">
      <c r="N66" s="22">
        <v>78</v>
      </c>
      <c r="O66" s="31">
        <v>5.5E-2</v>
      </c>
    </row>
    <row r="67" spans="14:15" x14ac:dyDescent="0.2">
      <c r="N67" s="22">
        <v>79</v>
      </c>
      <c r="O67" s="31">
        <v>5.5E-2</v>
      </c>
    </row>
    <row r="68" spans="14:15" x14ac:dyDescent="0.2">
      <c r="N68" s="22">
        <v>80</v>
      </c>
      <c r="O68" s="31">
        <v>5.5E-2</v>
      </c>
    </row>
    <row r="69" spans="14:15" x14ac:dyDescent="0.2">
      <c r="N69" s="22">
        <v>81</v>
      </c>
      <c r="O69" s="31">
        <v>5.5E-2</v>
      </c>
    </row>
    <row r="70" spans="14:15" x14ac:dyDescent="0.2">
      <c r="N70" s="22">
        <v>82</v>
      </c>
      <c r="O70" s="31">
        <v>5.5E-2</v>
      </c>
    </row>
    <row r="71" spans="14:15" x14ac:dyDescent="0.2">
      <c r="N71" s="22">
        <v>83</v>
      </c>
      <c r="O71" s="31">
        <v>5.5E-2</v>
      </c>
    </row>
    <row r="72" spans="14:15" x14ac:dyDescent="0.2">
      <c r="N72" s="22">
        <v>84</v>
      </c>
      <c r="O72" s="31">
        <v>5.5E-2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Q2" sqref="Q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Meta!A9+6</f>
        <v>21</v>
      </c>
      <c r="C2" s="7">
        <f>Meta!B9</f>
        <v>133180</v>
      </c>
      <c r="D2" s="7">
        <f>Meta!C9</f>
        <v>59021</v>
      </c>
      <c r="E2" s="1">
        <f>Meta!D9</f>
        <v>4.2000000000000003E-2</v>
      </c>
      <c r="F2" s="1">
        <f>Meta!F9</f>
        <v>0.73</v>
      </c>
      <c r="G2" s="1">
        <f>Meta!I9</f>
        <v>1.8114695812355892</v>
      </c>
      <c r="H2" s="1">
        <f>Meta!E9</f>
        <v>0.81200000000000006</v>
      </c>
      <c r="I2" s="13"/>
      <c r="J2" s="1">
        <f>Meta!X8</f>
        <v>0.77</v>
      </c>
      <c r="K2" s="1">
        <f>Meta!D8</f>
        <v>4.2999999999999997E-2</v>
      </c>
      <c r="L2" s="29"/>
      <c r="N2" s="22">
        <f>Meta!T9</f>
        <v>166627</v>
      </c>
      <c r="O2" s="22">
        <f>Meta!U9</f>
        <v>71989</v>
      </c>
      <c r="P2" s="1">
        <f>Meta!V9</f>
        <v>3.4000000000000002E-2</v>
      </c>
      <c r="Q2" s="1">
        <f>Meta!X9</f>
        <v>0.77300000000000002</v>
      </c>
      <c r="R2" s="22">
        <f>Meta!W9</f>
        <v>1001</v>
      </c>
      <c r="T2" s="12">
        <f>IRR(S5:S69)+1</f>
        <v>1.0399174704696361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B11" s="1">
        <v>1</v>
      </c>
      <c r="C11" s="5">
        <f>0.1*Grade14!C11</f>
        <v>6912.5643017404627</v>
      </c>
      <c r="D11" s="5">
        <f t="shared" ref="D11:D36" si="0">IF(A11&lt;startage,1,0)*(C11*(1-initialunempprob))+IF(A11=startage,1,0)*(C11*(1-unempprob))+IF(A11&gt;startage,1,0)*(C11*(1-unempprob)+unempprob*300*52)</f>
        <v>6615.3240367656226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506.07228881257009</v>
      </c>
      <c r="G11" s="5">
        <f t="shared" ref="G11:G56" si="3">D11-F11</f>
        <v>6109.2517479530525</v>
      </c>
      <c r="H11" s="22">
        <f>0.1*Grade14!H11</f>
        <v>3080.6288752762862</v>
      </c>
      <c r="I11" s="5">
        <f t="shared" ref="I11:I36" si="4">G11+IF(A11&lt;startage,1,0)*(H11*(1-initialunempprob))+IF(A11&gt;=startage,1,0)*(H11*(1-unempprob))</f>
        <v>9057.4135815924583</v>
      </c>
      <c r="J11" s="26">
        <f t="shared" ref="J11:J56" si="5">(F11-(IF(A11&gt;startage,1,0)*(unempprob*300*52)))/(IF(A11&lt;startage,1,0)*((C11+H11)*(1-initialunempprob))+IF(A11&gt;=startage,1,0)*((C11+H11)*(1-unempprob)))</f>
        <v>5.2917136666521494E-2</v>
      </c>
      <c r="L11" s="22">
        <f>0.1*Grade14!L11</f>
        <v>11867.497922614462</v>
      </c>
      <c r="M11" s="5">
        <f>scrimecost*Meta!O8</f>
        <v>3377.3740000000003</v>
      </c>
      <c r="N11" s="5">
        <f>L11-Grade14!L11</f>
        <v>-106807.48130353015</v>
      </c>
      <c r="O11" s="5"/>
      <c r="P11" s="22"/>
      <c r="Q11" s="22">
        <f>0.05*feel*Grade14!G11</f>
        <v>631.94436691191197</v>
      </c>
      <c r="R11" s="22">
        <f>coltuition</f>
        <v>8279</v>
      </c>
      <c r="S11" s="22">
        <f t="shared" ref="S11:S42" si="6">IF(A11&lt;startage,1,0)*(N11-Q11-R11)+IF(A11&gt;=startage,1,0)*completionprob*(N11*spart+O11+P11)</f>
        <v>-115718.42567044205</v>
      </c>
      <c r="T11" s="22">
        <f t="shared" ref="T11:T42" si="7">S11/sreturn^(A11-startage+1)</f>
        <v>-115718.42567044205</v>
      </c>
    </row>
    <row r="12" spans="1:20" x14ac:dyDescent="0.2">
      <c r="A12" s="5">
        <v>21</v>
      </c>
      <c r="B12" s="1">
        <f t="shared" ref="B12:B36" si="8">(1+experiencepremium)^(A12-startage)</f>
        <v>1</v>
      </c>
      <c r="C12" s="5">
        <f t="shared" ref="C12:C36" si="9">pretaxincome*B12/expnorm</f>
        <v>73520.417554656902</v>
      </c>
      <c r="D12" s="5">
        <f t="shared" si="0"/>
        <v>70432.560017361306</v>
      </c>
      <c r="E12" s="5">
        <f t="shared" si="1"/>
        <v>60932.560017361306</v>
      </c>
      <c r="F12" s="5">
        <f t="shared" si="2"/>
        <v>22839.486847404598</v>
      </c>
      <c r="G12" s="5">
        <f t="shared" si="3"/>
        <v>47593.073169956711</v>
      </c>
      <c r="H12" s="22">
        <f t="shared" ref="H12:H36" si="10">benefits*B12/expnorm</f>
        <v>32581.833342043887</v>
      </c>
      <c r="I12" s="5">
        <f t="shared" si="4"/>
        <v>78806.469511634758</v>
      </c>
      <c r="J12" s="26">
        <f t="shared" si="5"/>
        <v>0.22469646275676453</v>
      </c>
      <c r="L12" s="22">
        <f t="shared" ref="L12:L36" si="11">(sincome+sbenefits)*(1-sunemp)*B12/expnorm</f>
        <v>127246.44034197673</v>
      </c>
      <c r="M12" s="5">
        <f>scrimecost*Meta!O9</f>
        <v>3067.0639999999999</v>
      </c>
      <c r="N12" s="5">
        <f>L12-Grade14!L12</f>
        <v>5604.586635178508</v>
      </c>
      <c r="O12" s="5">
        <f>Grade14!M12-M12</f>
        <v>24.512000000000171</v>
      </c>
      <c r="P12" s="22">
        <f t="shared" ref="P12:P56" si="12">(spart-initialspart)*(L12*J12+nptrans)</f>
        <v>105.43747512969558</v>
      </c>
      <c r="Q12" s="22"/>
      <c r="R12" s="22"/>
      <c r="S12" s="22">
        <f t="shared" si="6"/>
        <v>3623.3834946276179</v>
      </c>
      <c r="T12" s="22">
        <f t="shared" si="7"/>
        <v>3484.2990886490879</v>
      </c>
    </row>
    <row r="13" spans="1:20" x14ac:dyDescent="0.2">
      <c r="A13" s="5">
        <v>22</v>
      </c>
      <c r="B13" s="1">
        <f t="shared" si="8"/>
        <v>1.0249999999999999</v>
      </c>
      <c r="C13" s="5">
        <f t="shared" si="9"/>
        <v>75358.427993523321</v>
      </c>
      <c r="D13" s="5">
        <f t="shared" si="0"/>
        <v>72848.574017795341</v>
      </c>
      <c r="E13" s="5">
        <f t="shared" si="1"/>
        <v>63348.574017795341</v>
      </c>
      <c r="F13" s="5">
        <f t="shared" si="2"/>
        <v>23869.916818589714</v>
      </c>
      <c r="G13" s="5">
        <f t="shared" si="3"/>
        <v>48978.657199205627</v>
      </c>
      <c r="H13" s="22">
        <f t="shared" si="10"/>
        <v>33396.379175594979</v>
      </c>
      <c r="I13" s="5">
        <f t="shared" si="4"/>
        <v>80972.38844942562</v>
      </c>
      <c r="J13" s="26">
        <f t="shared" si="5"/>
        <v>0.22281756229690031</v>
      </c>
      <c r="L13" s="22">
        <f t="shared" si="11"/>
        <v>130427.60135052615</v>
      </c>
      <c r="M13" s="5">
        <f>scrimecost*Meta!O10</f>
        <v>2810.808</v>
      </c>
      <c r="N13" s="5">
        <f>L13-Grade14!L13</f>
        <v>5744.7013010579831</v>
      </c>
      <c r="O13" s="5">
        <f>Grade14!M13-M13</f>
        <v>22.463999999999942</v>
      </c>
      <c r="P13" s="22">
        <f t="shared" si="12"/>
        <v>106.84668056746851</v>
      </c>
      <c r="Q13" s="22"/>
      <c r="R13" s="22"/>
      <c r="S13" s="22">
        <f t="shared" si="6"/>
        <v>3710.8114064636557</v>
      </c>
      <c r="T13" s="22">
        <f t="shared" si="7"/>
        <v>3431.3983189819091</v>
      </c>
    </row>
    <row r="14" spans="1:20" x14ac:dyDescent="0.2">
      <c r="A14" s="5">
        <v>23</v>
      </c>
      <c r="B14" s="1">
        <f t="shared" si="8"/>
        <v>1.0506249999999999</v>
      </c>
      <c r="C14" s="5">
        <f t="shared" si="9"/>
        <v>77242.388693361398</v>
      </c>
      <c r="D14" s="5">
        <f t="shared" si="0"/>
        <v>74653.408368240212</v>
      </c>
      <c r="E14" s="5">
        <f t="shared" si="1"/>
        <v>65153.408368240212</v>
      </c>
      <c r="F14" s="5">
        <f t="shared" si="2"/>
        <v>24639.678669054454</v>
      </c>
      <c r="G14" s="5">
        <f t="shared" si="3"/>
        <v>50013.729699185758</v>
      </c>
      <c r="H14" s="22">
        <f t="shared" si="10"/>
        <v>34231.288654984855</v>
      </c>
      <c r="I14" s="5">
        <f t="shared" si="4"/>
        <v>82807.304230661248</v>
      </c>
      <c r="J14" s="26">
        <f t="shared" si="5"/>
        <v>0.22459105015202724</v>
      </c>
      <c r="L14" s="22">
        <f t="shared" si="11"/>
        <v>133688.2913842893</v>
      </c>
      <c r="M14" s="5">
        <f>scrimecost*Meta!O11</f>
        <v>2626.6240000000003</v>
      </c>
      <c r="N14" s="5">
        <f>L14-Grade14!L14</f>
        <v>5888.318833584417</v>
      </c>
      <c r="O14" s="5">
        <f>Grade14!M14-M14</f>
        <v>20.991999999999734</v>
      </c>
      <c r="P14" s="22">
        <f t="shared" si="12"/>
        <v>109.73758126508335</v>
      </c>
      <c r="Q14" s="22"/>
      <c r="R14" s="22"/>
      <c r="S14" s="22">
        <f t="shared" si="6"/>
        <v>3802.1088321761799</v>
      </c>
      <c r="T14" s="22">
        <f t="shared" si="7"/>
        <v>3380.8657122238551</v>
      </c>
    </row>
    <row r="15" spans="1:20" x14ac:dyDescent="0.2">
      <c r="A15" s="5">
        <v>24</v>
      </c>
      <c r="B15" s="1">
        <f t="shared" si="8"/>
        <v>1.0768906249999999</v>
      </c>
      <c r="C15" s="5">
        <f t="shared" si="9"/>
        <v>79173.448410695433</v>
      </c>
      <c r="D15" s="5">
        <f t="shared" si="0"/>
        <v>76503.363577446216</v>
      </c>
      <c r="E15" s="5">
        <f t="shared" si="1"/>
        <v>67003.363577446216</v>
      </c>
      <c r="F15" s="5">
        <f t="shared" si="2"/>
        <v>25428.684565780812</v>
      </c>
      <c r="G15" s="5">
        <f t="shared" si="3"/>
        <v>51074.679011665401</v>
      </c>
      <c r="H15" s="22">
        <f t="shared" si="10"/>
        <v>35087.070871359479</v>
      </c>
      <c r="I15" s="5">
        <f t="shared" si="4"/>
        <v>84688.092906427773</v>
      </c>
      <c r="J15" s="26">
        <f t="shared" si="5"/>
        <v>0.22632128220580958</v>
      </c>
      <c r="L15" s="22">
        <f t="shared" si="11"/>
        <v>137030.49866889653</v>
      </c>
      <c r="M15" s="5">
        <f>scrimecost*Meta!O12</f>
        <v>2509.5070000000001</v>
      </c>
      <c r="N15" s="5">
        <f>L15-Grade14!L15</f>
        <v>6035.5268044240365</v>
      </c>
      <c r="O15" s="5">
        <f>Grade14!M15-M15</f>
        <v>20.05600000000004</v>
      </c>
      <c r="P15" s="22">
        <f t="shared" si="12"/>
        <v>112.70075448013854</v>
      </c>
      <c r="Q15" s="22"/>
      <c r="R15" s="22"/>
      <c r="S15" s="22">
        <f t="shared" si="6"/>
        <v>3896.1538071315335</v>
      </c>
      <c r="T15" s="22">
        <f t="shared" si="7"/>
        <v>3331.5059682203769</v>
      </c>
    </row>
    <row r="16" spans="1:20" x14ac:dyDescent="0.2">
      <c r="A16" s="5">
        <v>25</v>
      </c>
      <c r="B16" s="1">
        <f t="shared" si="8"/>
        <v>1.1038128906249998</v>
      </c>
      <c r="C16" s="5">
        <f t="shared" si="9"/>
        <v>81152.784620962804</v>
      </c>
      <c r="D16" s="5">
        <f t="shared" si="0"/>
        <v>78399.567666882358</v>
      </c>
      <c r="E16" s="5">
        <f t="shared" si="1"/>
        <v>68899.567666882358</v>
      </c>
      <c r="F16" s="5">
        <f t="shared" si="2"/>
        <v>26237.415609925327</v>
      </c>
      <c r="G16" s="5">
        <f t="shared" si="3"/>
        <v>52162.152056957028</v>
      </c>
      <c r="H16" s="22">
        <f t="shared" si="10"/>
        <v>35964.247643143462</v>
      </c>
      <c r="I16" s="5">
        <f t="shared" si="4"/>
        <v>86615.901299088466</v>
      </c>
      <c r="J16" s="26">
        <f t="shared" si="5"/>
        <v>0.22800931347779238</v>
      </c>
      <c r="L16" s="22">
        <f t="shared" si="11"/>
        <v>140456.26113561893</v>
      </c>
      <c r="M16" s="5">
        <f>scrimecost*Meta!O13</f>
        <v>2107.105</v>
      </c>
      <c r="N16" s="5">
        <f>L16-Grade14!L16</f>
        <v>6186.4149745346513</v>
      </c>
      <c r="O16" s="5">
        <f>Grade14!M16-M16</f>
        <v>16.840000000000146</v>
      </c>
      <c r="P16" s="22">
        <f t="shared" si="12"/>
        <v>115.7380070255701</v>
      </c>
      <c r="Q16" s="22"/>
      <c r="R16" s="22"/>
      <c r="S16" s="22">
        <f t="shared" si="6"/>
        <v>3990.7175472607755</v>
      </c>
      <c r="T16" s="22">
        <f t="shared" si="7"/>
        <v>3281.3806959303429</v>
      </c>
    </row>
    <row r="17" spans="1:20" x14ac:dyDescent="0.2">
      <c r="A17" s="5">
        <v>26</v>
      </c>
      <c r="B17" s="1">
        <f t="shared" si="8"/>
        <v>1.1314082128906247</v>
      </c>
      <c r="C17" s="5">
        <f t="shared" si="9"/>
        <v>83181.604236486877</v>
      </c>
      <c r="D17" s="5">
        <f t="shared" si="0"/>
        <v>80343.17685855442</v>
      </c>
      <c r="E17" s="5">
        <f t="shared" si="1"/>
        <v>70843.17685855442</v>
      </c>
      <c r="F17" s="5">
        <f t="shared" si="2"/>
        <v>27066.364930173462</v>
      </c>
      <c r="G17" s="5">
        <f t="shared" si="3"/>
        <v>53276.811928380957</v>
      </c>
      <c r="H17" s="22">
        <f t="shared" si="10"/>
        <v>36863.353834222042</v>
      </c>
      <c r="I17" s="5">
        <f t="shared" si="4"/>
        <v>88591.904901565664</v>
      </c>
      <c r="J17" s="26">
        <f t="shared" si="5"/>
        <v>0.22965617325533663</v>
      </c>
      <c r="L17" s="22">
        <f t="shared" si="11"/>
        <v>143967.66766400938</v>
      </c>
      <c r="M17" s="5">
        <f>scrimecost*Meta!O14</f>
        <v>2107.105</v>
      </c>
      <c r="N17" s="5">
        <f>L17-Grade14!L17</f>
        <v>6341.0753488980117</v>
      </c>
      <c r="O17" s="5">
        <f>Grade14!M17-M17</f>
        <v>16.840000000000146</v>
      </c>
      <c r="P17" s="22">
        <f t="shared" si="12"/>
        <v>118.85119088463749</v>
      </c>
      <c r="Q17" s="22"/>
      <c r="R17" s="22"/>
      <c r="S17" s="22">
        <f t="shared" si="6"/>
        <v>4090.3220576932349</v>
      </c>
      <c r="T17" s="22">
        <f t="shared" si="7"/>
        <v>3234.180528183314</v>
      </c>
    </row>
    <row r="18" spans="1:20" x14ac:dyDescent="0.2">
      <c r="A18" s="5">
        <v>27</v>
      </c>
      <c r="B18" s="1">
        <f t="shared" si="8"/>
        <v>1.1596934182128902</v>
      </c>
      <c r="C18" s="5">
        <f t="shared" si="9"/>
        <v>85261.144342399042</v>
      </c>
      <c r="D18" s="5">
        <f t="shared" si="0"/>
        <v>82335.376280018274</v>
      </c>
      <c r="E18" s="5">
        <f t="shared" si="1"/>
        <v>72835.376280018274</v>
      </c>
      <c r="F18" s="5">
        <f t="shared" si="2"/>
        <v>27916.037983427796</v>
      </c>
      <c r="G18" s="5">
        <f t="shared" si="3"/>
        <v>54419.338296590475</v>
      </c>
      <c r="H18" s="22">
        <f t="shared" si="10"/>
        <v>37784.937680077594</v>
      </c>
      <c r="I18" s="5">
        <f t="shared" si="4"/>
        <v>90617.308594104805</v>
      </c>
      <c r="J18" s="26">
        <f t="shared" si="5"/>
        <v>0.23126286572123342</v>
      </c>
      <c r="L18" s="22">
        <f t="shared" si="11"/>
        <v>147566.8593556096</v>
      </c>
      <c r="M18" s="5">
        <f>scrimecost*Meta!O15</f>
        <v>2107.105</v>
      </c>
      <c r="N18" s="5">
        <f>L18-Grade14!L18</f>
        <v>6499.6022326204402</v>
      </c>
      <c r="O18" s="5">
        <f>Grade14!M18-M18</f>
        <v>16.840000000000146</v>
      </c>
      <c r="P18" s="22">
        <f t="shared" si="12"/>
        <v>122.04220434018156</v>
      </c>
      <c r="Q18" s="22"/>
      <c r="R18" s="22"/>
      <c r="S18" s="22">
        <f t="shared" si="6"/>
        <v>4192.4166808864957</v>
      </c>
      <c r="T18" s="22">
        <f t="shared" si="7"/>
        <v>3187.6624004187115</v>
      </c>
    </row>
    <row r="19" spans="1:20" x14ac:dyDescent="0.2">
      <c r="A19" s="5">
        <v>28</v>
      </c>
      <c r="B19" s="1">
        <f t="shared" si="8"/>
        <v>1.1886857536682125</v>
      </c>
      <c r="C19" s="5">
        <f t="shared" si="9"/>
        <v>87392.672950959022</v>
      </c>
      <c r="D19" s="5">
        <f t="shared" si="0"/>
        <v>84377.38068701874</v>
      </c>
      <c r="E19" s="5">
        <f t="shared" si="1"/>
        <v>74877.38068701874</v>
      </c>
      <c r="F19" s="5">
        <f t="shared" si="2"/>
        <v>28786.952863013492</v>
      </c>
      <c r="G19" s="5">
        <f t="shared" si="3"/>
        <v>55590.427824005252</v>
      </c>
      <c r="H19" s="22">
        <f t="shared" si="10"/>
        <v>38729.561122079533</v>
      </c>
      <c r="I19" s="5">
        <f t="shared" si="4"/>
        <v>92693.347378957435</v>
      </c>
      <c r="J19" s="26">
        <f t="shared" si="5"/>
        <v>0.23283037056601077</v>
      </c>
      <c r="L19" s="22">
        <f t="shared" si="11"/>
        <v>151256.03083949984</v>
      </c>
      <c r="M19" s="5">
        <f>scrimecost*Meta!O16</f>
        <v>2107.105</v>
      </c>
      <c r="N19" s="5">
        <f>L19-Grade14!L19</f>
        <v>6662.0922884359607</v>
      </c>
      <c r="O19" s="5">
        <f>Grade14!M19-M19</f>
        <v>16.840000000000146</v>
      </c>
      <c r="P19" s="22">
        <f t="shared" si="12"/>
        <v>125.31299313211422</v>
      </c>
      <c r="Q19" s="22"/>
      <c r="R19" s="22"/>
      <c r="S19" s="22">
        <f t="shared" si="6"/>
        <v>4297.0636696596075</v>
      </c>
      <c r="T19" s="22">
        <f t="shared" si="7"/>
        <v>3141.8163384706304</v>
      </c>
    </row>
    <row r="20" spans="1:20" x14ac:dyDescent="0.2">
      <c r="A20" s="5">
        <v>29</v>
      </c>
      <c r="B20" s="1">
        <f t="shared" si="8"/>
        <v>1.2184028975099177</v>
      </c>
      <c r="C20" s="5">
        <f t="shared" si="9"/>
        <v>89577.489774732981</v>
      </c>
      <c r="D20" s="5">
        <f t="shared" si="0"/>
        <v>86470.435204194189</v>
      </c>
      <c r="E20" s="5">
        <f t="shared" si="1"/>
        <v>76970.435204194189</v>
      </c>
      <c r="F20" s="5">
        <f t="shared" si="2"/>
        <v>29679.640614588821</v>
      </c>
      <c r="G20" s="5">
        <f t="shared" si="3"/>
        <v>56790.794589605372</v>
      </c>
      <c r="H20" s="22">
        <f t="shared" si="10"/>
        <v>39697.800150131523</v>
      </c>
      <c r="I20" s="5">
        <f t="shared" si="4"/>
        <v>94821.287133431368</v>
      </c>
      <c r="J20" s="26">
        <f t="shared" si="5"/>
        <v>0.2343596435853057</v>
      </c>
      <c r="L20" s="22">
        <f t="shared" si="11"/>
        <v>155037.43161048731</v>
      </c>
      <c r="M20" s="5">
        <f>scrimecost*Meta!O17</f>
        <v>2107.105</v>
      </c>
      <c r="N20" s="5">
        <f>L20-Grade14!L20</f>
        <v>6828.6445956468524</v>
      </c>
      <c r="O20" s="5">
        <f>Grade14!M20-M20</f>
        <v>16.840000000000146</v>
      </c>
      <c r="P20" s="22">
        <f t="shared" si="12"/>
        <v>128.66555164384516</v>
      </c>
      <c r="Q20" s="22"/>
      <c r="R20" s="22"/>
      <c r="S20" s="22">
        <f t="shared" si="6"/>
        <v>4404.3268331520367</v>
      </c>
      <c r="T20" s="22">
        <f t="shared" si="7"/>
        <v>3096.6325185596006</v>
      </c>
    </row>
    <row r="21" spans="1:20" x14ac:dyDescent="0.2">
      <c r="A21" s="5">
        <v>30</v>
      </c>
      <c r="B21" s="1">
        <f t="shared" si="8"/>
        <v>1.2488629699476654</v>
      </c>
      <c r="C21" s="5">
        <f t="shared" si="9"/>
        <v>91816.927019101291</v>
      </c>
      <c r="D21" s="5">
        <f t="shared" si="0"/>
        <v>88615.816084299033</v>
      </c>
      <c r="E21" s="5">
        <f t="shared" si="1"/>
        <v>79115.816084299033</v>
      </c>
      <c r="F21" s="5">
        <f t="shared" si="2"/>
        <v>30594.64555995354</v>
      </c>
      <c r="G21" s="5">
        <f t="shared" si="3"/>
        <v>58021.170524345493</v>
      </c>
      <c r="H21" s="22">
        <f t="shared" si="10"/>
        <v>40690.245153884796</v>
      </c>
      <c r="I21" s="5">
        <f t="shared" si="4"/>
        <v>97002.425381767127</v>
      </c>
      <c r="J21" s="26">
        <f t="shared" si="5"/>
        <v>0.23585161726266674</v>
      </c>
      <c r="L21" s="22">
        <f t="shared" si="11"/>
        <v>158913.3674007495</v>
      </c>
      <c r="M21" s="5">
        <f>scrimecost*Meta!O18</f>
        <v>1698.6970000000001</v>
      </c>
      <c r="N21" s="5">
        <f>L21-Grade14!L21</f>
        <v>6999.3607105380215</v>
      </c>
      <c r="O21" s="5">
        <f>Grade14!M21-M21</f>
        <v>13.576000000000022</v>
      </c>
      <c r="P21" s="22">
        <f t="shared" si="12"/>
        <v>132.10192411836945</v>
      </c>
      <c r="Q21" s="22"/>
      <c r="R21" s="22"/>
      <c r="S21" s="22">
        <f t="shared" si="6"/>
        <v>4511.6212077317796</v>
      </c>
      <c r="T21" s="22">
        <f t="shared" si="7"/>
        <v>3050.3093497275918</v>
      </c>
    </row>
    <row r="22" spans="1:20" x14ac:dyDescent="0.2">
      <c r="A22" s="5">
        <v>31</v>
      </c>
      <c r="B22" s="1">
        <f t="shared" si="8"/>
        <v>1.2800845441963571</v>
      </c>
      <c r="C22" s="5">
        <f t="shared" si="9"/>
        <v>94112.350194578845</v>
      </c>
      <c r="D22" s="5">
        <f t="shared" si="0"/>
        <v>90814.831486406532</v>
      </c>
      <c r="E22" s="5">
        <f t="shared" si="1"/>
        <v>81314.831486406532</v>
      </c>
      <c r="F22" s="5">
        <f t="shared" si="2"/>
        <v>31532.52562895239</v>
      </c>
      <c r="G22" s="5">
        <f t="shared" si="3"/>
        <v>59282.305857454143</v>
      </c>
      <c r="H22" s="22">
        <f t="shared" si="10"/>
        <v>41707.501282731922</v>
      </c>
      <c r="I22" s="5">
        <f t="shared" si="4"/>
        <v>99238.092086311313</v>
      </c>
      <c r="J22" s="26">
        <f t="shared" si="5"/>
        <v>0.2373072013381409</v>
      </c>
      <c r="L22" s="22">
        <f t="shared" si="11"/>
        <v>162886.20158576823</v>
      </c>
      <c r="M22" s="5">
        <f>scrimecost*Meta!O19</f>
        <v>1698.6970000000001</v>
      </c>
      <c r="N22" s="5">
        <f>L22-Grade14!L22</f>
        <v>7174.344728301483</v>
      </c>
      <c r="O22" s="5">
        <f>Grade14!M22-M22</f>
        <v>13.576000000000022</v>
      </c>
      <c r="P22" s="22">
        <f t="shared" si="12"/>
        <v>135.62420590475685</v>
      </c>
      <c r="Q22" s="22"/>
      <c r="R22" s="22"/>
      <c r="S22" s="22">
        <f t="shared" si="6"/>
        <v>4624.3145688760251</v>
      </c>
      <c r="T22" s="22">
        <f t="shared" si="7"/>
        <v>3006.489915027852</v>
      </c>
    </row>
    <row r="23" spans="1:20" x14ac:dyDescent="0.2">
      <c r="A23" s="5">
        <v>32</v>
      </c>
      <c r="B23" s="1">
        <f t="shared" si="8"/>
        <v>1.312086657801266</v>
      </c>
      <c r="C23" s="5">
        <f t="shared" si="9"/>
        <v>96465.158949443299</v>
      </c>
      <c r="D23" s="5">
        <f t="shared" si="0"/>
        <v>93068.822273566679</v>
      </c>
      <c r="E23" s="5">
        <f t="shared" si="1"/>
        <v>83568.822273566679</v>
      </c>
      <c r="F23" s="5">
        <f t="shared" si="2"/>
        <v>32493.85269967619</v>
      </c>
      <c r="G23" s="5">
        <f t="shared" si="3"/>
        <v>60574.969573890485</v>
      </c>
      <c r="H23" s="22">
        <f t="shared" si="10"/>
        <v>42750.188814800218</v>
      </c>
      <c r="I23" s="5">
        <f t="shared" si="4"/>
        <v>101529.65045846908</v>
      </c>
      <c r="J23" s="26">
        <f t="shared" si="5"/>
        <v>0.23872728336299365</v>
      </c>
      <c r="L23" s="22">
        <f t="shared" si="11"/>
        <v>166958.35662541245</v>
      </c>
      <c r="M23" s="5">
        <f>scrimecost*Meta!O20</f>
        <v>1698.6970000000001</v>
      </c>
      <c r="N23" s="5">
        <f>L23-Grade14!L23</f>
        <v>7353.7033465090208</v>
      </c>
      <c r="O23" s="5">
        <f>Grade14!M23-M23</f>
        <v>13.576000000000022</v>
      </c>
      <c r="P23" s="22">
        <f t="shared" si="12"/>
        <v>139.23454473580389</v>
      </c>
      <c r="Q23" s="22"/>
      <c r="R23" s="22"/>
      <c r="S23" s="22">
        <f t="shared" si="6"/>
        <v>4739.825264048869</v>
      </c>
      <c r="T23" s="22">
        <f t="shared" si="7"/>
        <v>2963.3014889412088</v>
      </c>
    </row>
    <row r="24" spans="1:20" x14ac:dyDescent="0.2">
      <c r="A24" s="5">
        <v>33</v>
      </c>
      <c r="B24" s="1">
        <f t="shared" si="8"/>
        <v>1.3448888242462975</v>
      </c>
      <c r="C24" s="5">
        <f t="shared" si="9"/>
        <v>98876.787923179378</v>
      </c>
      <c r="D24" s="5">
        <f t="shared" si="0"/>
        <v>95379.162830405839</v>
      </c>
      <c r="E24" s="5">
        <f t="shared" si="1"/>
        <v>85879.162830405839</v>
      </c>
      <c r="F24" s="5">
        <f t="shared" si="2"/>
        <v>33547.587832080266</v>
      </c>
      <c r="G24" s="5">
        <f t="shared" si="3"/>
        <v>61831.574998325574</v>
      </c>
      <c r="H24" s="22">
        <f t="shared" si="10"/>
        <v>43818.94353517022</v>
      </c>
      <c r="I24" s="5">
        <f t="shared" si="4"/>
        <v>103810.12290501865</v>
      </c>
      <c r="J24" s="26">
        <f t="shared" si="5"/>
        <v>0.24061290209466354</v>
      </c>
      <c r="L24" s="22">
        <f t="shared" si="11"/>
        <v>171132.31554104772</v>
      </c>
      <c r="M24" s="5">
        <f>scrimecost*Meta!O21</f>
        <v>1698.6970000000001</v>
      </c>
      <c r="N24" s="5">
        <f>L24-Grade14!L24</f>
        <v>7537.5459301717055</v>
      </c>
      <c r="O24" s="5">
        <f>Grade14!M24-M24</f>
        <v>13.576000000000022</v>
      </c>
      <c r="P24" s="22">
        <f t="shared" si="12"/>
        <v>143.19192925353369</v>
      </c>
      <c r="Q24" s="22"/>
      <c r="R24" s="22"/>
      <c r="S24" s="22">
        <f t="shared" si="6"/>
        <v>4858.432237820326</v>
      </c>
      <c r="T24" s="22">
        <f t="shared" si="7"/>
        <v>2920.8602823476153</v>
      </c>
    </row>
    <row r="25" spans="1:20" x14ac:dyDescent="0.2">
      <c r="A25" s="5">
        <v>34</v>
      </c>
      <c r="B25" s="1">
        <f t="shared" si="8"/>
        <v>1.3785110448524549</v>
      </c>
      <c r="C25" s="5">
        <f t="shared" si="9"/>
        <v>101348.70762125884</v>
      </c>
      <c r="D25" s="5">
        <f t="shared" si="0"/>
        <v>97747.26190116597</v>
      </c>
      <c r="E25" s="5">
        <f t="shared" si="1"/>
        <v>88247.26190116597</v>
      </c>
      <c r="F25" s="5">
        <f t="shared" si="2"/>
        <v>34628.625057882266</v>
      </c>
      <c r="G25" s="5">
        <f t="shared" si="3"/>
        <v>63118.636843283704</v>
      </c>
      <c r="H25" s="22">
        <f t="shared" si="10"/>
        <v>44914.41712354948</v>
      </c>
      <c r="I25" s="5">
        <f t="shared" si="4"/>
        <v>106146.64844764411</v>
      </c>
      <c r="J25" s="26">
        <f t="shared" si="5"/>
        <v>0.2424593722222273</v>
      </c>
      <c r="L25" s="22">
        <f t="shared" si="11"/>
        <v>175410.6234295739</v>
      </c>
      <c r="M25" s="5">
        <f>scrimecost*Meta!O22</f>
        <v>1698.6970000000001</v>
      </c>
      <c r="N25" s="5">
        <f>L25-Grade14!L25</f>
        <v>7725.9845784260251</v>
      </c>
      <c r="O25" s="5">
        <f>Grade14!M25-M25</f>
        <v>13.576000000000022</v>
      </c>
      <c r="P25" s="22">
        <f t="shared" si="12"/>
        <v>147.25184891353214</v>
      </c>
      <c r="Q25" s="22"/>
      <c r="R25" s="22"/>
      <c r="S25" s="22">
        <f t="shared" si="6"/>
        <v>4980.0073095659218</v>
      </c>
      <c r="T25" s="22">
        <f t="shared" si="7"/>
        <v>2879.0270096789122</v>
      </c>
    </row>
    <row r="26" spans="1:20" x14ac:dyDescent="0.2">
      <c r="A26" s="5">
        <v>35</v>
      </c>
      <c r="B26" s="1">
        <f t="shared" si="8"/>
        <v>1.4129738209737661</v>
      </c>
      <c r="C26" s="5">
        <f t="shared" si="9"/>
        <v>103882.42531179031</v>
      </c>
      <c r="D26" s="5">
        <f t="shared" si="0"/>
        <v>100174.56344869512</v>
      </c>
      <c r="E26" s="5">
        <f t="shared" si="1"/>
        <v>90674.563448695117</v>
      </c>
      <c r="F26" s="5">
        <f t="shared" si="2"/>
        <v>35736.688214329319</v>
      </c>
      <c r="G26" s="5">
        <f t="shared" si="3"/>
        <v>64437.875234365798</v>
      </c>
      <c r="H26" s="22">
        <f t="shared" si="10"/>
        <v>46037.277551638203</v>
      </c>
      <c r="I26" s="5">
        <f t="shared" si="4"/>
        <v>108541.58712883519</v>
      </c>
      <c r="J26" s="26">
        <f t="shared" si="5"/>
        <v>0.24426080649302129</v>
      </c>
      <c r="L26" s="22">
        <f t="shared" si="11"/>
        <v>179795.88901531324</v>
      </c>
      <c r="M26" s="5">
        <f>scrimecost*Meta!O23</f>
        <v>1318.317</v>
      </c>
      <c r="N26" s="5">
        <f>L26-Grade14!L26</f>
        <v>7919.1341928866168</v>
      </c>
      <c r="O26" s="5">
        <f>Grade14!M26-M26</f>
        <v>10.535999999999831</v>
      </c>
      <c r="P26" s="22">
        <f t="shared" si="12"/>
        <v>151.41326656503063</v>
      </c>
      <c r="Q26" s="22"/>
      <c r="R26" s="22"/>
      <c r="S26" s="22">
        <f t="shared" si="6"/>
        <v>5102.1532781051055</v>
      </c>
      <c r="T26" s="22">
        <f t="shared" si="7"/>
        <v>2836.4190018652062</v>
      </c>
    </row>
    <row r="27" spans="1:20" x14ac:dyDescent="0.2">
      <c r="A27" s="5">
        <v>36</v>
      </c>
      <c r="B27" s="1">
        <f t="shared" si="8"/>
        <v>1.4482981664981105</v>
      </c>
      <c r="C27" s="5">
        <f t="shared" si="9"/>
        <v>106479.48594458509</v>
      </c>
      <c r="D27" s="5">
        <f t="shared" si="0"/>
        <v>102662.5475349125</v>
      </c>
      <c r="E27" s="5">
        <f t="shared" si="1"/>
        <v>93162.547534912504</v>
      </c>
      <c r="F27" s="5">
        <f t="shared" si="2"/>
        <v>36872.452949687562</v>
      </c>
      <c r="G27" s="5">
        <f t="shared" si="3"/>
        <v>65790.094585224942</v>
      </c>
      <c r="H27" s="22">
        <f t="shared" si="10"/>
        <v>47188.209490429166</v>
      </c>
      <c r="I27" s="5">
        <f t="shared" si="4"/>
        <v>110996.39927705607</v>
      </c>
      <c r="J27" s="26">
        <f t="shared" si="5"/>
        <v>0.24601830334257635</v>
      </c>
      <c r="L27" s="22">
        <f t="shared" si="11"/>
        <v>184290.78624069609</v>
      </c>
      <c r="M27" s="5">
        <f>scrimecost*Meta!O24</f>
        <v>1318.317</v>
      </c>
      <c r="N27" s="5">
        <f>L27-Grade14!L27</f>
        <v>8117.1125477088499</v>
      </c>
      <c r="O27" s="5">
        <f>Grade14!M27-M27</f>
        <v>10.535999999999831</v>
      </c>
      <c r="P27" s="22">
        <f t="shared" si="12"/>
        <v>155.67871965781654</v>
      </c>
      <c r="Q27" s="22"/>
      <c r="R27" s="22"/>
      <c r="S27" s="22">
        <f t="shared" si="6"/>
        <v>5229.8830878578474</v>
      </c>
      <c r="T27" s="22">
        <f t="shared" si="7"/>
        <v>2795.8250438955597</v>
      </c>
    </row>
    <row r="28" spans="1:20" x14ac:dyDescent="0.2">
      <c r="A28" s="5">
        <v>37</v>
      </c>
      <c r="B28" s="1">
        <f t="shared" si="8"/>
        <v>1.4845056206605631</v>
      </c>
      <c r="C28" s="5">
        <f t="shared" si="9"/>
        <v>109141.4730931997</v>
      </c>
      <c r="D28" s="5">
        <f t="shared" si="0"/>
        <v>105212.73122328531</v>
      </c>
      <c r="E28" s="5">
        <f t="shared" si="1"/>
        <v>95712.731223285315</v>
      </c>
      <c r="F28" s="5">
        <f t="shared" si="2"/>
        <v>38036.611803429747</v>
      </c>
      <c r="G28" s="5">
        <f t="shared" si="3"/>
        <v>67176.11941985556</v>
      </c>
      <c r="H28" s="22">
        <f t="shared" si="10"/>
        <v>48367.914727689895</v>
      </c>
      <c r="I28" s="5">
        <f t="shared" si="4"/>
        <v>113512.58172898248</v>
      </c>
      <c r="J28" s="26">
        <f t="shared" si="5"/>
        <v>0.24773293441531305</v>
      </c>
      <c r="L28" s="22">
        <f t="shared" si="11"/>
        <v>188898.05589671351</v>
      </c>
      <c r="M28" s="5">
        <f>scrimecost*Meta!O25</f>
        <v>1318.317</v>
      </c>
      <c r="N28" s="5">
        <f>L28-Grade14!L28</f>
        <v>8320.040361401625</v>
      </c>
      <c r="O28" s="5">
        <f>Grade14!M28-M28</f>
        <v>10.535999999999831</v>
      </c>
      <c r="P28" s="22">
        <f t="shared" si="12"/>
        <v>160.05080907792214</v>
      </c>
      <c r="Q28" s="22"/>
      <c r="R28" s="22"/>
      <c r="S28" s="22">
        <f t="shared" si="6"/>
        <v>5360.8061428543997</v>
      </c>
      <c r="T28" s="22">
        <f t="shared" si="7"/>
        <v>2755.8097894633465</v>
      </c>
    </row>
    <row r="29" spans="1:20" x14ac:dyDescent="0.2">
      <c r="A29" s="5">
        <v>38</v>
      </c>
      <c r="B29" s="1">
        <f t="shared" si="8"/>
        <v>1.521618261177077</v>
      </c>
      <c r="C29" s="5">
        <f t="shared" si="9"/>
        <v>111870.00992052969</v>
      </c>
      <c r="D29" s="5">
        <f t="shared" si="0"/>
        <v>107826.66950386744</v>
      </c>
      <c r="E29" s="5">
        <f t="shared" si="1"/>
        <v>98326.669503867437</v>
      </c>
      <c r="F29" s="5">
        <f t="shared" si="2"/>
        <v>39166.221119275702</v>
      </c>
      <c r="G29" s="5">
        <f t="shared" si="3"/>
        <v>68660.448384591728</v>
      </c>
      <c r="H29" s="22">
        <f t="shared" si="10"/>
        <v>49577.112595882136</v>
      </c>
      <c r="I29" s="5">
        <f t="shared" si="4"/>
        <v>116155.32225144681</v>
      </c>
      <c r="J29" s="26">
        <f t="shared" si="5"/>
        <v>0.24899419149625818</v>
      </c>
      <c r="L29" s="22">
        <f t="shared" si="11"/>
        <v>193620.5072941313</v>
      </c>
      <c r="M29" s="5">
        <f>scrimecost*Meta!O26</f>
        <v>1318.317</v>
      </c>
      <c r="N29" s="5">
        <f>L29-Grade14!L29</f>
        <v>8528.0413704365783</v>
      </c>
      <c r="O29" s="5">
        <f>Grade14!M29-M29</f>
        <v>10.535999999999831</v>
      </c>
      <c r="P29" s="22">
        <f t="shared" si="12"/>
        <v>164.29314501239287</v>
      </c>
      <c r="Q29" s="22"/>
      <c r="R29" s="22"/>
      <c r="S29" s="22">
        <f t="shared" si="6"/>
        <v>5494.808160980213</v>
      </c>
      <c r="T29" s="22">
        <f t="shared" si="7"/>
        <v>2716.2691190319606</v>
      </c>
    </row>
    <row r="30" spans="1:20" x14ac:dyDescent="0.2">
      <c r="A30" s="5">
        <v>39</v>
      </c>
      <c r="B30" s="1">
        <f t="shared" si="8"/>
        <v>1.559658717706504</v>
      </c>
      <c r="C30" s="5">
        <f t="shared" si="9"/>
        <v>114666.76016854293</v>
      </c>
      <c r="D30" s="5">
        <f t="shared" si="0"/>
        <v>110505.95624146411</v>
      </c>
      <c r="E30" s="5">
        <f t="shared" si="1"/>
        <v>101005.95624146411</v>
      </c>
      <c r="F30" s="5">
        <f t="shared" si="2"/>
        <v>40223.199737257593</v>
      </c>
      <c r="G30" s="5">
        <f t="shared" si="3"/>
        <v>70282.756504206511</v>
      </c>
      <c r="H30" s="22">
        <f t="shared" si="10"/>
        <v>50816.540410779191</v>
      </c>
      <c r="I30" s="5">
        <f t="shared" si="4"/>
        <v>118965.00221773298</v>
      </c>
      <c r="J30" s="26">
        <f t="shared" si="5"/>
        <v>0.2495884090335426</v>
      </c>
      <c r="L30" s="22">
        <f t="shared" si="11"/>
        <v>198461.01997648462</v>
      </c>
      <c r="M30" s="5">
        <f>scrimecost*Meta!O27</f>
        <v>1318.317</v>
      </c>
      <c r="N30" s="5">
        <f>L30-Grade14!L30</f>
        <v>8741.2424046975502</v>
      </c>
      <c r="O30" s="5">
        <f>Grade14!M30-M30</f>
        <v>10.535999999999831</v>
      </c>
      <c r="P30" s="22">
        <f t="shared" si="12"/>
        <v>168.26271069331489</v>
      </c>
      <c r="Q30" s="22"/>
      <c r="R30" s="22"/>
      <c r="S30" s="22">
        <f t="shared" si="6"/>
        <v>5631.8526206939123</v>
      </c>
      <c r="T30" s="22">
        <f t="shared" si="7"/>
        <v>2677.1497735719845</v>
      </c>
    </row>
    <row r="31" spans="1:20" x14ac:dyDescent="0.2">
      <c r="A31" s="5">
        <v>40</v>
      </c>
      <c r="B31" s="1">
        <f t="shared" si="8"/>
        <v>1.5986501856491666</v>
      </c>
      <c r="C31" s="5">
        <f t="shared" si="9"/>
        <v>117533.4291727565</v>
      </c>
      <c r="D31" s="5">
        <f t="shared" si="0"/>
        <v>113252.22514750072</v>
      </c>
      <c r="E31" s="5">
        <f t="shared" si="1"/>
        <v>103752.22514750072</v>
      </c>
      <c r="F31" s="5">
        <f t="shared" si="2"/>
        <v>41306.602820689033</v>
      </c>
      <c r="G31" s="5">
        <f t="shared" si="3"/>
        <v>71945.622326811688</v>
      </c>
      <c r="H31" s="22">
        <f t="shared" si="10"/>
        <v>52086.953921048669</v>
      </c>
      <c r="I31" s="5">
        <f t="shared" si="4"/>
        <v>121844.92418317631</v>
      </c>
      <c r="J31" s="26">
        <f t="shared" si="5"/>
        <v>0.25016813346016153</v>
      </c>
      <c r="L31" s="22">
        <f t="shared" si="11"/>
        <v>203422.54547589671</v>
      </c>
      <c r="M31" s="5">
        <f>scrimecost*Meta!O28</f>
        <v>1153.1519999999998</v>
      </c>
      <c r="N31" s="5">
        <f>L31-Grade14!L31</f>
        <v>8959.7734648149926</v>
      </c>
      <c r="O31" s="5">
        <f>Grade14!M31-M31</f>
        <v>9.2160000000001219</v>
      </c>
      <c r="P31" s="22">
        <f t="shared" si="12"/>
        <v>172.33151551625988</v>
      </c>
      <c r="Q31" s="22"/>
      <c r="R31" s="22"/>
      <c r="S31" s="22">
        <f t="shared" si="6"/>
        <v>5771.2513519004196</v>
      </c>
      <c r="T31" s="22">
        <f t="shared" si="7"/>
        <v>2638.1075826163537</v>
      </c>
    </row>
    <row r="32" spans="1:20" x14ac:dyDescent="0.2">
      <c r="A32" s="5">
        <v>41</v>
      </c>
      <c r="B32" s="1">
        <f t="shared" si="8"/>
        <v>1.6386164402903955</v>
      </c>
      <c r="C32" s="5">
        <f t="shared" si="9"/>
        <v>120471.7649020754</v>
      </c>
      <c r="D32" s="5">
        <f t="shared" si="0"/>
        <v>116067.15077618822</v>
      </c>
      <c r="E32" s="5">
        <f t="shared" si="1"/>
        <v>106567.15077618822</v>
      </c>
      <c r="F32" s="5">
        <f t="shared" si="2"/>
        <v>42417.090981206253</v>
      </c>
      <c r="G32" s="5">
        <f t="shared" si="3"/>
        <v>73650.059794981964</v>
      </c>
      <c r="H32" s="22">
        <f t="shared" si="10"/>
        <v>53389.127769074876</v>
      </c>
      <c r="I32" s="5">
        <f t="shared" si="4"/>
        <v>124796.84419775569</v>
      </c>
      <c r="J32" s="26">
        <f t="shared" si="5"/>
        <v>0.25073371826661905</v>
      </c>
      <c r="L32" s="22">
        <f t="shared" si="11"/>
        <v>208508.1091127941</v>
      </c>
      <c r="M32" s="5">
        <f>scrimecost*Meta!O29</f>
        <v>1153.1519999999998</v>
      </c>
      <c r="N32" s="5">
        <f>L32-Grade14!L32</f>
        <v>9183.7678014353442</v>
      </c>
      <c r="O32" s="5">
        <f>Grade14!M32-M32</f>
        <v>9.2160000000001219</v>
      </c>
      <c r="P32" s="22">
        <f t="shared" si="12"/>
        <v>176.5020404597785</v>
      </c>
      <c r="Q32" s="22"/>
      <c r="R32" s="22"/>
      <c r="S32" s="22">
        <f t="shared" si="6"/>
        <v>5915.2336873870718</v>
      </c>
      <c r="T32" s="22">
        <f t="shared" si="7"/>
        <v>2600.1328914445853</v>
      </c>
    </row>
    <row r="33" spans="1:20" x14ac:dyDescent="0.2">
      <c r="A33" s="5">
        <v>42</v>
      </c>
      <c r="B33" s="1">
        <f t="shared" si="8"/>
        <v>1.6795818512976552</v>
      </c>
      <c r="C33" s="5">
        <f t="shared" si="9"/>
        <v>123483.55902462728</v>
      </c>
      <c r="D33" s="5">
        <f t="shared" si="0"/>
        <v>118952.44954559293</v>
      </c>
      <c r="E33" s="5">
        <f t="shared" si="1"/>
        <v>109452.44954559293</v>
      </c>
      <c r="F33" s="5">
        <f t="shared" si="2"/>
        <v>43555.341345736408</v>
      </c>
      <c r="G33" s="5">
        <f t="shared" si="3"/>
        <v>75397.108199856521</v>
      </c>
      <c r="H33" s="22">
        <f t="shared" si="10"/>
        <v>54723.855963301743</v>
      </c>
      <c r="I33" s="5">
        <f t="shared" si="4"/>
        <v>127822.56221269959</v>
      </c>
      <c r="J33" s="26">
        <f t="shared" si="5"/>
        <v>0.25128550832169955</v>
      </c>
      <c r="L33" s="22">
        <f t="shared" si="11"/>
        <v>213720.81184061395</v>
      </c>
      <c r="M33" s="5">
        <f>scrimecost*Meta!O30</f>
        <v>1153.1519999999998</v>
      </c>
      <c r="N33" s="5">
        <f>L33-Grade14!L33</f>
        <v>9413.3619964712416</v>
      </c>
      <c r="O33" s="5">
        <f>Grade14!M33-M33</f>
        <v>9.2160000000001219</v>
      </c>
      <c r="P33" s="22">
        <f t="shared" si="12"/>
        <v>180.77682852688508</v>
      </c>
      <c r="Q33" s="22"/>
      <c r="R33" s="22"/>
      <c r="S33" s="22">
        <f t="shared" si="6"/>
        <v>6062.8155812609139</v>
      </c>
      <c r="T33" s="22">
        <f t="shared" si="7"/>
        <v>2562.7079860014314</v>
      </c>
    </row>
    <row r="34" spans="1:20" x14ac:dyDescent="0.2">
      <c r="A34" s="5">
        <v>43</v>
      </c>
      <c r="B34" s="1">
        <f t="shared" si="8"/>
        <v>1.7215713975800966</v>
      </c>
      <c r="C34" s="5">
        <f t="shared" si="9"/>
        <v>126570.64800024295</v>
      </c>
      <c r="D34" s="5">
        <f t="shared" si="0"/>
        <v>121909.88078423274</v>
      </c>
      <c r="E34" s="5">
        <f t="shared" si="1"/>
        <v>112409.88078423274</v>
      </c>
      <c r="F34" s="5">
        <f t="shared" si="2"/>
        <v>44722.047969379819</v>
      </c>
      <c r="G34" s="5">
        <f t="shared" si="3"/>
        <v>77187.832814852911</v>
      </c>
      <c r="H34" s="22">
        <f t="shared" si="10"/>
        <v>56091.952362384291</v>
      </c>
      <c r="I34" s="5">
        <f t="shared" si="4"/>
        <v>130923.92317801705</v>
      </c>
      <c r="J34" s="26">
        <f t="shared" si="5"/>
        <v>0.25182384008275371</v>
      </c>
      <c r="L34" s="22">
        <f t="shared" si="11"/>
        <v>219063.83213662927</v>
      </c>
      <c r="M34" s="5">
        <f>scrimecost*Meta!O31</f>
        <v>1153.1519999999998</v>
      </c>
      <c r="N34" s="5">
        <f>L34-Grade14!L34</f>
        <v>9648.6960463829746</v>
      </c>
      <c r="O34" s="5">
        <f>Grade14!M34-M34</f>
        <v>9.2160000000001219</v>
      </c>
      <c r="P34" s="22">
        <f t="shared" si="12"/>
        <v>185.15848629566935</v>
      </c>
      <c r="Q34" s="22"/>
      <c r="R34" s="22"/>
      <c r="S34" s="22">
        <f t="shared" si="6"/>
        <v>6214.0870224815644</v>
      </c>
      <c r="T34" s="22">
        <f t="shared" si="7"/>
        <v>2525.8247860685674</v>
      </c>
    </row>
    <row r="35" spans="1:20" x14ac:dyDescent="0.2">
      <c r="A35" s="5">
        <v>44</v>
      </c>
      <c r="B35" s="1">
        <f t="shared" si="8"/>
        <v>1.7646106825195991</v>
      </c>
      <c r="C35" s="5">
        <f t="shared" si="9"/>
        <v>129734.91420024903</v>
      </c>
      <c r="D35" s="5">
        <f t="shared" si="0"/>
        <v>124941.24780383856</v>
      </c>
      <c r="E35" s="5">
        <f t="shared" si="1"/>
        <v>115441.24780383856</v>
      </c>
      <c r="F35" s="5">
        <f t="shared" si="2"/>
        <v>45917.922258614308</v>
      </c>
      <c r="G35" s="5">
        <f t="shared" si="3"/>
        <v>79023.325545224245</v>
      </c>
      <c r="H35" s="22">
        <f t="shared" si="10"/>
        <v>57494.251171443895</v>
      </c>
      <c r="I35" s="5">
        <f t="shared" si="4"/>
        <v>134102.81816746749</v>
      </c>
      <c r="J35" s="26">
        <f t="shared" si="5"/>
        <v>0.25234904180085527</v>
      </c>
      <c r="L35" s="22">
        <f t="shared" si="11"/>
        <v>224540.42794004499</v>
      </c>
      <c r="M35" s="5">
        <f>scrimecost*Meta!O32</f>
        <v>1153.1519999999998</v>
      </c>
      <c r="N35" s="5">
        <f>L35-Grade14!L35</f>
        <v>9889.9134475425526</v>
      </c>
      <c r="O35" s="5">
        <f>Grade14!M35-M35</f>
        <v>9.2160000000001219</v>
      </c>
      <c r="P35" s="22">
        <f t="shared" si="12"/>
        <v>189.6496855086732</v>
      </c>
      <c r="Q35" s="22"/>
      <c r="R35" s="22"/>
      <c r="S35" s="22">
        <f t="shared" si="6"/>
        <v>6369.1402497327626</v>
      </c>
      <c r="T35" s="22">
        <f t="shared" si="7"/>
        <v>2489.4753347694341</v>
      </c>
    </row>
    <row r="36" spans="1:20" x14ac:dyDescent="0.2">
      <c r="A36" s="5">
        <v>45</v>
      </c>
      <c r="B36" s="1">
        <f t="shared" si="8"/>
        <v>1.8087259495825889</v>
      </c>
      <c r="C36" s="5">
        <f t="shared" si="9"/>
        <v>132978.28705525523</v>
      </c>
      <c r="D36" s="5">
        <f t="shared" si="0"/>
        <v>128048.3989989345</v>
      </c>
      <c r="E36" s="5">
        <f t="shared" si="1"/>
        <v>118548.3989989345</v>
      </c>
      <c r="F36" s="5">
        <f t="shared" si="2"/>
        <v>47143.693405079655</v>
      </c>
      <c r="G36" s="5">
        <f t="shared" si="3"/>
        <v>80904.705593854844</v>
      </c>
      <c r="H36" s="22">
        <f t="shared" si="10"/>
        <v>58931.607450729985</v>
      </c>
      <c r="I36" s="5">
        <f t="shared" si="4"/>
        <v>137361.18553165416</v>
      </c>
      <c r="J36" s="26">
        <f t="shared" si="5"/>
        <v>0.25286143372095432</v>
      </c>
      <c r="L36" s="22">
        <f t="shared" si="11"/>
        <v>230153.93863854613</v>
      </c>
      <c r="M36" s="5">
        <f>scrimecost*Meta!O33</f>
        <v>931.93100000000004</v>
      </c>
      <c r="N36" s="5">
        <f>L36-Grade14!L36</f>
        <v>10137.16128373117</v>
      </c>
      <c r="O36" s="5">
        <f>Grade14!M36-M36</f>
        <v>7.4479999999999791</v>
      </c>
      <c r="P36" s="22">
        <f t="shared" si="12"/>
        <v>194.25316470200212</v>
      </c>
      <c r="Q36" s="22"/>
      <c r="R36" s="22"/>
      <c r="S36" s="22">
        <f t="shared" si="6"/>
        <v>6526.6341916652727</v>
      </c>
      <c r="T36" s="22">
        <f t="shared" si="7"/>
        <v>2453.1122033604806</v>
      </c>
    </row>
    <row r="37" spans="1:20" x14ac:dyDescent="0.2">
      <c r="A37" s="5">
        <v>46</v>
      </c>
      <c r="B37" s="1">
        <f t="shared" ref="B37:B56" si="13">(1+experiencepremium)^(A37-startage)</f>
        <v>1.8539440983221533</v>
      </c>
      <c r="C37" s="5">
        <f t="shared" ref="C37:C56" si="14">pretaxincome*B37/expnorm</f>
        <v>136302.74423163661</v>
      </c>
      <c r="D37" s="5">
        <f t="shared" ref="D37:D56" si="15">IF(A37&lt;startage,1,0)*(C37*(1-initialunempprob))+IF(A37=startage,1,0)*(C37*(1-unempprob))+IF(A37&gt;startage,1,0)*(C37*(1-unempprob)+unempprob*300*52)</f>
        <v>131233.22897390786</v>
      </c>
      <c r="E37" s="5">
        <f t="shared" si="1"/>
        <v>121733.22897390786</v>
      </c>
      <c r="F37" s="5">
        <f t="shared" si="2"/>
        <v>48400.108830206649</v>
      </c>
      <c r="G37" s="5">
        <f t="shared" si="3"/>
        <v>82833.120143701206</v>
      </c>
      <c r="H37" s="22">
        <f t="shared" ref="H37:H56" si="16">benefits*B37/expnorm</f>
        <v>60404.897636998227</v>
      </c>
      <c r="I37" s="5">
        <f t="shared" ref="I37:I56" si="17">G37+IF(A37&lt;startage,1,0)*(H37*(1-initialunempprob))+IF(A37&gt;=startage,1,0)*(H37*(1-unempprob))</f>
        <v>140701.0120799455</v>
      </c>
      <c r="J37" s="26">
        <f t="shared" si="5"/>
        <v>0.25336132827714863</v>
      </c>
      <c r="L37" s="22">
        <f t="shared" ref="L37:L56" si="18">(sincome+sbenefits)*(1-sunemp)*B37/expnorm</f>
        <v>235907.78710450974</v>
      </c>
      <c r="M37" s="5">
        <f>scrimecost*Meta!O34</f>
        <v>931.93100000000004</v>
      </c>
      <c r="N37" s="5">
        <f>L37-Grade14!L37</f>
        <v>10390.590315824433</v>
      </c>
      <c r="O37" s="5">
        <f>Grade14!M37-M37</f>
        <v>7.4479999999999791</v>
      </c>
      <c r="P37" s="22">
        <f t="shared" si="12"/>
        <v>198.9717308751643</v>
      </c>
      <c r="Q37" s="22"/>
      <c r="R37" s="22"/>
      <c r="S37" s="22">
        <f t="shared" si="6"/>
        <v>6689.5369885460523</v>
      </c>
      <c r="T37" s="22">
        <f t="shared" si="7"/>
        <v>2417.8275742401693</v>
      </c>
    </row>
    <row r="38" spans="1:20" x14ac:dyDescent="0.2">
      <c r="A38" s="5">
        <v>47</v>
      </c>
      <c r="B38" s="1">
        <f t="shared" si="13"/>
        <v>1.9002927007802071</v>
      </c>
      <c r="C38" s="5">
        <f t="shared" si="14"/>
        <v>139710.31283742751</v>
      </c>
      <c r="D38" s="5">
        <f t="shared" si="15"/>
        <v>134497.67969825555</v>
      </c>
      <c r="E38" s="5">
        <f t="shared" si="1"/>
        <v>124997.67969825555</v>
      </c>
      <c r="F38" s="5">
        <f t="shared" si="2"/>
        <v>49687.934640961816</v>
      </c>
      <c r="G38" s="5">
        <f t="shared" si="3"/>
        <v>84809.745057293738</v>
      </c>
      <c r="H38" s="22">
        <f t="shared" si="16"/>
        <v>61915.020077923182</v>
      </c>
      <c r="I38" s="5">
        <f t="shared" si="17"/>
        <v>144124.33429194413</v>
      </c>
      <c r="J38" s="26">
        <f t="shared" si="5"/>
        <v>0.25384903028319189</v>
      </c>
      <c r="L38" s="22">
        <f t="shared" si="18"/>
        <v>241805.48178212246</v>
      </c>
      <c r="M38" s="5">
        <f>scrimecost*Meta!O35</f>
        <v>931.93100000000004</v>
      </c>
      <c r="N38" s="5">
        <f>L38-Grade14!L38</f>
        <v>10650.355073720013</v>
      </c>
      <c r="O38" s="5">
        <f>Grade14!M38-M38</f>
        <v>7.4479999999999791</v>
      </c>
      <c r="P38" s="22">
        <f t="shared" si="12"/>
        <v>203.80826120265561</v>
      </c>
      <c r="Q38" s="22"/>
      <c r="R38" s="22"/>
      <c r="S38" s="22">
        <f t="shared" si="6"/>
        <v>6856.5123553488402</v>
      </c>
      <c r="T38" s="22">
        <f t="shared" si="7"/>
        <v>2383.0527477786745</v>
      </c>
    </row>
    <row r="39" spans="1:20" x14ac:dyDescent="0.2">
      <c r="A39" s="5">
        <v>48</v>
      </c>
      <c r="B39" s="1">
        <f t="shared" si="13"/>
        <v>1.9478000182997122</v>
      </c>
      <c r="C39" s="5">
        <f t="shared" si="14"/>
        <v>143203.0706583632</v>
      </c>
      <c r="D39" s="5">
        <f t="shared" si="15"/>
        <v>137843.74169071196</v>
      </c>
      <c r="E39" s="5">
        <f t="shared" si="1"/>
        <v>128343.74169071196</v>
      </c>
      <c r="F39" s="5">
        <f t="shared" si="2"/>
        <v>51007.956096985865</v>
      </c>
      <c r="G39" s="5">
        <f t="shared" si="3"/>
        <v>86835.78559372609</v>
      </c>
      <c r="H39" s="22">
        <f t="shared" si="16"/>
        <v>63462.895579871263</v>
      </c>
      <c r="I39" s="5">
        <f t="shared" si="17"/>
        <v>147633.23955924276</v>
      </c>
      <c r="J39" s="26">
        <f t="shared" si="5"/>
        <v>0.25432483711835596</v>
      </c>
      <c r="L39" s="22">
        <f t="shared" si="18"/>
        <v>247850.61882667552</v>
      </c>
      <c r="M39" s="5">
        <f>scrimecost*Meta!O36</f>
        <v>931.93100000000004</v>
      </c>
      <c r="N39" s="5">
        <f>L39-Grade14!L39</f>
        <v>10916.613950563013</v>
      </c>
      <c r="O39" s="5">
        <f>Grade14!M39-M39</f>
        <v>7.4479999999999791</v>
      </c>
      <c r="P39" s="22">
        <f t="shared" si="12"/>
        <v>208.76570478833415</v>
      </c>
      <c r="Q39" s="22"/>
      <c r="R39" s="22"/>
      <c r="S39" s="22">
        <f t="shared" si="6"/>
        <v>7027.6621063217181</v>
      </c>
      <c r="T39" s="22">
        <f t="shared" si="7"/>
        <v>2348.780270837693</v>
      </c>
    </row>
    <row r="40" spans="1:20" x14ac:dyDescent="0.2">
      <c r="A40" s="5">
        <v>49</v>
      </c>
      <c r="B40" s="1">
        <f t="shared" si="13"/>
        <v>1.9964950187572048</v>
      </c>
      <c r="C40" s="5">
        <f t="shared" si="14"/>
        <v>146783.14742482227</v>
      </c>
      <c r="D40" s="5">
        <f t="shared" si="15"/>
        <v>141273.45523297973</v>
      </c>
      <c r="E40" s="5">
        <f t="shared" si="1"/>
        <v>131773.45523297973</v>
      </c>
      <c r="F40" s="5">
        <f t="shared" si="2"/>
        <v>52360.978089410499</v>
      </c>
      <c r="G40" s="5">
        <f t="shared" si="3"/>
        <v>88912.477143569238</v>
      </c>
      <c r="H40" s="22">
        <f t="shared" si="16"/>
        <v>65049.46796936803</v>
      </c>
      <c r="I40" s="5">
        <f t="shared" si="17"/>
        <v>151229.8674582238</v>
      </c>
      <c r="J40" s="26">
        <f t="shared" si="5"/>
        <v>0.25478903890875987</v>
      </c>
      <c r="L40" s="22">
        <f t="shared" si="18"/>
        <v>254046.88429734239</v>
      </c>
      <c r="M40" s="5">
        <f>scrimecost*Meta!O37</f>
        <v>931.93100000000004</v>
      </c>
      <c r="N40" s="5">
        <f>L40-Grade14!L40</f>
        <v>11189.529299327056</v>
      </c>
      <c r="O40" s="5">
        <f>Grade14!M40-M40</f>
        <v>7.4479999999999791</v>
      </c>
      <c r="P40" s="22">
        <f t="shared" si="12"/>
        <v>213.84708446365454</v>
      </c>
      <c r="Q40" s="22"/>
      <c r="R40" s="22"/>
      <c r="S40" s="22">
        <f t="shared" si="6"/>
        <v>7203.0906010688968</v>
      </c>
      <c r="T40" s="22">
        <f t="shared" si="7"/>
        <v>2315.002802570531</v>
      </c>
    </row>
    <row r="41" spans="1:20" x14ac:dyDescent="0.2">
      <c r="A41" s="5">
        <v>50</v>
      </c>
      <c r="B41" s="1">
        <f t="shared" si="13"/>
        <v>2.0464073942261352</v>
      </c>
      <c r="C41" s="5">
        <f t="shared" si="14"/>
        <v>150452.72611044283</v>
      </c>
      <c r="D41" s="5">
        <f t="shared" si="15"/>
        <v>144788.91161380423</v>
      </c>
      <c r="E41" s="5">
        <f t="shared" si="1"/>
        <v>135288.91161380423</v>
      </c>
      <c r="F41" s="5">
        <f t="shared" si="2"/>
        <v>53747.82563164577</v>
      </c>
      <c r="G41" s="5">
        <f t="shared" si="3"/>
        <v>91041.08598215846</v>
      </c>
      <c r="H41" s="22">
        <f t="shared" si="16"/>
        <v>66675.704668602237</v>
      </c>
      <c r="I41" s="5">
        <f t="shared" si="17"/>
        <v>154916.4110546794</v>
      </c>
      <c r="J41" s="26">
        <f t="shared" si="5"/>
        <v>0.25524191870427604</v>
      </c>
      <c r="L41" s="22">
        <f t="shared" si="18"/>
        <v>260398.05640477597</v>
      </c>
      <c r="M41" s="5">
        <f>scrimecost*Meta!O38</f>
        <v>622.62199999999996</v>
      </c>
      <c r="N41" s="5">
        <f>L41-Grade14!L41</f>
        <v>11469.267531810299</v>
      </c>
      <c r="O41" s="5">
        <f>Grade14!M41-M41</f>
        <v>4.9759999999999991</v>
      </c>
      <c r="P41" s="22">
        <f t="shared" si="12"/>
        <v>219.05549863085812</v>
      </c>
      <c r="Q41" s="22"/>
      <c r="R41" s="22"/>
      <c r="S41" s="22">
        <f t="shared" si="6"/>
        <v>7380.8975441848197</v>
      </c>
      <c r="T41" s="22">
        <f t="shared" si="7"/>
        <v>2281.0927604931126</v>
      </c>
    </row>
    <row r="42" spans="1:20" x14ac:dyDescent="0.2">
      <c r="A42" s="5">
        <v>51</v>
      </c>
      <c r="B42" s="1">
        <f t="shared" si="13"/>
        <v>2.097567579081788</v>
      </c>
      <c r="C42" s="5">
        <f t="shared" si="14"/>
        <v>154214.04426320389</v>
      </c>
      <c r="D42" s="5">
        <f t="shared" si="15"/>
        <v>148392.25440414934</v>
      </c>
      <c r="E42" s="5">
        <f t="shared" si="1"/>
        <v>138892.25440414934</v>
      </c>
      <c r="F42" s="5">
        <f t="shared" si="2"/>
        <v>55169.34436243691</v>
      </c>
      <c r="G42" s="5">
        <f t="shared" si="3"/>
        <v>93222.910041712428</v>
      </c>
      <c r="H42" s="22">
        <f t="shared" si="16"/>
        <v>68342.597285317272</v>
      </c>
      <c r="I42" s="5">
        <f t="shared" si="17"/>
        <v>158695.11824104638</v>
      </c>
      <c r="J42" s="26">
        <f t="shared" si="5"/>
        <v>0.25568375265112098</v>
      </c>
      <c r="L42" s="22">
        <f t="shared" si="18"/>
        <v>266908.0078148953</v>
      </c>
      <c r="M42" s="5">
        <f>scrimecost*Meta!O39</f>
        <v>622.62199999999996</v>
      </c>
      <c r="N42" s="5">
        <f>L42-Grade14!L42</f>
        <v>11755.999220105441</v>
      </c>
      <c r="O42" s="5">
        <f>Grade14!M42-M42</f>
        <v>4.9759999999999991</v>
      </c>
      <c r="P42" s="22">
        <f t="shared" si="12"/>
        <v>224.39412315224166</v>
      </c>
      <c r="Q42" s="22"/>
      <c r="R42" s="22"/>
      <c r="S42" s="22">
        <f t="shared" si="6"/>
        <v>7565.207106478525</v>
      </c>
      <c r="T42" s="22">
        <f t="shared" si="7"/>
        <v>2248.3075395059823</v>
      </c>
    </row>
    <row r="43" spans="1:20" x14ac:dyDescent="0.2">
      <c r="A43" s="5">
        <v>52</v>
      </c>
      <c r="B43" s="1">
        <f t="shared" si="13"/>
        <v>2.1500067685588333</v>
      </c>
      <c r="C43" s="5">
        <f t="shared" si="14"/>
        <v>158069.39536978403</v>
      </c>
      <c r="D43" s="5">
        <f t="shared" si="15"/>
        <v>152085.68076425311</v>
      </c>
      <c r="E43" s="5">
        <f t="shared" si="1"/>
        <v>142585.68076425311</v>
      </c>
      <c r="F43" s="5">
        <f t="shared" si="2"/>
        <v>56626.401061497847</v>
      </c>
      <c r="G43" s="5">
        <f t="shared" si="3"/>
        <v>95459.279702755259</v>
      </c>
      <c r="H43" s="22">
        <f t="shared" si="16"/>
        <v>70051.162217450226</v>
      </c>
      <c r="I43" s="5">
        <f t="shared" si="17"/>
        <v>162568.29310707259</v>
      </c>
      <c r="J43" s="26">
        <f t="shared" si="5"/>
        <v>0.25611481016023802</v>
      </c>
      <c r="L43" s="22">
        <f t="shared" si="18"/>
        <v>273580.70801026776</v>
      </c>
      <c r="M43" s="5">
        <f>scrimecost*Meta!O40</f>
        <v>622.62199999999996</v>
      </c>
      <c r="N43" s="5">
        <f>L43-Grade14!L43</f>
        <v>12049.899200608197</v>
      </c>
      <c r="O43" s="5">
        <f>Grade14!M43-M43</f>
        <v>4.9759999999999991</v>
      </c>
      <c r="P43" s="22">
        <f t="shared" si="12"/>
        <v>229.86621328665993</v>
      </c>
      <c r="Q43" s="22"/>
      <c r="R43" s="22"/>
      <c r="S43" s="22">
        <f t="shared" ref="S43:S69" si="19">IF(A43&lt;startage,1,0)*(N43-Q43-R43)+IF(A43&gt;=startage,1,0)*completionprob*(N43*spart+O43+P43)</f>
        <v>7754.1244078297195</v>
      </c>
      <c r="T43" s="22">
        <f t="shared" ref="T43:T69" si="20">S43/sreturn^(A43-startage+1)</f>
        <v>2215.995046356622</v>
      </c>
    </row>
    <row r="44" spans="1:20" x14ac:dyDescent="0.2">
      <c r="A44" s="5">
        <v>53</v>
      </c>
      <c r="B44" s="1">
        <f t="shared" si="13"/>
        <v>2.2037569377728037</v>
      </c>
      <c r="C44" s="5">
        <f t="shared" si="14"/>
        <v>162021.13025402857</v>
      </c>
      <c r="D44" s="5">
        <f t="shared" si="15"/>
        <v>155871.44278335938</v>
      </c>
      <c r="E44" s="5">
        <f t="shared" si="1"/>
        <v>146371.44278335938</v>
      </c>
      <c r="F44" s="5">
        <f t="shared" si="2"/>
        <v>58119.884178035281</v>
      </c>
      <c r="G44" s="5">
        <f t="shared" si="3"/>
        <v>97751.558605324099</v>
      </c>
      <c r="H44" s="22">
        <f t="shared" si="16"/>
        <v>71802.44127288647</v>
      </c>
      <c r="I44" s="5">
        <f t="shared" si="17"/>
        <v>166538.29734474933</v>
      </c>
      <c r="J44" s="26">
        <f t="shared" si="5"/>
        <v>0.25653535407157174</v>
      </c>
      <c r="L44" s="22">
        <f t="shared" si="18"/>
        <v>280420.22571052436</v>
      </c>
      <c r="M44" s="5">
        <f>scrimecost*Meta!O41</f>
        <v>622.62199999999996</v>
      </c>
      <c r="N44" s="5">
        <f>L44-Grade14!L44</f>
        <v>12351.146680623351</v>
      </c>
      <c r="O44" s="5">
        <f>Grade14!M44-M44</f>
        <v>4.9759999999999991</v>
      </c>
      <c r="P44" s="22">
        <f t="shared" si="12"/>
        <v>235.47510567443851</v>
      </c>
      <c r="Q44" s="22"/>
      <c r="R44" s="22"/>
      <c r="S44" s="22">
        <f t="shared" si="19"/>
        <v>7947.7646417145888</v>
      </c>
      <c r="T44" s="22">
        <f t="shared" si="20"/>
        <v>2184.1484066143244</v>
      </c>
    </row>
    <row r="45" spans="1:20" x14ac:dyDescent="0.2">
      <c r="A45" s="5">
        <v>54</v>
      </c>
      <c r="B45" s="1">
        <f t="shared" si="13"/>
        <v>2.2588508612171236</v>
      </c>
      <c r="C45" s="5">
        <f t="shared" si="14"/>
        <v>166071.65851037926</v>
      </c>
      <c r="D45" s="5">
        <f t="shared" si="15"/>
        <v>159751.84885294334</v>
      </c>
      <c r="E45" s="5">
        <f t="shared" si="1"/>
        <v>150251.84885294334</v>
      </c>
      <c r="F45" s="5">
        <f t="shared" si="2"/>
        <v>59650.704372486151</v>
      </c>
      <c r="G45" s="5">
        <f t="shared" si="3"/>
        <v>100101.14448045718</v>
      </c>
      <c r="H45" s="22">
        <f t="shared" si="16"/>
        <v>73597.502304708629</v>
      </c>
      <c r="I45" s="5">
        <f t="shared" si="17"/>
        <v>170607.55168836802</v>
      </c>
      <c r="J45" s="26">
        <f t="shared" si="5"/>
        <v>0.25694564081433624</v>
      </c>
      <c r="L45" s="22">
        <f t="shared" si="18"/>
        <v>287430.73135328747</v>
      </c>
      <c r="M45" s="5">
        <f>scrimecost*Meta!O42</f>
        <v>622.62199999999996</v>
      </c>
      <c r="N45" s="5">
        <f>L45-Grade14!L45</f>
        <v>12659.925347638899</v>
      </c>
      <c r="O45" s="5">
        <f>Grade14!M45-M45</f>
        <v>4.9759999999999991</v>
      </c>
      <c r="P45" s="22">
        <f t="shared" si="12"/>
        <v>241.22422037191154</v>
      </c>
      <c r="Q45" s="22"/>
      <c r="R45" s="22"/>
      <c r="S45" s="22">
        <f t="shared" si="19"/>
        <v>8146.2458814465863</v>
      </c>
      <c r="T45" s="22">
        <f t="shared" si="20"/>
        <v>2152.7608480393496</v>
      </c>
    </row>
    <row r="46" spans="1:20" x14ac:dyDescent="0.2">
      <c r="A46" s="5">
        <v>55</v>
      </c>
      <c r="B46" s="1">
        <f t="shared" si="13"/>
        <v>2.3153221327475517</v>
      </c>
      <c r="C46" s="5">
        <f t="shared" si="14"/>
        <v>170223.44997313875</v>
      </c>
      <c r="D46" s="5">
        <f t="shared" si="15"/>
        <v>163729.26507426694</v>
      </c>
      <c r="E46" s="5">
        <f t="shared" si="1"/>
        <v>154229.26507426694</v>
      </c>
      <c r="F46" s="5">
        <f t="shared" si="2"/>
        <v>61219.795071798304</v>
      </c>
      <c r="G46" s="5">
        <f t="shared" si="3"/>
        <v>102509.47000246863</v>
      </c>
      <c r="H46" s="22">
        <f t="shared" si="16"/>
        <v>75437.439862326355</v>
      </c>
      <c r="I46" s="5">
        <f t="shared" si="17"/>
        <v>174778.53739057726</v>
      </c>
      <c r="J46" s="26">
        <f t="shared" si="5"/>
        <v>0.25734592056337485</v>
      </c>
      <c r="L46" s="22">
        <f t="shared" si="18"/>
        <v>294616.4996371197</v>
      </c>
      <c r="M46" s="5">
        <f>scrimecost*Meta!O43</f>
        <v>345.34499999999997</v>
      </c>
      <c r="N46" s="5">
        <f>L46-Grade14!L46</f>
        <v>12976.423481329984</v>
      </c>
      <c r="O46" s="5">
        <f>Grade14!M46-M46</f>
        <v>2.7599999999999909</v>
      </c>
      <c r="P46" s="22">
        <f t="shared" si="12"/>
        <v>247.1170629368215</v>
      </c>
      <c r="Q46" s="22"/>
      <c r="R46" s="22"/>
      <c r="S46" s="22">
        <f t="shared" si="19"/>
        <v>8347.8897601719782</v>
      </c>
      <c r="T46" s="22">
        <f t="shared" si="20"/>
        <v>2121.3684369044531</v>
      </c>
    </row>
    <row r="47" spans="1:20" x14ac:dyDescent="0.2">
      <c r="A47" s="5">
        <v>56</v>
      </c>
      <c r="B47" s="1">
        <f t="shared" si="13"/>
        <v>2.3732051860662402</v>
      </c>
      <c r="C47" s="5">
        <f t="shared" si="14"/>
        <v>174479.0362224672</v>
      </c>
      <c r="D47" s="5">
        <f t="shared" si="15"/>
        <v>167806.1167011236</v>
      </c>
      <c r="E47" s="5">
        <f t="shared" si="1"/>
        <v>158306.1167011236</v>
      </c>
      <c r="F47" s="5">
        <f t="shared" si="2"/>
        <v>62828.113038593256</v>
      </c>
      <c r="G47" s="5">
        <f t="shared" si="3"/>
        <v>104978.00366253033</v>
      </c>
      <c r="H47" s="22">
        <f t="shared" si="16"/>
        <v>77323.375858884494</v>
      </c>
      <c r="I47" s="5">
        <f t="shared" si="17"/>
        <v>179053.79773534168</v>
      </c>
      <c r="J47" s="26">
        <f t="shared" si="5"/>
        <v>0.25773643739170521</v>
      </c>
      <c r="L47" s="22">
        <f t="shared" si="18"/>
        <v>301981.91212804761</v>
      </c>
      <c r="M47" s="5">
        <f>scrimecost*Meta!O44</f>
        <v>345.34499999999997</v>
      </c>
      <c r="N47" s="5">
        <f>L47-Grade14!L47</f>
        <v>13300.834068363067</v>
      </c>
      <c r="O47" s="5">
        <f>Grade14!M47-M47</f>
        <v>2.7599999999999909</v>
      </c>
      <c r="P47" s="22">
        <f t="shared" si="12"/>
        <v>253.15722656585413</v>
      </c>
      <c r="Q47" s="22"/>
      <c r="R47" s="22"/>
      <c r="S47" s="22">
        <f t="shared" si="19"/>
        <v>8556.4191126653313</v>
      </c>
      <c r="T47" s="22">
        <f t="shared" si="20"/>
        <v>2090.8966768297678</v>
      </c>
    </row>
    <row r="48" spans="1:20" x14ac:dyDescent="0.2">
      <c r="A48" s="5">
        <v>57</v>
      </c>
      <c r="B48" s="1">
        <f t="shared" si="13"/>
        <v>2.4325353157178964</v>
      </c>
      <c r="C48" s="5">
        <f t="shared" si="14"/>
        <v>178841.0121280289</v>
      </c>
      <c r="D48" s="5">
        <f t="shared" si="15"/>
        <v>171984.88961865168</v>
      </c>
      <c r="E48" s="5">
        <f t="shared" si="1"/>
        <v>162484.88961865168</v>
      </c>
      <c r="F48" s="5">
        <f t="shared" si="2"/>
        <v>64476.63895455809</v>
      </c>
      <c r="G48" s="5">
        <f t="shared" si="3"/>
        <v>107508.25066409359</v>
      </c>
      <c r="H48" s="22">
        <f t="shared" si="16"/>
        <v>79256.460255356607</v>
      </c>
      <c r="I48" s="5">
        <f t="shared" si="17"/>
        <v>183435.93958872522</v>
      </c>
      <c r="J48" s="26">
        <f t="shared" si="5"/>
        <v>0.25811742941934457</v>
      </c>
      <c r="L48" s="22">
        <f t="shared" si="18"/>
        <v>309531.4599312488</v>
      </c>
      <c r="M48" s="5">
        <f>scrimecost*Meta!O45</f>
        <v>345.34499999999997</v>
      </c>
      <c r="N48" s="5">
        <f>L48-Grade14!L48</f>
        <v>13633.354920072248</v>
      </c>
      <c r="O48" s="5">
        <f>Grade14!M48-M48</f>
        <v>2.7599999999999909</v>
      </c>
      <c r="P48" s="22">
        <f t="shared" si="12"/>
        <v>259.34839428561264</v>
      </c>
      <c r="Q48" s="22"/>
      <c r="R48" s="22"/>
      <c r="S48" s="22">
        <f t="shared" si="19"/>
        <v>8770.1616989711874</v>
      </c>
      <c r="T48" s="22">
        <f t="shared" si="20"/>
        <v>2060.8636047146965</v>
      </c>
    </row>
    <row r="49" spans="1:20" x14ac:dyDescent="0.2">
      <c r="A49" s="5">
        <v>58</v>
      </c>
      <c r="B49" s="1">
        <f t="shared" si="13"/>
        <v>2.4933486986108435</v>
      </c>
      <c r="C49" s="5">
        <f t="shared" si="14"/>
        <v>183312.0374312296</v>
      </c>
      <c r="D49" s="5">
        <f t="shared" si="15"/>
        <v>176268.13185911797</v>
      </c>
      <c r="E49" s="5">
        <f t="shared" si="1"/>
        <v>166768.13185911797</v>
      </c>
      <c r="F49" s="5">
        <f t="shared" si="2"/>
        <v>66166.378018422052</v>
      </c>
      <c r="G49" s="5">
        <f t="shared" si="3"/>
        <v>110101.75384069592</v>
      </c>
      <c r="H49" s="22">
        <f t="shared" si="16"/>
        <v>81237.87176174052</v>
      </c>
      <c r="I49" s="5">
        <f t="shared" si="17"/>
        <v>187927.63498844334</v>
      </c>
      <c r="J49" s="26">
        <f t="shared" si="5"/>
        <v>0.25848912895850495</v>
      </c>
      <c r="L49" s="22">
        <f t="shared" si="18"/>
        <v>317269.74642953003</v>
      </c>
      <c r="M49" s="5">
        <f>scrimecost*Meta!O46</f>
        <v>345.34499999999997</v>
      </c>
      <c r="N49" s="5">
        <f>L49-Grade14!L49</f>
        <v>13974.188793074107</v>
      </c>
      <c r="O49" s="5">
        <f>Grade14!M49-M49</f>
        <v>2.7599999999999909</v>
      </c>
      <c r="P49" s="22">
        <f t="shared" si="12"/>
        <v>265.69434119836512</v>
      </c>
      <c r="Q49" s="22"/>
      <c r="R49" s="22"/>
      <c r="S49" s="22">
        <f t="shared" si="19"/>
        <v>8989.2478499346562</v>
      </c>
      <c r="T49" s="22">
        <f t="shared" si="20"/>
        <v>2031.2628671916768</v>
      </c>
    </row>
    <row r="50" spans="1:20" x14ac:dyDescent="0.2">
      <c r="A50" s="5">
        <v>59</v>
      </c>
      <c r="B50" s="1">
        <f t="shared" si="13"/>
        <v>2.555682416076114</v>
      </c>
      <c r="C50" s="5">
        <f t="shared" si="14"/>
        <v>187894.83836701029</v>
      </c>
      <c r="D50" s="5">
        <f t="shared" si="15"/>
        <v>180658.45515559588</v>
      </c>
      <c r="E50" s="5">
        <f t="shared" si="1"/>
        <v>171158.45515559588</v>
      </c>
      <c r="F50" s="5">
        <f t="shared" si="2"/>
        <v>67898.360558882574</v>
      </c>
      <c r="G50" s="5">
        <f t="shared" si="3"/>
        <v>112760.0945967133</v>
      </c>
      <c r="H50" s="22">
        <f t="shared" si="16"/>
        <v>83268.818555784019</v>
      </c>
      <c r="I50" s="5">
        <f t="shared" si="17"/>
        <v>192531.62277315441</v>
      </c>
      <c r="J50" s="26">
        <f t="shared" si="5"/>
        <v>0.25885176265524679</v>
      </c>
      <c r="L50" s="22">
        <f t="shared" si="18"/>
        <v>325201.4900902682</v>
      </c>
      <c r="M50" s="5">
        <f>scrimecost*Meta!O47</f>
        <v>345.34499999999997</v>
      </c>
      <c r="N50" s="5">
        <f>L50-Grade14!L50</f>
        <v>14323.543512900884</v>
      </c>
      <c r="O50" s="5">
        <f>Grade14!M50-M50</f>
        <v>2.7599999999999909</v>
      </c>
      <c r="P50" s="22">
        <f t="shared" si="12"/>
        <v>272.19893678393635</v>
      </c>
      <c r="Q50" s="22"/>
      <c r="R50" s="22"/>
      <c r="S50" s="22">
        <f t="shared" si="19"/>
        <v>9213.811154672132</v>
      </c>
      <c r="T50" s="22">
        <f t="shared" si="20"/>
        <v>2002.0882043517497</v>
      </c>
    </row>
    <row r="51" spans="1:20" x14ac:dyDescent="0.2">
      <c r="A51" s="5">
        <v>60</v>
      </c>
      <c r="B51" s="1">
        <f t="shared" si="13"/>
        <v>2.6195744764780171</v>
      </c>
      <c r="C51" s="5">
        <f t="shared" si="14"/>
        <v>192592.20932618558</v>
      </c>
      <c r="D51" s="5">
        <f t="shared" si="15"/>
        <v>185158.53653448579</v>
      </c>
      <c r="E51" s="5">
        <f t="shared" si="1"/>
        <v>175658.53653448579</v>
      </c>
      <c r="F51" s="5">
        <f t="shared" si="2"/>
        <v>69736.569489578935</v>
      </c>
      <c r="G51" s="5">
        <f t="shared" si="3"/>
        <v>115421.96704490685</v>
      </c>
      <c r="H51" s="22">
        <f t="shared" si="16"/>
        <v>85350.539019678617</v>
      </c>
      <c r="I51" s="5">
        <f t="shared" si="17"/>
        <v>197187.78342575894</v>
      </c>
      <c r="J51" s="26">
        <f t="shared" si="5"/>
        <v>0.25944187951633974</v>
      </c>
      <c r="L51" s="22">
        <f t="shared" si="18"/>
        <v>333331.52734252496</v>
      </c>
      <c r="M51" s="5">
        <f>scrimecost*Meta!O48</f>
        <v>182.18199999999999</v>
      </c>
      <c r="N51" s="5">
        <f>L51-Grade14!L51</f>
        <v>14681.632100723451</v>
      </c>
      <c r="O51" s="5">
        <f>Grade14!M51-M51</f>
        <v>1.4560000000000173</v>
      </c>
      <c r="P51" s="22">
        <f t="shared" si="12"/>
        <v>279.10247386739087</v>
      </c>
      <c r="Q51" s="22"/>
      <c r="R51" s="22"/>
      <c r="S51" s="22">
        <f t="shared" si="19"/>
        <v>9443.1215912340158</v>
      </c>
      <c r="T51" s="22">
        <f t="shared" si="20"/>
        <v>1973.1522978409228</v>
      </c>
    </row>
    <row r="52" spans="1:20" x14ac:dyDescent="0.2">
      <c r="A52" s="5">
        <v>61</v>
      </c>
      <c r="B52" s="1">
        <f t="shared" si="13"/>
        <v>2.6850638383899672</v>
      </c>
      <c r="C52" s="5">
        <f t="shared" si="14"/>
        <v>197407.0145593402</v>
      </c>
      <c r="D52" s="5">
        <f t="shared" si="15"/>
        <v>189771.11994784791</v>
      </c>
      <c r="E52" s="5">
        <f t="shared" si="1"/>
        <v>180271.11994784791</v>
      </c>
      <c r="F52" s="5">
        <f t="shared" si="2"/>
        <v>71786.862816818393</v>
      </c>
      <c r="G52" s="5">
        <f t="shared" si="3"/>
        <v>117984.25713102952</v>
      </c>
      <c r="H52" s="22">
        <f t="shared" si="16"/>
        <v>87484.302495170574</v>
      </c>
      <c r="I52" s="5">
        <f t="shared" si="17"/>
        <v>201794.21892140293</v>
      </c>
      <c r="J52" s="26">
        <f t="shared" si="5"/>
        <v>0.26062630031198292</v>
      </c>
      <c r="L52" s="22">
        <f t="shared" si="18"/>
        <v>341664.81552608806</v>
      </c>
      <c r="M52" s="5">
        <f>scrimecost*Meta!O49</f>
        <v>182.18199999999999</v>
      </c>
      <c r="N52" s="5">
        <f>L52-Grade14!L52</f>
        <v>15048.672903241531</v>
      </c>
      <c r="O52" s="5">
        <f>Grade14!M52-M52</f>
        <v>1.4560000000000173</v>
      </c>
      <c r="P52" s="22">
        <f t="shared" si="12"/>
        <v>286.80251045202169</v>
      </c>
      <c r="Q52" s="22"/>
      <c r="R52" s="22"/>
      <c r="S52" s="22">
        <f t="shared" si="19"/>
        <v>9679.7567237020739</v>
      </c>
      <c r="T52" s="22">
        <f t="shared" si="20"/>
        <v>1944.9596414616333</v>
      </c>
    </row>
    <row r="53" spans="1:20" x14ac:dyDescent="0.2">
      <c r="A53" s="5">
        <v>62</v>
      </c>
      <c r="B53" s="1">
        <f t="shared" si="13"/>
        <v>2.7521904343497163</v>
      </c>
      <c r="C53" s="5">
        <f t="shared" si="14"/>
        <v>202342.18992332369</v>
      </c>
      <c r="D53" s="5">
        <f t="shared" si="15"/>
        <v>194499.0179465441</v>
      </c>
      <c r="E53" s="5">
        <f t="shared" si="1"/>
        <v>184999.0179465441</v>
      </c>
      <c r="F53" s="5">
        <f t="shared" si="2"/>
        <v>73888.41347723885</v>
      </c>
      <c r="G53" s="5">
        <f t="shared" si="3"/>
        <v>120610.60446930525</v>
      </c>
      <c r="H53" s="22">
        <f t="shared" si="16"/>
        <v>89671.410057549845</v>
      </c>
      <c r="I53" s="5">
        <f t="shared" si="17"/>
        <v>206515.815304438</v>
      </c>
      <c r="J53" s="26">
        <f t="shared" si="5"/>
        <v>0.26178183279553718</v>
      </c>
      <c r="L53" s="22">
        <f t="shared" si="18"/>
        <v>350206.4359142402</v>
      </c>
      <c r="M53" s="5">
        <f>scrimecost*Meta!O50</f>
        <v>182.18199999999999</v>
      </c>
      <c r="N53" s="5">
        <f>L53-Grade14!L53</f>
        <v>15424.889725822548</v>
      </c>
      <c r="O53" s="5">
        <f>Grade14!M53-M53</f>
        <v>1.4560000000000173</v>
      </c>
      <c r="P53" s="22">
        <f t="shared" si="12"/>
        <v>294.69504795126818</v>
      </c>
      <c r="Q53" s="22"/>
      <c r="R53" s="22"/>
      <c r="S53" s="22">
        <f t="shared" si="19"/>
        <v>9922.3077344818248</v>
      </c>
      <c r="T53" s="22">
        <f t="shared" si="20"/>
        <v>1917.1671080627518</v>
      </c>
    </row>
    <row r="54" spans="1:20" x14ac:dyDescent="0.2">
      <c r="A54" s="5">
        <v>63</v>
      </c>
      <c r="B54" s="1">
        <f t="shared" si="13"/>
        <v>2.8209951952084591</v>
      </c>
      <c r="C54" s="5">
        <f t="shared" si="14"/>
        <v>207400.74467140678</v>
      </c>
      <c r="D54" s="5">
        <f t="shared" si="15"/>
        <v>199345.11339520771</v>
      </c>
      <c r="E54" s="5">
        <f t="shared" si="1"/>
        <v>189845.11339520771</v>
      </c>
      <c r="F54" s="5">
        <f t="shared" si="2"/>
        <v>76042.502904169829</v>
      </c>
      <c r="G54" s="5">
        <f t="shared" si="3"/>
        <v>123302.61049103788</v>
      </c>
      <c r="H54" s="22">
        <f t="shared" si="16"/>
        <v>91913.195308988565</v>
      </c>
      <c r="I54" s="5">
        <f t="shared" si="17"/>
        <v>211355.4515970489</v>
      </c>
      <c r="J54" s="26">
        <f t="shared" si="5"/>
        <v>0.2629091815599805</v>
      </c>
      <c r="L54" s="22">
        <f t="shared" si="18"/>
        <v>358961.59681209625</v>
      </c>
      <c r="M54" s="5">
        <f>scrimecost*Meta!O51</f>
        <v>182.18199999999999</v>
      </c>
      <c r="N54" s="5">
        <f>L54-Grade14!L54</f>
        <v>15810.511968968145</v>
      </c>
      <c r="O54" s="5">
        <f>Grade14!M54-M54</f>
        <v>1.4560000000000173</v>
      </c>
      <c r="P54" s="22">
        <f t="shared" si="12"/>
        <v>302.78489888799606</v>
      </c>
      <c r="Q54" s="22"/>
      <c r="R54" s="22"/>
      <c r="S54" s="22">
        <f t="shared" si="19"/>
        <v>10170.922520531103</v>
      </c>
      <c r="T54" s="22">
        <f t="shared" si="20"/>
        <v>1889.7691228670164</v>
      </c>
    </row>
    <row r="55" spans="1:20" x14ac:dyDescent="0.2">
      <c r="A55" s="5">
        <v>64</v>
      </c>
      <c r="B55" s="1">
        <f t="shared" si="13"/>
        <v>2.8915200750886707</v>
      </c>
      <c r="C55" s="5">
        <f t="shared" si="14"/>
        <v>212585.76328819196</v>
      </c>
      <c r="D55" s="5">
        <f t="shared" si="15"/>
        <v>204312.3612300879</v>
      </c>
      <c r="E55" s="5">
        <f t="shared" si="1"/>
        <v>194812.3612300879</v>
      </c>
      <c r="F55" s="5">
        <f t="shared" si="2"/>
        <v>78250.44456677408</v>
      </c>
      <c r="G55" s="5">
        <f t="shared" si="3"/>
        <v>126061.91666331382</v>
      </c>
      <c r="H55" s="22">
        <f t="shared" si="16"/>
        <v>94211.025191713299</v>
      </c>
      <c r="I55" s="5">
        <f t="shared" si="17"/>
        <v>216316.07879697514</v>
      </c>
      <c r="J55" s="26">
        <f t="shared" si="5"/>
        <v>0.26400903401309589</v>
      </c>
      <c r="L55" s="22">
        <f t="shared" si="18"/>
        <v>367935.63673239859</v>
      </c>
      <c r="M55" s="5">
        <f>scrimecost*Meta!O52</f>
        <v>182.18199999999999</v>
      </c>
      <c r="N55" s="5">
        <f>L55-Grade14!L55</f>
        <v>16205.774768192321</v>
      </c>
      <c r="O55" s="5">
        <f>Grade14!M55-M55</f>
        <v>1.4560000000000173</v>
      </c>
      <c r="P55" s="22">
        <f t="shared" si="12"/>
        <v>311.07699609814199</v>
      </c>
      <c r="Q55" s="22"/>
      <c r="R55" s="22"/>
      <c r="S55" s="22">
        <f t="shared" si="19"/>
        <v>10425.752676231576</v>
      </c>
      <c r="T55" s="22">
        <f t="shared" si="20"/>
        <v>1862.760184735635</v>
      </c>
    </row>
    <row r="56" spans="1:20" x14ac:dyDescent="0.2">
      <c r="A56" s="5">
        <v>65</v>
      </c>
      <c r="B56" s="1">
        <f t="shared" si="13"/>
        <v>2.9638080769658868</v>
      </c>
      <c r="C56" s="5">
        <f t="shared" si="14"/>
        <v>217900.40737039672</v>
      </c>
      <c r="D56" s="5">
        <f t="shared" si="15"/>
        <v>209403.79026084006</v>
      </c>
      <c r="E56" s="5">
        <f t="shared" si="1"/>
        <v>199903.79026084006</v>
      </c>
      <c r="F56" s="5">
        <f t="shared" si="2"/>
        <v>80513.584770943402</v>
      </c>
      <c r="G56" s="5">
        <f t="shared" si="3"/>
        <v>128890.20548989666</v>
      </c>
      <c r="H56" s="22">
        <f t="shared" si="16"/>
        <v>96566.300821506098</v>
      </c>
      <c r="I56" s="5">
        <f t="shared" si="17"/>
        <v>221400.7216768995</v>
      </c>
      <c r="J56" s="26">
        <f t="shared" si="5"/>
        <v>0.265082060796623</v>
      </c>
      <c r="L56" s="22">
        <f t="shared" si="18"/>
        <v>377134.02765070851</v>
      </c>
      <c r="M56" s="5">
        <f>scrimecost*Meta!O53</f>
        <v>55.055</v>
      </c>
      <c r="N56" s="5">
        <f>L56-Grade14!L56</f>
        <v>16610.919137397083</v>
      </c>
      <c r="O56" s="5">
        <f>Grade14!M56-M56</f>
        <v>0.43999999999999773</v>
      </c>
      <c r="P56" s="22">
        <f t="shared" si="12"/>
        <v>319.57639573854152</v>
      </c>
      <c r="Q56" s="22"/>
      <c r="R56" s="22"/>
      <c r="S56" s="22">
        <f t="shared" si="19"/>
        <v>10686.128593824547</v>
      </c>
      <c r="T56" s="22">
        <f t="shared" si="20"/>
        <v>1835.9931227561738</v>
      </c>
    </row>
    <row r="57" spans="1:20" x14ac:dyDescent="0.2">
      <c r="A57" s="5">
        <v>66</v>
      </c>
      <c r="C57" s="5"/>
      <c r="H57" s="21"/>
      <c r="I57" s="5"/>
      <c r="M57" s="5">
        <f>scrimecost*Meta!O54</f>
        <v>55.055</v>
      </c>
      <c r="N57" s="5">
        <f>L57-Grade14!L57</f>
        <v>0</v>
      </c>
      <c r="O57" s="5">
        <f>Grade14!M57-M57</f>
        <v>0.43999999999999773</v>
      </c>
      <c r="Q57" s="22"/>
      <c r="R57" s="22"/>
      <c r="S57" s="22">
        <f t="shared" si="19"/>
        <v>0.35727999999999815</v>
      </c>
      <c r="T57" s="22">
        <f t="shared" si="20"/>
        <v>5.9028328485638791E-2</v>
      </c>
    </row>
    <row r="58" spans="1:20" x14ac:dyDescent="0.2">
      <c r="A58" s="5">
        <v>67</v>
      </c>
      <c r="C58" s="5"/>
      <c r="H58" s="21"/>
      <c r="I58" s="5"/>
      <c r="M58" s="5">
        <f>scrimecost*Meta!O55</f>
        <v>55.055</v>
      </c>
      <c r="N58" s="5">
        <f>L58-Grade14!L58</f>
        <v>0</v>
      </c>
      <c r="O58" s="5">
        <f>Grade14!M58-M58</f>
        <v>0.43999999999999773</v>
      </c>
      <c r="Q58" s="22"/>
      <c r="R58" s="22"/>
      <c r="S58" s="22">
        <f t="shared" si="19"/>
        <v>0.35727999999999815</v>
      </c>
      <c r="T58" s="22">
        <f t="shared" si="20"/>
        <v>5.6762512566483833E-2</v>
      </c>
    </row>
    <row r="59" spans="1:20" x14ac:dyDescent="0.2">
      <c r="A59" s="5">
        <v>68</v>
      </c>
      <c r="H59" s="21"/>
      <c r="I59" s="5"/>
      <c r="M59" s="5">
        <f>scrimecost*Meta!O56</f>
        <v>55.055</v>
      </c>
      <c r="N59" s="5">
        <f>L59-Grade14!L59</f>
        <v>0</v>
      </c>
      <c r="O59" s="5">
        <f>Grade14!M59-M59</f>
        <v>0.43999999999999773</v>
      </c>
      <c r="Q59" s="22"/>
      <c r="R59" s="22"/>
      <c r="S59" s="22">
        <f t="shared" si="19"/>
        <v>0.35727999999999815</v>
      </c>
      <c r="T59" s="22">
        <f t="shared" si="20"/>
        <v>5.4583670510746751E-2</v>
      </c>
    </row>
    <row r="60" spans="1:20" x14ac:dyDescent="0.2">
      <c r="A60" s="5">
        <v>69</v>
      </c>
      <c r="H60" s="21"/>
      <c r="I60" s="5"/>
      <c r="M60" s="5">
        <f>scrimecost*Meta!O57</f>
        <v>55.055</v>
      </c>
      <c r="N60" s="5">
        <f>L60-Grade14!L60</f>
        <v>0</v>
      </c>
      <c r="O60" s="5">
        <f>Grade14!M60-M60</f>
        <v>0.43999999999999773</v>
      </c>
      <c r="Q60" s="22"/>
      <c r="R60" s="22"/>
      <c r="S60" s="22">
        <f t="shared" si="19"/>
        <v>0.35727999999999815</v>
      </c>
      <c r="T60" s="22">
        <f t="shared" si="20"/>
        <v>5.2488463806744462E-2</v>
      </c>
    </row>
    <row r="61" spans="1:20" x14ac:dyDescent="0.2">
      <c r="A61" s="5">
        <v>70</v>
      </c>
      <c r="H61" s="21"/>
      <c r="I61" s="5"/>
      <c r="M61" s="5">
        <f>scrimecost*Meta!O58</f>
        <v>55.055</v>
      </c>
      <c r="N61" s="5">
        <f>L61-Grade14!L61</f>
        <v>0</v>
      </c>
      <c r="O61" s="5">
        <f>Grade14!M61-M61</f>
        <v>0.43999999999999773</v>
      </c>
      <c r="Q61" s="22"/>
      <c r="R61" s="22"/>
      <c r="S61" s="22">
        <f t="shared" si="19"/>
        <v>0.35727999999999815</v>
      </c>
      <c r="T61" s="22">
        <f t="shared" si="20"/>
        <v>5.0473682092330073E-2</v>
      </c>
    </row>
    <row r="62" spans="1:20" x14ac:dyDescent="0.2">
      <c r="A62" s="5">
        <v>71</v>
      </c>
      <c r="H62" s="21"/>
      <c r="I62" s="5"/>
      <c r="M62" s="5">
        <f>scrimecost*Meta!O59</f>
        <v>55.055</v>
      </c>
      <c r="N62" s="5">
        <f>L62-Grade14!L62</f>
        <v>0</v>
      </c>
      <c r="O62" s="5">
        <f>Grade14!M62-M62</f>
        <v>0.43999999999999773</v>
      </c>
      <c r="Q62" s="22"/>
      <c r="R62" s="22"/>
      <c r="S62" s="22">
        <f t="shared" si="19"/>
        <v>0.35727999999999815</v>
      </c>
      <c r="T62" s="22">
        <f t="shared" si="20"/>
        <v>4.8536238235843562E-2</v>
      </c>
    </row>
    <row r="63" spans="1:20" x14ac:dyDescent="0.2">
      <c r="A63" s="5">
        <v>72</v>
      </c>
      <c r="H63" s="21"/>
      <c r="M63" s="5">
        <f>scrimecost*Meta!O60</f>
        <v>55.055</v>
      </c>
      <c r="N63" s="5">
        <f>L63-Grade14!L63</f>
        <v>0</v>
      </c>
      <c r="O63" s="5">
        <f>Grade14!M63-M63</f>
        <v>0.43999999999999773</v>
      </c>
      <c r="Q63" s="22"/>
      <c r="R63" s="22"/>
      <c r="S63" s="22">
        <f t="shared" si="19"/>
        <v>0.35727999999999815</v>
      </c>
      <c r="T63" s="22">
        <f t="shared" si="20"/>
        <v>4.6673163605881314E-2</v>
      </c>
    </row>
    <row r="64" spans="1:20" x14ac:dyDescent="0.2">
      <c r="A64" s="5">
        <v>73</v>
      </c>
      <c r="H64" s="21"/>
      <c r="M64" s="5">
        <f>scrimecost*Meta!O61</f>
        <v>55.055</v>
      </c>
      <c r="N64" s="5">
        <f>L64-Grade14!L64</f>
        <v>0</v>
      </c>
      <c r="O64" s="5">
        <f>Grade14!M64-M64</f>
        <v>0.43999999999999773</v>
      </c>
      <c r="Q64" s="22"/>
      <c r="R64" s="22"/>
      <c r="S64" s="22">
        <f t="shared" si="19"/>
        <v>0.35727999999999815</v>
      </c>
      <c r="T64" s="22">
        <f t="shared" si="20"/>
        <v>4.4881603522636544E-2</v>
      </c>
    </row>
    <row r="65" spans="1:20" x14ac:dyDescent="0.2">
      <c r="A65" s="5">
        <v>74</v>
      </c>
      <c r="H65" s="21"/>
      <c r="M65" s="5">
        <f>scrimecost*Meta!O62</f>
        <v>55.055</v>
      </c>
      <c r="N65" s="5">
        <f>L65-Grade14!L65</f>
        <v>0</v>
      </c>
      <c r="O65" s="5">
        <f>Grade14!M65-M65</f>
        <v>0.43999999999999773</v>
      </c>
      <c r="Q65" s="22"/>
      <c r="R65" s="22"/>
      <c r="S65" s="22">
        <f t="shared" si="19"/>
        <v>0.35727999999999815</v>
      </c>
      <c r="T65" s="22">
        <f t="shared" si="20"/>
        <v>4.3158812883841262E-2</v>
      </c>
    </row>
    <row r="66" spans="1:20" x14ac:dyDescent="0.2">
      <c r="A66" s="5">
        <v>75</v>
      </c>
      <c r="H66" s="21"/>
      <c r="M66" s="5">
        <f>scrimecost*Meta!O63</f>
        <v>55.055</v>
      </c>
      <c r="N66" s="5">
        <f>L66-Grade14!L66</f>
        <v>0</v>
      </c>
      <c r="O66" s="5">
        <f>Grade14!M66-M66</f>
        <v>0.43999999999999773</v>
      </c>
      <c r="Q66" s="22"/>
      <c r="R66" s="22"/>
      <c r="S66" s="22">
        <f t="shared" si="19"/>
        <v>0.35727999999999815</v>
      </c>
      <c r="T66" s="22">
        <f t="shared" si="20"/>
        <v>4.1502151958607209E-2</v>
      </c>
    </row>
    <row r="67" spans="1:20" x14ac:dyDescent="0.2">
      <c r="A67" s="5">
        <v>76</v>
      </c>
      <c r="H67" s="21"/>
      <c r="M67" s="5">
        <f>scrimecost*Meta!O64</f>
        <v>55.055</v>
      </c>
      <c r="N67" s="5">
        <f>L67-Grade14!L67</f>
        <v>0</v>
      </c>
      <c r="O67" s="5">
        <f>Grade14!M67-M67</f>
        <v>0.43999999999999773</v>
      </c>
      <c r="Q67" s="22"/>
      <c r="R67" s="22"/>
      <c r="S67" s="22">
        <f t="shared" si="19"/>
        <v>0.35727999999999815</v>
      </c>
      <c r="T67" s="22">
        <f t="shared" si="20"/>
        <v>3.9909082342721357E-2</v>
      </c>
    </row>
    <row r="68" spans="1:20" x14ac:dyDescent="0.2">
      <c r="A68" s="5">
        <v>77</v>
      </c>
      <c r="H68" s="21"/>
      <c r="M68" s="5">
        <f>scrimecost*Meta!O65</f>
        <v>55.055</v>
      </c>
      <c r="N68" s="5">
        <f>L68-Grade14!L68</f>
        <v>0</v>
      </c>
      <c r="O68" s="5">
        <f>Grade14!M68-M68</f>
        <v>0.43999999999999773</v>
      </c>
      <c r="Q68" s="22"/>
      <c r="R68" s="22"/>
      <c r="S68" s="22">
        <f t="shared" si="19"/>
        <v>0.35727999999999815</v>
      </c>
      <c r="T68" s="22">
        <f t="shared" si="20"/>
        <v>3.8377163069198222E-2</v>
      </c>
    </row>
    <row r="69" spans="1:20" x14ac:dyDescent="0.2">
      <c r="A69" s="5">
        <v>78</v>
      </c>
      <c r="H69" s="21"/>
      <c r="M69" s="5">
        <f>scrimecost*Meta!O66</f>
        <v>55.055</v>
      </c>
      <c r="N69" s="5">
        <f>L69-Grade14!L69</f>
        <v>0</v>
      </c>
      <c r="O69" s="5">
        <f>Grade14!M69-M69</f>
        <v>0.43999999999999773</v>
      </c>
      <c r="Q69" s="22"/>
      <c r="R69" s="22"/>
      <c r="S69" s="22">
        <f t="shared" si="19"/>
        <v>0.35727999999999815</v>
      </c>
      <c r="T69" s="22">
        <f t="shared" si="20"/>
        <v>3.6904046868129592E-2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8.0750501701976063E-8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12" sqref="S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Meta!A10+6</f>
        <v>22</v>
      </c>
      <c r="C2" s="7">
        <f>Meta!B10</f>
        <v>176140</v>
      </c>
      <c r="D2" s="7">
        <f>Meta!C10</f>
        <v>75740</v>
      </c>
      <c r="E2" s="1">
        <f>Meta!D10</f>
        <v>3.4000000000000002E-2</v>
      </c>
      <c r="F2" s="1">
        <f>Meta!F10</f>
        <v>0.77700000000000002</v>
      </c>
      <c r="G2" s="1">
        <f>Meta!I10</f>
        <v>1.7852800699689915</v>
      </c>
      <c r="H2" s="1">
        <f>Meta!E10</f>
        <v>0.81200000000000006</v>
      </c>
      <c r="I2" s="13"/>
      <c r="J2" s="1">
        <f>Meta!X9</f>
        <v>0.77300000000000002</v>
      </c>
      <c r="K2" s="1">
        <f>Meta!D9</f>
        <v>4.2000000000000003E-2</v>
      </c>
      <c r="L2" s="29"/>
      <c r="N2" s="22">
        <f>Meta!T10</f>
        <v>176140</v>
      </c>
      <c r="O2" s="22">
        <f>Meta!U10</f>
        <v>75740</v>
      </c>
      <c r="P2" s="1">
        <f>Meta!V10</f>
        <v>3.4000000000000002E-2</v>
      </c>
      <c r="Q2" s="1">
        <f>Meta!X10</f>
        <v>0.77700000000000002</v>
      </c>
      <c r="R2" s="22">
        <f>Meta!W10</f>
        <v>994</v>
      </c>
      <c r="T2" s="12">
        <f>IRR(S5:S69)+1</f>
        <v>1.0388350540137572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B12" s="1">
        <v>1</v>
      </c>
      <c r="C12" s="5">
        <f>0.1*Grade15!C12</f>
        <v>7352.0417554656906</v>
      </c>
      <c r="D12" s="5">
        <f t="shared" ref="D12:D36" si="0">IF(A12&lt;startage,1,0)*(C12*(1-initialunempprob))+IF(A12=startage,1,0)*(C12*(1-unempprob))+IF(A12&gt;startage,1,0)*(C12*(1-unempprob)+unempprob*300*52)</f>
        <v>7043.2560017361311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538.80908413281406</v>
      </c>
      <c r="G12" s="5">
        <f t="shared" ref="G12:G56" si="3">D12-F12</f>
        <v>6504.4469176033172</v>
      </c>
      <c r="H12" s="22">
        <f>0.1*Grade15!H12</f>
        <v>3258.1833342043888</v>
      </c>
      <c r="I12" s="5">
        <f t="shared" ref="I12:I36" si="4">G12+IF(A12&lt;startage,1,0)*(H12*(1-initialunempprob))+IF(A12&gt;=startage,1,0)*(H12*(1-unempprob))</f>
        <v>9625.7865517711216</v>
      </c>
      <c r="J12" s="26">
        <f t="shared" ref="J12:J56" si="5">(F12-(IF(A12&gt;startage,1,0)*(unempprob*300*52)))/(IF(A12&lt;startage,1,0)*((C12+H12)*(1-initialunempprob))+IF(A12&gt;=startage,1,0)*((C12+H12)*(1-unempprob)))</f>
        <v>5.3008413067569891E-2</v>
      </c>
      <c r="L12" s="22">
        <f>0.1*Grade15!L12</f>
        <v>12724.644034197674</v>
      </c>
      <c r="M12" s="5">
        <f>scrimecost*Meta!O9</f>
        <v>3045.616</v>
      </c>
      <c r="N12" s="5">
        <f>L12-Grade15!L12</f>
        <v>-114521.79630777906</v>
      </c>
      <c r="O12" s="5"/>
      <c r="P12" s="22"/>
      <c r="Q12" s="22">
        <f>0.05*feel*Grade15!G12</f>
        <v>666.30302437939406</v>
      </c>
      <c r="R12" s="22">
        <f>coltuition</f>
        <v>8279</v>
      </c>
      <c r="S12" s="22">
        <f t="shared" ref="S12:S43" si="6">IF(A12&lt;startage,1,0)*(N12-Q12-R12)+IF(A12&gt;=startage,1,0)*completionprob*(N12*spart+O12+P12)</f>
        <v>-123467.09933215845</v>
      </c>
      <c r="T12" s="22">
        <f t="shared" ref="T12:T43" si="7">S12/sreturn^(A12-startage+1)</f>
        <v>-123467.09933215845</v>
      </c>
    </row>
    <row r="13" spans="1:20" x14ac:dyDescent="0.2">
      <c r="A13" s="5">
        <v>22</v>
      </c>
      <c r="B13" s="1">
        <f t="shared" ref="B13:B36" si="8">(1+experiencepremium)^(A13-startage)</f>
        <v>1</v>
      </c>
      <c r="C13" s="5">
        <f t="shared" ref="C13:C36" si="9">pretaxincome*B13/expnorm</f>
        <v>98662.390827596799</v>
      </c>
      <c r="D13" s="5">
        <f t="shared" si="0"/>
        <v>95307.869539458508</v>
      </c>
      <c r="E13" s="5">
        <f t="shared" si="1"/>
        <v>85807.869539458508</v>
      </c>
      <c r="F13" s="5">
        <f t="shared" si="2"/>
        <v>33515.04244476281</v>
      </c>
      <c r="G13" s="5">
        <f t="shared" si="3"/>
        <v>61792.827094695698</v>
      </c>
      <c r="H13" s="22">
        <f t="shared" ref="H13:H36" si="10">benefits*B13/expnorm</f>
        <v>42424.71602862599</v>
      </c>
      <c r="I13" s="5">
        <f t="shared" si="4"/>
        <v>102775.1027783484</v>
      </c>
      <c r="J13" s="26">
        <f t="shared" si="5"/>
        <v>0.24590950717601515</v>
      </c>
      <c r="L13" s="22">
        <f t="shared" ref="L13:L36" si="11">(sincome+sbenefits)*(1-sunemp)*B13/expnorm</f>
        <v>136290.14522311121</v>
      </c>
      <c r="M13" s="5">
        <f>scrimecost*Meta!O10</f>
        <v>2791.152</v>
      </c>
      <c r="N13" s="5">
        <f>L13-Grade15!L13</f>
        <v>5862.5438725850545</v>
      </c>
      <c r="O13" s="5">
        <f>Grade15!M13-M13</f>
        <v>19.655999999999949</v>
      </c>
      <c r="P13" s="22">
        <f t="shared" ref="P13:P56" si="12">(spart-initialspart)*(L13*J13+nptrans)</f>
        <v>160.27616977905137</v>
      </c>
      <c r="Q13" s="22"/>
      <c r="R13" s="22"/>
      <c r="S13" s="22">
        <f t="shared" si="6"/>
        <v>3844.9245521274429</v>
      </c>
      <c r="T13" s="22">
        <f t="shared" si="7"/>
        <v>3701.1886894572631</v>
      </c>
    </row>
    <row r="14" spans="1:20" x14ac:dyDescent="0.2">
      <c r="A14" s="5">
        <v>23</v>
      </c>
      <c r="B14" s="1">
        <f t="shared" si="8"/>
        <v>1.0249999999999999</v>
      </c>
      <c r="C14" s="5">
        <f t="shared" si="9"/>
        <v>101128.95059828671</v>
      </c>
      <c r="D14" s="5">
        <f t="shared" si="0"/>
        <v>98220.966277944957</v>
      </c>
      <c r="E14" s="5">
        <f t="shared" si="1"/>
        <v>88720.966277944957</v>
      </c>
      <c r="F14" s="5">
        <f t="shared" si="2"/>
        <v>34844.871105881874</v>
      </c>
      <c r="G14" s="5">
        <f t="shared" si="3"/>
        <v>63376.095172063084</v>
      </c>
      <c r="H14" s="22">
        <f t="shared" si="10"/>
        <v>43485.333929341636</v>
      </c>
      <c r="I14" s="5">
        <f t="shared" si="4"/>
        <v>105382.9277478071</v>
      </c>
      <c r="J14" s="26">
        <f t="shared" si="5"/>
        <v>0.24563428802150339</v>
      </c>
      <c r="L14" s="22">
        <f t="shared" si="11"/>
        <v>139697.39885368897</v>
      </c>
      <c r="M14" s="5">
        <f>scrimecost*Meta!O11</f>
        <v>2608.2560000000003</v>
      </c>
      <c r="N14" s="5">
        <f>L14-Grade15!L14</f>
        <v>6009.1074693996634</v>
      </c>
      <c r="O14" s="5">
        <f>Grade15!M14-M14</f>
        <v>18.367999999999938</v>
      </c>
      <c r="P14" s="22">
        <f t="shared" si="12"/>
        <v>163.47388442352764</v>
      </c>
      <c r="Q14" s="22"/>
      <c r="R14" s="22"/>
      <c r="S14" s="22">
        <f t="shared" si="6"/>
        <v>3938.9457311754181</v>
      </c>
      <c r="T14" s="22">
        <f t="shared" si="7"/>
        <v>3649.9490794890121</v>
      </c>
    </row>
    <row r="15" spans="1:20" x14ac:dyDescent="0.2">
      <c r="A15" s="5">
        <v>24</v>
      </c>
      <c r="B15" s="1">
        <f t="shared" si="8"/>
        <v>1.0506249999999999</v>
      </c>
      <c r="C15" s="5">
        <f t="shared" si="9"/>
        <v>103657.17436324389</v>
      </c>
      <c r="D15" s="5">
        <f t="shared" si="0"/>
        <v>100663.23043489359</v>
      </c>
      <c r="E15" s="5">
        <f t="shared" si="1"/>
        <v>91163.230434893587</v>
      </c>
      <c r="F15" s="5">
        <f t="shared" si="2"/>
        <v>35959.764693528923</v>
      </c>
      <c r="G15" s="5">
        <f t="shared" si="3"/>
        <v>64703.465741364664</v>
      </c>
      <c r="H15" s="22">
        <f t="shared" si="10"/>
        <v>44572.467277575175</v>
      </c>
      <c r="I15" s="5">
        <f t="shared" si="4"/>
        <v>107760.46913150228</v>
      </c>
      <c r="J15" s="26">
        <f t="shared" si="5"/>
        <v>0.24742933033096004</v>
      </c>
      <c r="L15" s="22">
        <f t="shared" si="11"/>
        <v>143189.83382503121</v>
      </c>
      <c r="M15" s="5">
        <f>scrimecost*Meta!O12</f>
        <v>2491.9580000000001</v>
      </c>
      <c r="N15" s="5">
        <f>L15-Grade15!L15</f>
        <v>6159.335156134679</v>
      </c>
      <c r="O15" s="5">
        <f>Grade15!M15-M15</f>
        <v>17.548999999999978</v>
      </c>
      <c r="P15" s="22">
        <f t="shared" si="12"/>
        <v>167.93345877411585</v>
      </c>
      <c r="Q15" s="22"/>
      <c r="R15" s="22"/>
      <c r="S15" s="22">
        <f t="shared" si="6"/>
        <v>4036.6841305736989</v>
      </c>
      <c r="T15" s="22">
        <f t="shared" si="7"/>
        <v>3600.6837584828736</v>
      </c>
    </row>
    <row r="16" spans="1:20" x14ac:dyDescent="0.2">
      <c r="A16" s="5">
        <v>25</v>
      </c>
      <c r="B16" s="1">
        <f t="shared" si="8"/>
        <v>1.0768906249999999</v>
      </c>
      <c r="C16" s="5">
        <f t="shared" si="9"/>
        <v>106248.60372232499</v>
      </c>
      <c r="D16" s="5">
        <f t="shared" si="0"/>
        <v>103166.55119576593</v>
      </c>
      <c r="E16" s="5">
        <f t="shared" si="1"/>
        <v>93666.551195765933</v>
      </c>
      <c r="F16" s="5">
        <f t="shared" si="2"/>
        <v>37102.530620867146</v>
      </c>
      <c r="G16" s="5">
        <f t="shared" si="3"/>
        <v>66064.020574898779</v>
      </c>
      <c r="H16" s="22">
        <f t="shared" si="10"/>
        <v>45686.778959514551</v>
      </c>
      <c r="I16" s="5">
        <f t="shared" si="4"/>
        <v>110197.44904978984</v>
      </c>
      <c r="J16" s="26">
        <f t="shared" si="5"/>
        <v>0.24918059112067384</v>
      </c>
      <c r="L16" s="22">
        <f t="shared" si="11"/>
        <v>146769.57967065697</v>
      </c>
      <c r="M16" s="5">
        <f>scrimecost*Meta!O13</f>
        <v>2092.37</v>
      </c>
      <c r="N16" s="5">
        <f>L16-Grade15!L16</f>
        <v>6313.3185350380372</v>
      </c>
      <c r="O16" s="5">
        <f>Grade15!M16-M16</f>
        <v>14.735000000000127</v>
      </c>
      <c r="P16" s="22">
        <f t="shared" si="12"/>
        <v>172.50452248346869</v>
      </c>
      <c r="Q16" s="22"/>
      <c r="R16" s="22"/>
      <c r="S16" s="22">
        <f t="shared" si="6"/>
        <v>4135.2626756569161</v>
      </c>
      <c r="T16" s="22">
        <f t="shared" si="7"/>
        <v>3550.7223852252559</v>
      </c>
    </row>
    <row r="17" spans="1:20" x14ac:dyDescent="0.2">
      <c r="A17" s="5">
        <v>26</v>
      </c>
      <c r="B17" s="1">
        <f t="shared" si="8"/>
        <v>1.1038128906249998</v>
      </c>
      <c r="C17" s="5">
        <f t="shared" si="9"/>
        <v>108904.81881538309</v>
      </c>
      <c r="D17" s="5">
        <f t="shared" si="0"/>
        <v>105732.45497566005</v>
      </c>
      <c r="E17" s="5">
        <f t="shared" si="1"/>
        <v>96232.454975660046</v>
      </c>
      <c r="F17" s="5">
        <f t="shared" si="2"/>
        <v>38273.865696388813</v>
      </c>
      <c r="G17" s="5">
        <f t="shared" si="3"/>
        <v>67458.589279271226</v>
      </c>
      <c r="H17" s="22">
        <f t="shared" si="10"/>
        <v>46828.948433502417</v>
      </c>
      <c r="I17" s="5">
        <f t="shared" si="4"/>
        <v>112695.35346603456</v>
      </c>
      <c r="J17" s="26">
        <f t="shared" si="5"/>
        <v>0.25088913823258974</v>
      </c>
      <c r="L17" s="22">
        <f t="shared" si="11"/>
        <v>150438.81916242337</v>
      </c>
      <c r="M17" s="5">
        <f>scrimecost*Meta!O14</f>
        <v>2092.37</v>
      </c>
      <c r="N17" s="5">
        <f>L17-Grade15!L17</f>
        <v>6471.151498413994</v>
      </c>
      <c r="O17" s="5">
        <f>Grade15!M17-M17</f>
        <v>14.735000000000127</v>
      </c>
      <c r="P17" s="22">
        <f t="shared" si="12"/>
        <v>177.18986278555536</v>
      </c>
      <c r="Q17" s="22"/>
      <c r="R17" s="22"/>
      <c r="S17" s="22">
        <f t="shared" si="6"/>
        <v>4238.6477765672225</v>
      </c>
      <c r="T17" s="22">
        <f t="shared" si="7"/>
        <v>3503.4373024489155</v>
      </c>
    </row>
    <row r="18" spans="1:20" x14ac:dyDescent="0.2">
      <c r="A18" s="5">
        <v>27</v>
      </c>
      <c r="B18" s="1">
        <f t="shared" si="8"/>
        <v>1.1314082128906247</v>
      </c>
      <c r="C18" s="5">
        <f t="shared" si="9"/>
        <v>111627.43928576766</v>
      </c>
      <c r="D18" s="5">
        <f t="shared" si="0"/>
        <v>108362.50635005155</v>
      </c>
      <c r="E18" s="5">
        <f t="shared" si="1"/>
        <v>98862.506350051553</v>
      </c>
      <c r="F18" s="5">
        <f t="shared" si="2"/>
        <v>39377.608755095331</v>
      </c>
      <c r="G18" s="5">
        <f t="shared" si="3"/>
        <v>68984.897594956215</v>
      </c>
      <c r="H18" s="22">
        <f t="shared" si="10"/>
        <v>47999.672144339966</v>
      </c>
      <c r="I18" s="5">
        <f t="shared" si="4"/>
        <v>115352.58088638862</v>
      </c>
      <c r="J18" s="26">
        <f t="shared" si="5"/>
        <v>0.25192776751132723</v>
      </c>
      <c r="L18" s="22">
        <f t="shared" si="11"/>
        <v>154199.78964148395</v>
      </c>
      <c r="M18" s="5">
        <f>scrimecost*Meta!O15</f>
        <v>2092.37</v>
      </c>
      <c r="N18" s="5">
        <f>L18-Grade15!L18</f>
        <v>6632.9302858743467</v>
      </c>
      <c r="O18" s="5">
        <f>Grade15!M18-M18</f>
        <v>14.735000000000127</v>
      </c>
      <c r="P18" s="22">
        <f t="shared" si="12"/>
        <v>181.60483502038147</v>
      </c>
      <c r="Q18" s="22"/>
      <c r="R18" s="22"/>
      <c r="S18" s="22">
        <f t="shared" si="6"/>
        <v>4344.3028537215378</v>
      </c>
      <c r="T18" s="22">
        <f t="shared" si="7"/>
        <v>3456.5314949802555</v>
      </c>
    </row>
    <row r="19" spans="1:20" x14ac:dyDescent="0.2">
      <c r="A19" s="5">
        <v>28</v>
      </c>
      <c r="B19" s="1">
        <f t="shared" si="8"/>
        <v>1.1596934182128902</v>
      </c>
      <c r="C19" s="5">
        <f t="shared" si="9"/>
        <v>114418.12526791183</v>
      </c>
      <c r="D19" s="5">
        <f t="shared" si="0"/>
        <v>111058.30900880283</v>
      </c>
      <c r="E19" s="5">
        <f t="shared" si="1"/>
        <v>101558.30900880283</v>
      </c>
      <c r="F19" s="5">
        <f t="shared" si="2"/>
        <v>40441.102903972715</v>
      </c>
      <c r="G19" s="5">
        <f t="shared" si="3"/>
        <v>70617.206104830111</v>
      </c>
      <c r="H19" s="22">
        <f t="shared" si="10"/>
        <v>49199.663947948466</v>
      </c>
      <c r="I19" s="5">
        <f t="shared" si="4"/>
        <v>118144.08147854832</v>
      </c>
      <c r="J19" s="26">
        <f t="shared" si="5"/>
        <v>0.2525118303751035</v>
      </c>
      <c r="L19" s="22">
        <f t="shared" si="11"/>
        <v>158054.78438252106</v>
      </c>
      <c r="M19" s="5">
        <f>scrimecost*Meta!O16</f>
        <v>2092.37</v>
      </c>
      <c r="N19" s="5">
        <f>L19-Grade15!L19</f>
        <v>6798.7535430212156</v>
      </c>
      <c r="O19" s="5">
        <f>Grade15!M19-M19</f>
        <v>14.735000000000127</v>
      </c>
      <c r="P19" s="22">
        <f t="shared" si="12"/>
        <v>185.85881161589103</v>
      </c>
      <c r="Q19" s="22"/>
      <c r="R19" s="22"/>
      <c r="S19" s="22">
        <f t="shared" si="6"/>
        <v>4452.3789554092218</v>
      </c>
      <c r="T19" s="22">
        <f t="shared" si="7"/>
        <v>3410.0908574804253</v>
      </c>
    </row>
    <row r="20" spans="1:20" x14ac:dyDescent="0.2">
      <c r="A20" s="5">
        <v>29</v>
      </c>
      <c r="B20" s="1">
        <f t="shared" si="8"/>
        <v>1.1886857536682125</v>
      </c>
      <c r="C20" s="5">
        <f t="shared" si="9"/>
        <v>117278.57839960963</v>
      </c>
      <c r="D20" s="5">
        <f t="shared" si="0"/>
        <v>113821.50673402289</v>
      </c>
      <c r="E20" s="5">
        <f t="shared" si="1"/>
        <v>104321.50673402289</v>
      </c>
      <c r="F20" s="5">
        <f t="shared" si="2"/>
        <v>41531.184406572029</v>
      </c>
      <c r="G20" s="5">
        <f t="shared" si="3"/>
        <v>72290.322327450849</v>
      </c>
      <c r="H20" s="22">
        <f t="shared" si="10"/>
        <v>50429.655546647176</v>
      </c>
      <c r="I20" s="5">
        <f t="shared" si="4"/>
        <v>121005.36958551202</v>
      </c>
      <c r="J20" s="26">
        <f t="shared" si="5"/>
        <v>0.25308164780317793</v>
      </c>
      <c r="L20" s="22">
        <f t="shared" si="11"/>
        <v>162006.15399208409</v>
      </c>
      <c r="M20" s="5">
        <f>scrimecost*Meta!O17</f>
        <v>2092.37</v>
      </c>
      <c r="N20" s="5">
        <f>L20-Grade15!L20</f>
        <v>6968.7223815967736</v>
      </c>
      <c r="O20" s="5">
        <f>Grade15!M20-M20</f>
        <v>14.735000000000127</v>
      </c>
      <c r="P20" s="22">
        <f t="shared" si="12"/>
        <v>190.2191376262883</v>
      </c>
      <c r="Q20" s="22"/>
      <c r="R20" s="22"/>
      <c r="S20" s="22">
        <f t="shared" si="6"/>
        <v>4563.15695963911</v>
      </c>
      <c r="T20" s="22">
        <f t="shared" si="7"/>
        <v>3364.2839266502065</v>
      </c>
    </row>
    <row r="21" spans="1:20" x14ac:dyDescent="0.2">
      <c r="A21" s="5">
        <v>30</v>
      </c>
      <c r="B21" s="1">
        <f t="shared" si="8"/>
        <v>1.2184028975099177</v>
      </c>
      <c r="C21" s="5">
        <f t="shared" si="9"/>
        <v>120210.54285959987</v>
      </c>
      <c r="D21" s="5">
        <f t="shared" si="0"/>
        <v>116653.78440237347</v>
      </c>
      <c r="E21" s="5">
        <f t="shared" si="1"/>
        <v>107153.78440237347</v>
      </c>
      <c r="F21" s="5">
        <f t="shared" si="2"/>
        <v>42648.517946736327</v>
      </c>
      <c r="G21" s="5">
        <f t="shared" si="3"/>
        <v>74005.266455637146</v>
      </c>
      <c r="H21" s="22">
        <f t="shared" si="10"/>
        <v>51690.396935313351</v>
      </c>
      <c r="I21" s="5">
        <f t="shared" si="4"/>
        <v>123938.18989514984</v>
      </c>
      <c r="J21" s="26">
        <f t="shared" si="5"/>
        <v>0.2536375672452017</v>
      </c>
      <c r="L21" s="22">
        <f t="shared" si="11"/>
        <v>166056.30784188616</v>
      </c>
      <c r="M21" s="5">
        <f>scrimecost*Meta!O18</f>
        <v>1686.818</v>
      </c>
      <c r="N21" s="5">
        <f>L21-Grade15!L21</f>
        <v>7142.9404411366559</v>
      </c>
      <c r="O21" s="5">
        <f>Grade15!M21-M21</f>
        <v>11.879000000000133</v>
      </c>
      <c r="P21" s="22">
        <f t="shared" si="12"/>
        <v>194.68847178694543</v>
      </c>
      <c r="Q21" s="22"/>
      <c r="R21" s="22"/>
      <c r="S21" s="22">
        <f t="shared" si="6"/>
        <v>4674.3853419747029</v>
      </c>
      <c r="T21" s="22">
        <f t="shared" si="7"/>
        <v>3317.4558265140145</v>
      </c>
    </row>
    <row r="22" spans="1:20" x14ac:dyDescent="0.2">
      <c r="A22" s="5">
        <v>31</v>
      </c>
      <c r="B22" s="1">
        <f t="shared" si="8"/>
        <v>1.2488629699476654</v>
      </c>
      <c r="C22" s="5">
        <f t="shared" si="9"/>
        <v>123215.80643108985</v>
      </c>
      <c r="D22" s="5">
        <f t="shared" si="0"/>
        <v>119556.86901243278</v>
      </c>
      <c r="E22" s="5">
        <f t="shared" si="1"/>
        <v>110056.86901243278</v>
      </c>
      <c r="F22" s="5">
        <f t="shared" si="2"/>
        <v>43793.784825404728</v>
      </c>
      <c r="G22" s="5">
        <f t="shared" si="3"/>
        <v>75763.084187028056</v>
      </c>
      <c r="H22" s="22">
        <f t="shared" si="10"/>
        <v>52982.65685869618</v>
      </c>
      <c r="I22" s="5">
        <f t="shared" si="4"/>
        <v>126944.33071252856</v>
      </c>
      <c r="J22" s="26">
        <f t="shared" si="5"/>
        <v>0.25417992767644454</v>
      </c>
      <c r="L22" s="22">
        <f t="shared" si="11"/>
        <v>170207.71553793328</v>
      </c>
      <c r="M22" s="5">
        <f>scrimecost*Meta!O19</f>
        <v>1686.818</v>
      </c>
      <c r="N22" s="5">
        <f>L22-Grade15!L22</f>
        <v>7321.5139521650563</v>
      </c>
      <c r="O22" s="5">
        <f>Grade15!M22-M22</f>
        <v>11.879000000000133</v>
      </c>
      <c r="P22" s="22">
        <f t="shared" si="12"/>
        <v>199.26953930161909</v>
      </c>
      <c r="Q22" s="22"/>
      <c r="R22" s="22"/>
      <c r="S22" s="22">
        <f t="shared" si="6"/>
        <v>4790.7714826687015</v>
      </c>
      <c r="T22" s="22">
        <f t="shared" si="7"/>
        <v>3272.9509527503401</v>
      </c>
    </row>
    <row r="23" spans="1:20" x14ac:dyDescent="0.2">
      <c r="A23" s="5">
        <v>32</v>
      </c>
      <c r="B23" s="1">
        <f t="shared" si="8"/>
        <v>1.2800845441963571</v>
      </c>
      <c r="C23" s="5">
        <f t="shared" si="9"/>
        <v>126296.20159186709</v>
      </c>
      <c r="D23" s="5">
        <f t="shared" si="0"/>
        <v>122532.53073774361</v>
      </c>
      <c r="E23" s="5">
        <f t="shared" si="1"/>
        <v>113032.53073774361</v>
      </c>
      <c r="F23" s="5">
        <f t="shared" si="2"/>
        <v>44967.683376039851</v>
      </c>
      <c r="G23" s="5">
        <f t="shared" si="3"/>
        <v>77564.847361703753</v>
      </c>
      <c r="H23" s="22">
        <f t="shared" si="10"/>
        <v>54307.223280163584</v>
      </c>
      <c r="I23" s="5">
        <f t="shared" si="4"/>
        <v>130025.62505034177</v>
      </c>
      <c r="J23" s="26">
        <f t="shared" si="5"/>
        <v>0.25470905980448627</v>
      </c>
      <c r="L23" s="22">
        <f t="shared" si="11"/>
        <v>174462.90842638165</v>
      </c>
      <c r="M23" s="5">
        <f>scrimecost*Meta!O20</f>
        <v>1686.818</v>
      </c>
      <c r="N23" s="5">
        <f>L23-Grade15!L23</f>
        <v>7504.5518009692023</v>
      </c>
      <c r="O23" s="5">
        <f>Grade15!M23-M23</f>
        <v>11.879000000000133</v>
      </c>
      <c r="P23" s="22">
        <f t="shared" si="12"/>
        <v>203.96513350415961</v>
      </c>
      <c r="Q23" s="22"/>
      <c r="R23" s="22"/>
      <c r="S23" s="22">
        <f t="shared" si="6"/>
        <v>4910.0672768800714</v>
      </c>
      <c r="T23" s="22">
        <f t="shared" si="7"/>
        <v>3229.0508811584177</v>
      </c>
    </row>
    <row r="24" spans="1:20" x14ac:dyDescent="0.2">
      <c r="A24" s="5">
        <v>33</v>
      </c>
      <c r="B24" s="1">
        <f t="shared" si="8"/>
        <v>1.312086657801266</v>
      </c>
      <c r="C24" s="5">
        <f t="shared" si="9"/>
        <v>129453.60663166376</v>
      </c>
      <c r="D24" s="5">
        <f t="shared" si="0"/>
        <v>125582.58400618719</v>
      </c>
      <c r="E24" s="5">
        <f t="shared" si="1"/>
        <v>116082.58400618719</v>
      </c>
      <c r="F24" s="5">
        <f t="shared" si="2"/>
        <v>46170.929390440841</v>
      </c>
      <c r="G24" s="5">
        <f t="shared" si="3"/>
        <v>79411.654615746345</v>
      </c>
      <c r="H24" s="22">
        <f t="shared" si="10"/>
        <v>55664.903862167666</v>
      </c>
      <c r="I24" s="5">
        <f t="shared" si="4"/>
        <v>133183.9517466003</v>
      </c>
      <c r="J24" s="26">
        <f t="shared" si="5"/>
        <v>0.25522528627086843</v>
      </c>
      <c r="L24" s="22">
        <f t="shared" si="11"/>
        <v>178824.48113704118</v>
      </c>
      <c r="M24" s="5">
        <f>scrimecost*Meta!O21</f>
        <v>1686.818</v>
      </c>
      <c r="N24" s="5">
        <f>L24-Grade15!L24</f>
        <v>7692.1655959934578</v>
      </c>
      <c r="O24" s="5">
        <f>Grade15!M24-M24</f>
        <v>11.879000000000133</v>
      </c>
      <c r="P24" s="22">
        <f t="shared" si="12"/>
        <v>208.77811756176357</v>
      </c>
      <c r="Q24" s="22"/>
      <c r="R24" s="22"/>
      <c r="S24" s="22">
        <f t="shared" si="6"/>
        <v>5032.3454659467288</v>
      </c>
      <c r="T24" s="22">
        <f t="shared" si="7"/>
        <v>3185.747105004687</v>
      </c>
    </row>
    <row r="25" spans="1:20" x14ac:dyDescent="0.2">
      <c r="A25" s="5">
        <v>34</v>
      </c>
      <c r="B25" s="1">
        <f t="shared" si="8"/>
        <v>1.3448888242462975</v>
      </c>
      <c r="C25" s="5">
        <f t="shared" si="9"/>
        <v>132689.94679745534</v>
      </c>
      <c r="D25" s="5">
        <f t="shared" si="0"/>
        <v>128708.88860634185</v>
      </c>
      <c r="E25" s="5">
        <f t="shared" si="1"/>
        <v>119208.88860634185</v>
      </c>
      <c r="F25" s="5">
        <f t="shared" si="2"/>
        <v>47404.256555201857</v>
      </c>
      <c r="G25" s="5">
        <f t="shared" si="3"/>
        <v>81304.632051139983</v>
      </c>
      <c r="H25" s="22">
        <f t="shared" si="10"/>
        <v>57056.526458721863</v>
      </c>
      <c r="I25" s="5">
        <f t="shared" si="4"/>
        <v>136421.2366102653</v>
      </c>
      <c r="J25" s="26">
        <f t="shared" si="5"/>
        <v>0.25572892184782664</v>
      </c>
      <c r="L25" s="22">
        <f t="shared" si="11"/>
        <v>183295.09316546717</v>
      </c>
      <c r="M25" s="5">
        <f>scrimecost*Meta!O22</f>
        <v>1686.818</v>
      </c>
      <c r="N25" s="5">
        <f>L25-Grade15!L25</f>
        <v>7884.4697358932754</v>
      </c>
      <c r="O25" s="5">
        <f>Grade15!M25-M25</f>
        <v>11.879000000000133</v>
      </c>
      <c r="P25" s="22">
        <f t="shared" si="12"/>
        <v>213.71142622080762</v>
      </c>
      <c r="Q25" s="22"/>
      <c r="R25" s="22"/>
      <c r="S25" s="22">
        <f t="shared" si="6"/>
        <v>5157.6806097400249</v>
      </c>
      <c r="T25" s="22">
        <f t="shared" si="7"/>
        <v>3143.0312477467373</v>
      </c>
    </row>
    <row r="26" spans="1:20" x14ac:dyDescent="0.2">
      <c r="A26" s="5">
        <v>35</v>
      </c>
      <c r="B26" s="1">
        <f t="shared" si="8"/>
        <v>1.3785110448524549</v>
      </c>
      <c r="C26" s="5">
        <f t="shared" si="9"/>
        <v>136007.19546739172</v>
      </c>
      <c r="D26" s="5">
        <f t="shared" si="0"/>
        <v>131913.35082150038</v>
      </c>
      <c r="E26" s="5">
        <f t="shared" si="1"/>
        <v>122413.35082150038</v>
      </c>
      <c r="F26" s="5">
        <f t="shared" si="2"/>
        <v>48668.416899081902</v>
      </c>
      <c r="G26" s="5">
        <f t="shared" si="3"/>
        <v>83244.933922418481</v>
      </c>
      <c r="H26" s="22">
        <f t="shared" si="10"/>
        <v>58482.939620189907</v>
      </c>
      <c r="I26" s="5">
        <f t="shared" si="4"/>
        <v>139739.45359552192</v>
      </c>
      <c r="J26" s="26">
        <f t="shared" si="5"/>
        <v>0.25622027363022487</v>
      </c>
      <c r="L26" s="22">
        <f t="shared" si="11"/>
        <v>187877.47049460383</v>
      </c>
      <c r="M26" s="5">
        <f>scrimecost*Meta!O23</f>
        <v>1309.098</v>
      </c>
      <c r="N26" s="5">
        <f>L26-Grade15!L26</f>
        <v>8081.5814792905876</v>
      </c>
      <c r="O26" s="5">
        <f>Grade15!M26-M26</f>
        <v>9.2190000000000509</v>
      </c>
      <c r="P26" s="22">
        <f t="shared" si="12"/>
        <v>218.76806759632777</v>
      </c>
      <c r="Q26" s="22"/>
      <c r="R26" s="22"/>
      <c r="S26" s="22">
        <f t="shared" si="6"/>
        <v>5283.9892121281537</v>
      </c>
      <c r="T26" s="22">
        <f t="shared" si="7"/>
        <v>3099.6280352599897</v>
      </c>
    </row>
    <row r="27" spans="1:20" x14ac:dyDescent="0.2">
      <c r="A27" s="5">
        <v>36</v>
      </c>
      <c r="B27" s="1">
        <f t="shared" si="8"/>
        <v>1.4129738209737661</v>
      </c>
      <c r="C27" s="5">
        <f t="shared" si="9"/>
        <v>139407.3753540765</v>
      </c>
      <c r="D27" s="5">
        <f t="shared" si="0"/>
        <v>135197.92459203789</v>
      </c>
      <c r="E27" s="5">
        <f t="shared" si="1"/>
        <v>125697.92459203789</v>
      </c>
      <c r="F27" s="5">
        <f t="shared" si="2"/>
        <v>49964.181251558948</v>
      </c>
      <c r="G27" s="5">
        <f t="shared" si="3"/>
        <v>85233.743340478948</v>
      </c>
      <c r="H27" s="22">
        <f t="shared" si="10"/>
        <v>59945.013110694643</v>
      </c>
      <c r="I27" s="5">
        <f t="shared" si="4"/>
        <v>143140.62600540998</v>
      </c>
      <c r="J27" s="26">
        <f t="shared" si="5"/>
        <v>0.25669964122280858</v>
      </c>
      <c r="L27" s="22">
        <f t="shared" si="11"/>
        <v>192574.40725696893</v>
      </c>
      <c r="M27" s="5">
        <f>scrimecost*Meta!O24</f>
        <v>1309.098</v>
      </c>
      <c r="N27" s="5">
        <f>L27-Grade15!L27</f>
        <v>8283.6210162728385</v>
      </c>
      <c r="O27" s="5">
        <f>Grade15!M27-M27</f>
        <v>9.2190000000000509</v>
      </c>
      <c r="P27" s="22">
        <f t="shared" si="12"/>
        <v>223.951125006236</v>
      </c>
      <c r="Q27" s="22"/>
      <c r="R27" s="22"/>
      <c r="S27" s="22">
        <f t="shared" si="6"/>
        <v>5415.6694475759887</v>
      </c>
      <c r="T27" s="22">
        <f t="shared" si="7"/>
        <v>3058.1107607142512</v>
      </c>
    </row>
    <row r="28" spans="1:20" x14ac:dyDescent="0.2">
      <c r="A28" s="5">
        <v>37</v>
      </c>
      <c r="B28" s="1">
        <f t="shared" si="8"/>
        <v>1.4482981664981105</v>
      </c>
      <c r="C28" s="5">
        <f t="shared" si="9"/>
        <v>142892.55973792844</v>
      </c>
      <c r="D28" s="5">
        <f t="shared" si="0"/>
        <v>138564.61270683887</v>
      </c>
      <c r="E28" s="5">
        <f t="shared" si="1"/>
        <v>129064.61270683887</v>
      </c>
      <c r="F28" s="5">
        <f t="shared" si="2"/>
        <v>51292.339712847934</v>
      </c>
      <c r="G28" s="5">
        <f t="shared" si="3"/>
        <v>87272.272993990948</v>
      </c>
      <c r="H28" s="22">
        <f t="shared" si="10"/>
        <v>61443.638438462018</v>
      </c>
      <c r="I28" s="5">
        <f t="shared" si="4"/>
        <v>146626.82772554527</v>
      </c>
      <c r="J28" s="26">
        <f t="shared" si="5"/>
        <v>0.25716731692289024</v>
      </c>
      <c r="L28" s="22">
        <f t="shared" si="11"/>
        <v>197388.76743839317</v>
      </c>
      <c r="M28" s="5">
        <f>scrimecost*Meta!O25</f>
        <v>1309.098</v>
      </c>
      <c r="N28" s="5">
        <f>L28-Grade15!L28</f>
        <v>8490.7115416796587</v>
      </c>
      <c r="O28" s="5">
        <f>Grade15!M28-M28</f>
        <v>9.2190000000000509</v>
      </c>
      <c r="P28" s="22">
        <f t="shared" si="12"/>
        <v>229.26375885139194</v>
      </c>
      <c r="Q28" s="22"/>
      <c r="R28" s="22"/>
      <c r="S28" s="22">
        <f t="shared" si="6"/>
        <v>5550.6416889100274</v>
      </c>
      <c r="T28" s="22">
        <f t="shared" si="7"/>
        <v>3017.1552625222339</v>
      </c>
    </row>
    <row r="29" spans="1:20" x14ac:dyDescent="0.2">
      <c r="A29" s="5">
        <v>38</v>
      </c>
      <c r="B29" s="1">
        <f t="shared" si="8"/>
        <v>1.4845056206605631</v>
      </c>
      <c r="C29" s="5">
        <f t="shared" si="9"/>
        <v>146464.87373137663</v>
      </c>
      <c r="D29" s="5">
        <f t="shared" si="0"/>
        <v>142015.46802450981</v>
      </c>
      <c r="E29" s="5">
        <f t="shared" si="1"/>
        <v>132515.46802450981</v>
      </c>
      <c r="F29" s="5">
        <f t="shared" si="2"/>
        <v>52653.702135669126</v>
      </c>
      <c r="G29" s="5">
        <f t="shared" si="3"/>
        <v>89361.765888840688</v>
      </c>
      <c r="H29" s="22">
        <f t="shared" si="10"/>
        <v>62979.729399423566</v>
      </c>
      <c r="I29" s="5">
        <f t="shared" si="4"/>
        <v>150200.18448868385</v>
      </c>
      <c r="J29" s="26">
        <f t="shared" si="5"/>
        <v>0.25762358589857959</v>
      </c>
      <c r="L29" s="22">
        <f t="shared" si="11"/>
        <v>202323.48662435298</v>
      </c>
      <c r="M29" s="5">
        <f>scrimecost*Meta!O26</f>
        <v>1309.098</v>
      </c>
      <c r="N29" s="5">
        <f>L29-Grade15!L29</f>
        <v>8702.9793302216858</v>
      </c>
      <c r="O29" s="5">
        <f>Grade15!M29-M29</f>
        <v>9.2190000000000509</v>
      </c>
      <c r="P29" s="22">
        <f t="shared" si="12"/>
        <v>234.70920854267666</v>
      </c>
      <c r="Q29" s="22"/>
      <c r="R29" s="22"/>
      <c r="S29" s="22">
        <f t="shared" si="6"/>
        <v>5688.9882362774406</v>
      </c>
      <c r="T29" s="22">
        <f t="shared" si="7"/>
        <v>2976.7537279868311</v>
      </c>
    </row>
    <row r="30" spans="1:20" x14ac:dyDescent="0.2">
      <c r="A30" s="5">
        <v>39</v>
      </c>
      <c r="B30" s="1">
        <f t="shared" si="8"/>
        <v>1.521618261177077</v>
      </c>
      <c r="C30" s="5">
        <f t="shared" si="9"/>
        <v>150126.49557466104</v>
      </c>
      <c r="D30" s="5">
        <f t="shared" si="0"/>
        <v>145552.59472512256</v>
      </c>
      <c r="E30" s="5">
        <f t="shared" si="1"/>
        <v>136052.59472512256</v>
      </c>
      <c r="F30" s="5">
        <f t="shared" si="2"/>
        <v>54049.098619060846</v>
      </c>
      <c r="G30" s="5">
        <f t="shared" si="3"/>
        <v>91503.496106061706</v>
      </c>
      <c r="H30" s="22">
        <f t="shared" si="10"/>
        <v>64554.22263440914</v>
      </c>
      <c r="I30" s="5">
        <f t="shared" si="4"/>
        <v>153862.87517090092</v>
      </c>
      <c r="J30" s="26">
        <f t="shared" si="5"/>
        <v>0.25806872636266681</v>
      </c>
      <c r="L30" s="22">
        <f t="shared" si="11"/>
        <v>207381.57378996178</v>
      </c>
      <c r="M30" s="5">
        <f>scrimecost*Meta!O27</f>
        <v>1309.098</v>
      </c>
      <c r="N30" s="5">
        <f>L30-Grade15!L30</f>
        <v>8920.5538134771632</v>
      </c>
      <c r="O30" s="5">
        <f>Grade15!M30-M30</f>
        <v>9.2190000000000509</v>
      </c>
      <c r="P30" s="22">
        <f t="shared" si="12"/>
        <v>240.29079447624358</v>
      </c>
      <c r="Q30" s="22"/>
      <c r="R30" s="22"/>
      <c r="S30" s="22">
        <f t="shared" si="6"/>
        <v>5830.7934473289761</v>
      </c>
      <c r="T30" s="22">
        <f t="shared" si="7"/>
        <v>2936.8984608346573</v>
      </c>
    </row>
    <row r="31" spans="1:20" x14ac:dyDescent="0.2">
      <c r="A31" s="5">
        <v>40</v>
      </c>
      <c r="B31" s="1">
        <f t="shared" si="8"/>
        <v>1.559658717706504</v>
      </c>
      <c r="C31" s="5">
        <f t="shared" si="9"/>
        <v>153879.65796402757</v>
      </c>
      <c r="D31" s="5">
        <f t="shared" si="0"/>
        <v>149178.14959325062</v>
      </c>
      <c r="E31" s="5">
        <f t="shared" si="1"/>
        <v>139678.14959325062</v>
      </c>
      <c r="F31" s="5">
        <f t="shared" si="2"/>
        <v>55479.380014537368</v>
      </c>
      <c r="G31" s="5">
        <f t="shared" si="3"/>
        <v>93698.769578713254</v>
      </c>
      <c r="H31" s="22">
        <f t="shared" si="10"/>
        <v>66168.078200269374</v>
      </c>
      <c r="I31" s="5">
        <f t="shared" si="4"/>
        <v>157617.13312017347</v>
      </c>
      <c r="J31" s="26">
        <f t="shared" si="5"/>
        <v>0.25850300974226409</v>
      </c>
      <c r="L31" s="22">
        <f t="shared" si="11"/>
        <v>212566.11313471082</v>
      </c>
      <c r="M31" s="5">
        <f>scrimecost*Meta!O28</f>
        <v>1145.088</v>
      </c>
      <c r="N31" s="5">
        <f>L31-Grade15!L31</f>
        <v>9143.5676588141068</v>
      </c>
      <c r="O31" s="5">
        <f>Grade15!M31-M31</f>
        <v>8.0639999999998508</v>
      </c>
      <c r="P31" s="22">
        <f t="shared" si="12"/>
        <v>246.01192005814966</v>
      </c>
      <c r="Q31" s="22"/>
      <c r="R31" s="22"/>
      <c r="S31" s="22">
        <f t="shared" si="6"/>
        <v>5975.2059286568492</v>
      </c>
      <c r="T31" s="22">
        <f t="shared" si="7"/>
        <v>2897.1271501608289</v>
      </c>
    </row>
    <row r="32" spans="1:20" x14ac:dyDescent="0.2">
      <c r="A32" s="5">
        <v>41</v>
      </c>
      <c r="B32" s="1">
        <f t="shared" si="8"/>
        <v>1.5986501856491666</v>
      </c>
      <c r="C32" s="5">
        <f t="shared" si="9"/>
        <v>157726.64941312827</v>
      </c>
      <c r="D32" s="5">
        <f t="shared" si="0"/>
        <v>152894.3433330819</v>
      </c>
      <c r="E32" s="5">
        <f t="shared" si="1"/>
        <v>143394.3433330819</v>
      </c>
      <c r="F32" s="5">
        <f t="shared" si="2"/>
        <v>56945.41844490081</v>
      </c>
      <c r="G32" s="5">
        <f t="shared" si="3"/>
        <v>95948.924888181093</v>
      </c>
      <c r="H32" s="22">
        <f t="shared" si="10"/>
        <v>67822.280155276108</v>
      </c>
      <c r="I32" s="5">
        <f t="shared" si="4"/>
        <v>161465.24751817781</v>
      </c>
      <c r="J32" s="26">
        <f t="shared" si="5"/>
        <v>0.25892670084431024</v>
      </c>
      <c r="L32" s="22">
        <f t="shared" si="11"/>
        <v>217880.26596307862</v>
      </c>
      <c r="M32" s="5">
        <f>scrimecost*Meta!O29</f>
        <v>1145.088</v>
      </c>
      <c r="N32" s="5">
        <f>L32-Grade15!L32</f>
        <v>9372.1568502845184</v>
      </c>
      <c r="O32" s="5">
        <f>Grade15!M32-M32</f>
        <v>8.0639999999998508</v>
      </c>
      <c r="P32" s="22">
        <f t="shared" si="12"/>
        <v>251.87607377960344</v>
      </c>
      <c r="Q32" s="22"/>
      <c r="R32" s="22"/>
      <c r="S32" s="22">
        <f t="shared" si="6"/>
        <v>6124.1900285179481</v>
      </c>
      <c r="T32" s="22">
        <f t="shared" si="7"/>
        <v>2858.3587838884041</v>
      </c>
    </row>
    <row r="33" spans="1:20" x14ac:dyDescent="0.2">
      <c r="A33" s="5">
        <v>42</v>
      </c>
      <c r="B33" s="1">
        <f t="shared" si="8"/>
        <v>1.6386164402903955</v>
      </c>
      <c r="C33" s="5">
        <f t="shared" si="9"/>
        <v>161669.81564845642</v>
      </c>
      <c r="D33" s="5">
        <f t="shared" si="0"/>
        <v>156703.44191640889</v>
      </c>
      <c r="E33" s="5">
        <f t="shared" si="1"/>
        <v>147203.44191640889</v>
      </c>
      <c r="F33" s="5">
        <f t="shared" si="2"/>
        <v>58448.107836023315</v>
      </c>
      <c r="G33" s="5">
        <f t="shared" si="3"/>
        <v>98255.334080385568</v>
      </c>
      <c r="H33" s="22">
        <f t="shared" si="10"/>
        <v>69517.837159158007</v>
      </c>
      <c r="I33" s="5">
        <f t="shared" si="4"/>
        <v>165409.5647761322</v>
      </c>
      <c r="J33" s="26">
        <f t="shared" si="5"/>
        <v>0.25934005801703819</v>
      </c>
      <c r="L33" s="22">
        <f t="shared" si="11"/>
        <v>223327.27261215553</v>
      </c>
      <c r="M33" s="5">
        <f>scrimecost*Meta!O30</f>
        <v>1145.088</v>
      </c>
      <c r="N33" s="5">
        <f>L33-Grade15!L33</f>
        <v>9606.4607715415768</v>
      </c>
      <c r="O33" s="5">
        <f>Grade15!M33-M33</f>
        <v>8.0639999999998508</v>
      </c>
      <c r="P33" s="22">
        <f t="shared" si="12"/>
        <v>257.88683134409354</v>
      </c>
      <c r="Q33" s="22"/>
      <c r="R33" s="22"/>
      <c r="S33" s="22">
        <f t="shared" si="6"/>
        <v>6276.8987308755013</v>
      </c>
      <c r="T33" s="22">
        <f t="shared" si="7"/>
        <v>2820.1136393216839</v>
      </c>
    </row>
    <row r="34" spans="1:20" x14ac:dyDescent="0.2">
      <c r="A34" s="5">
        <v>43</v>
      </c>
      <c r="B34" s="1">
        <f t="shared" si="8"/>
        <v>1.6795818512976552</v>
      </c>
      <c r="C34" s="5">
        <f t="shared" si="9"/>
        <v>165711.56103966784</v>
      </c>
      <c r="D34" s="5">
        <f t="shared" si="0"/>
        <v>160607.76796431912</v>
      </c>
      <c r="E34" s="5">
        <f t="shared" si="1"/>
        <v>151107.76796431912</v>
      </c>
      <c r="F34" s="5">
        <f t="shared" si="2"/>
        <v>59988.364461923891</v>
      </c>
      <c r="G34" s="5">
        <f t="shared" si="3"/>
        <v>100619.40350239523</v>
      </c>
      <c r="H34" s="22">
        <f t="shared" si="10"/>
        <v>71255.783088136945</v>
      </c>
      <c r="I34" s="5">
        <f t="shared" si="4"/>
        <v>169452.48996553553</v>
      </c>
      <c r="J34" s="26">
        <f t="shared" si="5"/>
        <v>0.25974333330750438</v>
      </c>
      <c r="L34" s="22">
        <f t="shared" si="11"/>
        <v>228910.45442745942</v>
      </c>
      <c r="M34" s="5">
        <f>scrimecost*Meta!O31</f>
        <v>1145.088</v>
      </c>
      <c r="N34" s="5">
        <f>L34-Grade15!L34</f>
        <v>9846.622290830157</v>
      </c>
      <c r="O34" s="5">
        <f>Grade15!M34-M34</f>
        <v>8.0639999999998508</v>
      </c>
      <c r="P34" s="22">
        <f t="shared" si="12"/>
        <v>264.04785784769575</v>
      </c>
      <c r="Q34" s="22"/>
      <c r="R34" s="22"/>
      <c r="S34" s="22">
        <f t="shared" si="6"/>
        <v>6433.4251507920553</v>
      </c>
      <c r="T34" s="22">
        <f t="shared" si="7"/>
        <v>2782.3844899425503</v>
      </c>
    </row>
    <row r="35" spans="1:20" x14ac:dyDescent="0.2">
      <c r="A35" s="5">
        <v>44</v>
      </c>
      <c r="B35" s="1">
        <f t="shared" si="8"/>
        <v>1.7215713975800966</v>
      </c>
      <c r="C35" s="5">
        <f t="shared" si="9"/>
        <v>169854.35006565953</v>
      </c>
      <c r="D35" s="5">
        <f t="shared" si="0"/>
        <v>164609.70216342708</v>
      </c>
      <c r="E35" s="5">
        <f t="shared" si="1"/>
        <v>155109.70216342708</v>
      </c>
      <c r="F35" s="5">
        <f t="shared" si="2"/>
        <v>61567.12750347198</v>
      </c>
      <c r="G35" s="5">
        <f t="shared" si="3"/>
        <v>103042.57465995511</v>
      </c>
      <c r="H35" s="22">
        <f t="shared" si="10"/>
        <v>73037.177665340365</v>
      </c>
      <c r="I35" s="5">
        <f t="shared" si="4"/>
        <v>173596.48828467389</v>
      </c>
      <c r="J35" s="26">
        <f t="shared" si="5"/>
        <v>0.26013677261527635</v>
      </c>
      <c r="L35" s="22">
        <f t="shared" si="11"/>
        <v>234633.21578814587</v>
      </c>
      <c r="M35" s="5">
        <f>scrimecost*Meta!O32</f>
        <v>1145.088</v>
      </c>
      <c r="N35" s="5">
        <f>L35-Grade15!L35</f>
        <v>10092.787848100881</v>
      </c>
      <c r="O35" s="5">
        <f>Grade15!M35-M35</f>
        <v>8.0639999999998508</v>
      </c>
      <c r="P35" s="22">
        <f t="shared" si="12"/>
        <v>270.36291001388815</v>
      </c>
      <c r="Q35" s="22"/>
      <c r="R35" s="22"/>
      <c r="S35" s="22">
        <f t="shared" si="6"/>
        <v>6593.8647312064786</v>
      </c>
      <c r="T35" s="22">
        <f t="shared" si="7"/>
        <v>2745.1642151316291</v>
      </c>
    </row>
    <row r="36" spans="1:20" x14ac:dyDescent="0.2">
      <c r="A36" s="5">
        <v>45</v>
      </c>
      <c r="B36" s="1">
        <f t="shared" si="8"/>
        <v>1.7646106825195991</v>
      </c>
      <c r="C36" s="5">
        <f t="shared" si="9"/>
        <v>174100.70881730103</v>
      </c>
      <c r="D36" s="5">
        <f t="shared" si="0"/>
        <v>168711.68471751278</v>
      </c>
      <c r="E36" s="5">
        <f t="shared" si="1"/>
        <v>159211.68471751278</v>
      </c>
      <c r="F36" s="5">
        <f t="shared" si="2"/>
        <v>63185.359621058786</v>
      </c>
      <c r="G36" s="5">
        <f t="shared" si="3"/>
        <v>105526.32509645399</v>
      </c>
      <c r="H36" s="22">
        <f t="shared" si="10"/>
        <v>74863.107106973883</v>
      </c>
      <c r="I36" s="5">
        <f t="shared" si="4"/>
        <v>177844.08656179075</v>
      </c>
      <c r="J36" s="26">
        <f t="shared" si="5"/>
        <v>0.26052061584237096</v>
      </c>
      <c r="L36" s="22">
        <f t="shared" si="11"/>
        <v>240499.04618284953</v>
      </c>
      <c r="M36" s="5">
        <f>scrimecost*Meta!O33</f>
        <v>925.4140000000001</v>
      </c>
      <c r="N36" s="5">
        <f>L36-Grade15!L36</f>
        <v>10345.107544303406</v>
      </c>
      <c r="O36" s="5">
        <f>Grade15!M36-M36</f>
        <v>6.5169999999999391</v>
      </c>
      <c r="P36" s="22">
        <f t="shared" si="12"/>
        <v>276.83583848423535</v>
      </c>
      <c r="Q36" s="22"/>
      <c r="R36" s="22"/>
      <c r="S36" s="22">
        <f t="shared" si="6"/>
        <v>6757.0591371312821</v>
      </c>
      <c r="T36" s="22">
        <f t="shared" si="7"/>
        <v>2707.9423812056498</v>
      </c>
    </row>
    <row r="37" spans="1:20" x14ac:dyDescent="0.2">
      <c r="A37" s="5">
        <v>46</v>
      </c>
      <c r="B37" s="1">
        <f t="shared" ref="B37:B56" si="13">(1+experiencepremium)^(A37-startage)</f>
        <v>1.8087259495825889</v>
      </c>
      <c r="C37" s="5">
        <f t="shared" ref="C37:C56" si="14">pretaxincome*B37/expnorm</f>
        <v>178453.22653773354</v>
      </c>
      <c r="D37" s="5">
        <f t="shared" ref="D37:D56" si="15">IF(A37&lt;startage,1,0)*(C37*(1-initialunempprob))+IF(A37=startage,1,0)*(C37*(1-unempprob))+IF(A37&gt;startage,1,0)*(C37*(1-unempprob)+unempprob*300*52)</f>
        <v>172916.21683545058</v>
      </c>
      <c r="E37" s="5">
        <f t="shared" si="1"/>
        <v>163416.21683545058</v>
      </c>
      <c r="F37" s="5">
        <f t="shared" si="2"/>
        <v>64844.047541585256</v>
      </c>
      <c r="G37" s="5">
        <f t="shared" si="3"/>
        <v>108072.16929386533</v>
      </c>
      <c r="H37" s="22">
        <f t="shared" ref="H37:H56" si="16">benefits*B37/expnorm</f>
        <v>76734.684784648212</v>
      </c>
      <c r="I37" s="5">
        <f t="shared" ref="I37:I56" si="17">G37+IF(A37&lt;startage,1,0)*(H37*(1-initialunempprob))+IF(A37&gt;=startage,1,0)*(H37*(1-unempprob))</f>
        <v>182197.87479583549</v>
      </c>
      <c r="J37" s="26">
        <f t="shared" si="5"/>
        <v>0.26089509703953651</v>
      </c>
      <c r="L37" s="22">
        <f t="shared" ref="L37:L56" si="18">(sincome+sbenefits)*(1-sunemp)*B37/expnorm</f>
        <v>246511.52233742079</v>
      </c>
      <c r="M37" s="5">
        <f>scrimecost*Meta!O34</f>
        <v>925.4140000000001</v>
      </c>
      <c r="N37" s="5">
        <f>L37-Grade15!L37</f>
        <v>10603.735232911044</v>
      </c>
      <c r="O37" s="5">
        <f>Grade15!M37-M37</f>
        <v>6.5169999999999391</v>
      </c>
      <c r="P37" s="22">
        <f t="shared" si="12"/>
        <v>283.47059016634131</v>
      </c>
      <c r="Q37" s="22"/>
      <c r="R37" s="22"/>
      <c r="S37" s="22">
        <f t="shared" si="6"/>
        <v>6925.6209713042381</v>
      </c>
      <c r="T37" s="22">
        <f t="shared" si="7"/>
        <v>2671.7377278310169</v>
      </c>
    </row>
    <row r="38" spans="1:20" x14ac:dyDescent="0.2">
      <c r="A38" s="5">
        <v>47</v>
      </c>
      <c r="B38" s="1">
        <f t="shared" si="13"/>
        <v>1.8539440983221533</v>
      </c>
      <c r="C38" s="5">
        <f t="shared" si="14"/>
        <v>182914.55720117685</v>
      </c>
      <c r="D38" s="5">
        <f t="shared" si="15"/>
        <v>177225.86225633684</v>
      </c>
      <c r="E38" s="5">
        <f t="shared" si="1"/>
        <v>167725.86225633684</v>
      </c>
      <c r="F38" s="5">
        <f t="shared" si="2"/>
        <v>66544.20266012488</v>
      </c>
      <c r="G38" s="5">
        <f t="shared" si="3"/>
        <v>110681.65959621196</v>
      </c>
      <c r="H38" s="22">
        <f t="shared" si="16"/>
        <v>78653.051904264415</v>
      </c>
      <c r="I38" s="5">
        <f t="shared" si="17"/>
        <v>186660.50773573137</v>
      </c>
      <c r="J38" s="26">
        <f t="shared" si="5"/>
        <v>0.26126044454896624</v>
      </c>
      <c r="L38" s="22">
        <f t="shared" si="18"/>
        <v>252674.31039585624</v>
      </c>
      <c r="M38" s="5">
        <f>scrimecost*Meta!O35</f>
        <v>925.4140000000001</v>
      </c>
      <c r="N38" s="5">
        <f>L38-Grade15!L38</f>
        <v>10868.828613733785</v>
      </c>
      <c r="O38" s="5">
        <f>Grade15!M38-M38</f>
        <v>6.5169999999999391</v>
      </c>
      <c r="P38" s="22">
        <f t="shared" si="12"/>
        <v>290.27121064049982</v>
      </c>
      <c r="Q38" s="22"/>
      <c r="R38" s="22"/>
      <c r="S38" s="22">
        <f t="shared" si="6"/>
        <v>7098.3968513314612</v>
      </c>
      <c r="T38" s="22">
        <f t="shared" si="7"/>
        <v>2636.0205015004508</v>
      </c>
    </row>
    <row r="39" spans="1:20" x14ac:dyDescent="0.2">
      <c r="A39" s="5">
        <v>48</v>
      </c>
      <c r="B39" s="1">
        <f t="shared" si="13"/>
        <v>1.9002927007802071</v>
      </c>
      <c r="C39" s="5">
        <f t="shared" si="14"/>
        <v>187487.42113120624</v>
      </c>
      <c r="D39" s="5">
        <f t="shared" si="15"/>
        <v>181643.24881274521</v>
      </c>
      <c r="E39" s="5">
        <f t="shared" si="1"/>
        <v>172143.24881274521</v>
      </c>
      <c r="F39" s="5">
        <f t="shared" si="2"/>
        <v>68286.861656627996</v>
      </c>
      <c r="G39" s="5">
        <f t="shared" si="3"/>
        <v>113356.38715611721</v>
      </c>
      <c r="H39" s="22">
        <f t="shared" si="16"/>
        <v>80619.378201871034</v>
      </c>
      <c r="I39" s="5">
        <f t="shared" si="17"/>
        <v>191234.70649912464</v>
      </c>
      <c r="J39" s="26">
        <f t="shared" si="5"/>
        <v>0.26161688114353182</v>
      </c>
      <c r="L39" s="22">
        <f t="shared" si="18"/>
        <v>258991.16815575265</v>
      </c>
      <c r="M39" s="5">
        <f>scrimecost*Meta!O36</f>
        <v>925.4140000000001</v>
      </c>
      <c r="N39" s="5">
        <f>L39-Grade15!L39</f>
        <v>11140.549329077126</v>
      </c>
      <c r="O39" s="5">
        <f>Grade15!M39-M39</f>
        <v>6.5169999999999391</v>
      </c>
      <c r="P39" s="22">
        <f t="shared" si="12"/>
        <v>297.24184662651226</v>
      </c>
      <c r="Q39" s="22"/>
      <c r="R39" s="22"/>
      <c r="S39" s="22">
        <f t="shared" si="6"/>
        <v>7275.4921283593858</v>
      </c>
      <c r="T39" s="22">
        <f t="shared" si="7"/>
        <v>2600.7840141426145</v>
      </c>
    </row>
    <row r="40" spans="1:20" x14ac:dyDescent="0.2">
      <c r="A40" s="5">
        <v>49</v>
      </c>
      <c r="B40" s="1">
        <f t="shared" si="13"/>
        <v>1.9478000182997122</v>
      </c>
      <c r="C40" s="5">
        <f t="shared" si="14"/>
        <v>192174.6066594864</v>
      </c>
      <c r="D40" s="5">
        <f t="shared" si="15"/>
        <v>186171.07003306385</v>
      </c>
      <c r="E40" s="5">
        <f t="shared" si="1"/>
        <v>176671.07003306385</v>
      </c>
      <c r="F40" s="5">
        <f t="shared" si="2"/>
        <v>70186.640629696878</v>
      </c>
      <c r="G40" s="5">
        <f t="shared" si="3"/>
        <v>115984.42940336697</v>
      </c>
      <c r="H40" s="22">
        <f t="shared" si="16"/>
        <v>82634.862656917787</v>
      </c>
      <c r="I40" s="5">
        <f t="shared" si="17"/>
        <v>195809.70672994957</v>
      </c>
      <c r="J40" s="26">
        <f t="shared" si="5"/>
        <v>0.26239237583014141</v>
      </c>
      <c r="L40" s="22">
        <f t="shared" si="18"/>
        <v>265465.94735964644</v>
      </c>
      <c r="M40" s="5">
        <f>scrimecost*Meta!O37</f>
        <v>925.4140000000001</v>
      </c>
      <c r="N40" s="5">
        <f>L40-Grade15!L40</f>
        <v>11419.063062304049</v>
      </c>
      <c r="O40" s="5">
        <f>Grade15!M40-M40</f>
        <v>6.5169999999999391</v>
      </c>
      <c r="P40" s="22">
        <f t="shared" si="12"/>
        <v>304.84096251878782</v>
      </c>
      <c r="Q40" s="22"/>
      <c r="R40" s="22"/>
      <c r="S40" s="22">
        <f t="shared" si="6"/>
        <v>7457.3836090863751</v>
      </c>
      <c r="T40" s="22">
        <f t="shared" si="7"/>
        <v>2566.1485887885592</v>
      </c>
    </row>
    <row r="41" spans="1:20" x14ac:dyDescent="0.2">
      <c r="A41" s="5">
        <v>50</v>
      </c>
      <c r="B41" s="1">
        <f t="shared" si="13"/>
        <v>1.9964950187572048</v>
      </c>
      <c r="C41" s="5">
        <f t="shared" si="14"/>
        <v>196978.97182597354</v>
      </c>
      <c r="D41" s="5">
        <f t="shared" si="15"/>
        <v>190812.08678389044</v>
      </c>
      <c r="E41" s="5">
        <f t="shared" si="1"/>
        <v>181312.08678389044</v>
      </c>
      <c r="F41" s="5">
        <f t="shared" si="2"/>
        <v>72249.572575439292</v>
      </c>
      <c r="G41" s="5">
        <f t="shared" si="3"/>
        <v>118562.51420845115</v>
      </c>
      <c r="H41" s="22">
        <f t="shared" si="16"/>
        <v>84700.734223340725</v>
      </c>
      <c r="I41" s="5">
        <f t="shared" si="17"/>
        <v>200383.42346819828</v>
      </c>
      <c r="J41" s="26">
        <f t="shared" si="5"/>
        <v>0.26357401075268527</v>
      </c>
      <c r="L41" s="22">
        <f t="shared" si="18"/>
        <v>272102.5960436376</v>
      </c>
      <c r="M41" s="5">
        <f>scrimecost*Meta!O38</f>
        <v>618.26800000000003</v>
      </c>
      <c r="N41" s="5">
        <f>L41-Grade15!L41</f>
        <v>11704.539638861635</v>
      </c>
      <c r="O41" s="5">
        <f>Grade15!M41-M41</f>
        <v>4.3539999999999281</v>
      </c>
      <c r="P41" s="22">
        <f t="shared" si="12"/>
        <v>313.0926903017575</v>
      </c>
      <c r="Q41" s="22"/>
      <c r="R41" s="22"/>
      <c r="S41" s="22">
        <f t="shared" si="6"/>
        <v>7642.4416796341657</v>
      </c>
      <c r="T41" s="22">
        <f t="shared" si="7"/>
        <v>2531.5170308485185</v>
      </c>
    </row>
    <row r="42" spans="1:20" x14ac:dyDescent="0.2">
      <c r="A42" s="5">
        <v>51</v>
      </c>
      <c r="B42" s="1">
        <f t="shared" si="13"/>
        <v>2.0464073942261352</v>
      </c>
      <c r="C42" s="5">
        <f t="shared" si="14"/>
        <v>201903.44612162292</v>
      </c>
      <c r="D42" s="5">
        <f t="shared" si="15"/>
        <v>195569.12895348773</v>
      </c>
      <c r="E42" s="5">
        <f t="shared" si="1"/>
        <v>186069.12895348773</v>
      </c>
      <c r="F42" s="5">
        <f t="shared" si="2"/>
        <v>74364.077819825296</v>
      </c>
      <c r="G42" s="5">
        <f t="shared" si="3"/>
        <v>121205.05113366243</v>
      </c>
      <c r="H42" s="22">
        <f t="shared" si="16"/>
        <v>86818.25257892425</v>
      </c>
      <c r="I42" s="5">
        <f t="shared" si="17"/>
        <v>205071.48312490326</v>
      </c>
      <c r="J42" s="26">
        <f t="shared" si="5"/>
        <v>0.26472682531126462</v>
      </c>
      <c r="L42" s="22">
        <f t="shared" si="18"/>
        <v>278905.16094472859</v>
      </c>
      <c r="M42" s="5">
        <f>scrimecost*Meta!O39</f>
        <v>618.26800000000003</v>
      </c>
      <c r="N42" s="5">
        <f>L42-Grade15!L42</f>
        <v>11997.153129833285</v>
      </c>
      <c r="O42" s="5">
        <f>Grade15!M42-M42</f>
        <v>4.3539999999999281</v>
      </c>
      <c r="P42" s="22">
        <f t="shared" si="12"/>
        <v>321.55071127930154</v>
      </c>
      <c r="Q42" s="22"/>
      <c r="R42" s="22"/>
      <c r="S42" s="22">
        <f t="shared" si="6"/>
        <v>7833.926466845729</v>
      </c>
      <c r="T42" s="22">
        <f t="shared" si="7"/>
        <v>2497.9377716237786</v>
      </c>
    </row>
    <row r="43" spans="1:20" x14ac:dyDescent="0.2">
      <c r="A43" s="5">
        <v>52</v>
      </c>
      <c r="B43" s="1">
        <f t="shared" si="13"/>
        <v>2.097567579081788</v>
      </c>
      <c r="C43" s="5">
        <f t="shared" si="14"/>
        <v>206951.03227466342</v>
      </c>
      <c r="D43" s="5">
        <f t="shared" si="15"/>
        <v>200445.09717732485</v>
      </c>
      <c r="E43" s="5">
        <f t="shared" si="1"/>
        <v>190945.09717732485</v>
      </c>
      <c r="F43" s="5">
        <f t="shared" si="2"/>
        <v>76531.445695320886</v>
      </c>
      <c r="G43" s="5">
        <f t="shared" si="3"/>
        <v>123913.65148200396</v>
      </c>
      <c r="H43" s="22">
        <f t="shared" si="16"/>
        <v>88988.708893397357</v>
      </c>
      <c r="I43" s="5">
        <f t="shared" si="17"/>
        <v>209876.7442730258</v>
      </c>
      <c r="J43" s="26">
        <f t="shared" si="5"/>
        <v>0.26585152244158583</v>
      </c>
      <c r="L43" s="22">
        <f t="shared" si="18"/>
        <v>285877.78996834671</v>
      </c>
      <c r="M43" s="5">
        <f>scrimecost*Meta!O40</f>
        <v>618.26800000000003</v>
      </c>
      <c r="N43" s="5">
        <f>L43-Grade15!L43</f>
        <v>12297.081958078954</v>
      </c>
      <c r="O43" s="5">
        <f>Grade15!M43-M43</f>
        <v>4.3539999999999281</v>
      </c>
      <c r="P43" s="22">
        <f t="shared" si="12"/>
        <v>330.22018278128388</v>
      </c>
      <c r="Q43" s="22"/>
      <c r="R43" s="22"/>
      <c r="S43" s="22">
        <f t="shared" si="6"/>
        <v>8030.1983737374094</v>
      </c>
      <c r="T43" s="22">
        <f t="shared" si="7"/>
        <v>2464.800665004715</v>
      </c>
    </row>
    <row r="44" spans="1:20" x14ac:dyDescent="0.2">
      <c r="A44" s="5">
        <v>53</v>
      </c>
      <c r="B44" s="1">
        <f t="shared" si="13"/>
        <v>2.1500067685588333</v>
      </c>
      <c r="C44" s="5">
        <f t="shared" si="14"/>
        <v>212124.80808153006</v>
      </c>
      <c r="D44" s="5">
        <f t="shared" si="15"/>
        <v>205442.96460675803</v>
      </c>
      <c r="E44" s="5">
        <f t="shared" si="1"/>
        <v>195942.96460675803</v>
      </c>
      <c r="F44" s="5">
        <f t="shared" si="2"/>
        <v>78752.997767703957</v>
      </c>
      <c r="G44" s="5">
        <f t="shared" si="3"/>
        <v>126689.96683905408</v>
      </c>
      <c r="H44" s="22">
        <f t="shared" si="16"/>
        <v>91213.4266157323</v>
      </c>
      <c r="I44" s="5">
        <f t="shared" si="17"/>
        <v>214802.13694985147</v>
      </c>
      <c r="J44" s="26">
        <f t="shared" si="5"/>
        <v>0.26694878793458238</v>
      </c>
      <c r="L44" s="22">
        <f t="shared" si="18"/>
        <v>293024.73471755546</v>
      </c>
      <c r="M44" s="5">
        <f>scrimecost*Meta!O41</f>
        <v>618.26800000000003</v>
      </c>
      <c r="N44" s="5">
        <f>L44-Grade15!L44</f>
        <v>12604.509007031098</v>
      </c>
      <c r="O44" s="5">
        <f>Grade15!M44-M44</f>
        <v>4.3539999999999281</v>
      </c>
      <c r="P44" s="22">
        <f t="shared" si="12"/>
        <v>339.10639107081619</v>
      </c>
      <c r="Q44" s="22"/>
      <c r="R44" s="22"/>
      <c r="S44" s="22">
        <f t="shared" ref="S44:S69" si="19">IF(A44&lt;startage,1,0)*(N44-Q44-R44)+IF(A44&gt;=startage,1,0)*completionprob*(N44*spart+O44+P44)</f>
        <v>8231.3770783015916</v>
      </c>
      <c r="T44" s="22">
        <f t="shared" ref="T44:T69" si="20">S44/sreturn^(A44-startage+1)</f>
        <v>2432.1000112933157</v>
      </c>
    </row>
    <row r="45" spans="1:20" x14ac:dyDescent="0.2">
      <c r="A45" s="5">
        <v>54</v>
      </c>
      <c r="B45" s="1">
        <f t="shared" si="13"/>
        <v>2.2037569377728037</v>
      </c>
      <c r="C45" s="5">
        <f t="shared" si="14"/>
        <v>217427.92828356827</v>
      </c>
      <c r="D45" s="5">
        <f t="shared" si="15"/>
        <v>210565.77872192694</v>
      </c>
      <c r="E45" s="5">
        <f t="shared" si="1"/>
        <v>201065.77872192694</v>
      </c>
      <c r="F45" s="5">
        <f t="shared" si="2"/>
        <v>81030.088641896524</v>
      </c>
      <c r="G45" s="5">
        <f t="shared" si="3"/>
        <v>129535.69008003041</v>
      </c>
      <c r="H45" s="22">
        <f t="shared" si="16"/>
        <v>93493.762281125601</v>
      </c>
      <c r="I45" s="5">
        <f t="shared" si="17"/>
        <v>219850.66444359772</v>
      </c>
      <c r="J45" s="26">
        <f t="shared" si="5"/>
        <v>0.26801929085457876</v>
      </c>
      <c r="L45" s="22">
        <f t="shared" si="18"/>
        <v>300350.35308549431</v>
      </c>
      <c r="M45" s="5">
        <f>scrimecost*Meta!O42</f>
        <v>618.26800000000003</v>
      </c>
      <c r="N45" s="5">
        <f>L45-Grade15!L45</f>
        <v>12919.621732206841</v>
      </c>
      <c r="O45" s="5">
        <f>Grade15!M45-M45</f>
        <v>4.3539999999999281</v>
      </c>
      <c r="P45" s="22">
        <f t="shared" si="12"/>
        <v>348.21475456758645</v>
      </c>
      <c r="Q45" s="22"/>
      <c r="R45" s="22"/>
      <c r="S45" s="22">
        <f t="shared" si="19"/>
        <v>8437.5852504797494</v>
      </c>
      <c r="T45" s="22">
        <f t="shared" si="20"/>
        <v>2399.8301796401693</v>
      </c>
    </row>
    <row r="46" spans="1:20" x14ac:dyDescent="0.2">
      <c r="A46" s="5">
        <v>55</v>
      </c>
      <c r="B46" s="1">
        <f t="shared" si="13"/>
        <v>2.2588508612171236</v>
      </c>
      <c r="C46" s="5">
        <f t="shared" si="14"/>
        <v>222863.62649065748</v>
      </c>
      <c r="D46" s="5">
        <f t="shared" si="15"/>
        <v>215816.66318997511</v>
      </c>
      <c r="E46" s="5">
        <f t="shared" si="1"/>
        <v>206316.66318997511</v>
      </c>
      <c r="F46" s="5">
        <f t="shared" si="2"/>
        <v>83364.106787943936</v>
      </c>
      <c r="G46" s="5">
        <f t="shared" si="3"/>
        <v>132452.55640203116</v>
      </c>
      <c r="H46" s="22">
        <f t="shared" si="16"/>
        <v>95831.106338153724</v>
      </c>
      <c r="I46" s="5">
        <f t="shared" si="17"/>
        <v>225025.40512468765</v>
      </c>
      <c r="J46" s="26">
        <f t="shared" si="5"/>
        <v>0.26906368394725833</v>
      </c>
      <c r="L46" s="22">
        <f t="shared" si="18"/>
        <v>307859.1119126316</v>
      </c>
      <c r="M46" s="5">
        <f>scrimecost*Meta!O43</f>
        <v>342.92999999999995</v>
      </c>
      <c r="N46" s="5">
        <f>L46-Grade15!L46</f>
        <v>13242.612275511899</v>
      </c>
      <c r="O46" s="5">
        <f>Grade15!M46-M46</f>
        <v>2.4150000000000205</v>
      </c>
      <c r="P46" s="22">
        <f t="shared" si="12"/>
        <v>357.5508271517761</v>
      </c>
      <c r="Q46" s="22"/>
      <c r="R46" s="22"/>
      <c r="S46" s="22">
        <f t="shared" si="19"/>
        <v>8647.3741589623132</v>
      </c>
      <c r="T46" s="22">
        <f t="shared" si="20"/>
        <v>2367.5545356252424</v>
      </c>
    </row>
    <row r="47" spans="1:20" x14ac:dyDescent="0.2">
      <c r="A47" s="5">
        <v>56</v>
      </c>
      <c r="B47" s="1">
        <f t="shared" si="13"/>
        <v>2.3153221327475517</v>
      </c>
      <c r="C47" s="5">
        <f t="shared" si="14"/>
        <v>228435.21715292393</v>
      </c>
      <c r="D47" s="5">
        <f t="shared" si="15"/>
        <v>221198.81976972451</v>
      </c>
      <c r="E47" s="5">
        <f t="shared" si="1"/>
        <v>211698.81976972451</v>
      </c>
      <c r="F47" s="5">
        <f t="shared" si="2"/>
        <v>85756.475387642538</v>
      </c>
      <c r="G47" s="5">
        <f t="shared" si="3"/>
        <v>135442.34438208197</v>
      </c>
      <c r="H47" s="22">
        <f t="shared" si="16"/>
        <v>98226.883996607576</v>
      </c>
      <c r="I47" s="5">
        <f t="shared" si="17"/>
        <v>230329.51432280487</v>
      </c>
      <c r="J47" s="26">
        <f t="shared" si="5"/>
        <v>0.27008260403767737</v>
      </c>
      <c r="L47" s="22">
        <f t="shared" si="18"/>
        <v>315555.58971044741</v>
      </c>
      <c r="M47" s="5">
        <f>scrimecost*Meta!O44</f>
        <v>342.92999999999995</v>
      </c>
      <c r="N47" s="5">
        <f>L47-Grade15!L47</f>
        <v>13573.677582399803</v>
      </c>
      <c r="O47" s="5">
        <f>Grade15!M47-M47</f>
        <v>2.4150000000000205</v>
      </c>
      <c r="P47" s="22">
        <f t="shared" si="12"/>
        <v>367.1203015505705</v>
      </c>
      <c r="Q47" s="22"/>
      <c r="R47" s="22"/>
      <c r="S47" s="22">
        <f t="shared" si="19"/>
        <v>8864.0216198570779</v>
      </c>
      <c r="T47" s="22">
        <f t="shared" si="20"/>
        <v>2336.1458425430792</v>
      </c>
    </row>
    <row r="48" spans="1:20" x14ac:dyDescent="0.2">
      <c r="A48" s="5">
        <v>57</v>
      </c>
      <c r="B48" s="1">
        <f t="shared" si="13"/>
        <v>2.3732051860662402</v>
      </c>
      <c r="C48" s="5">
        <f t="shared" si="14"/>
        <v>234146.09758174696</v>
      </c>
      <c r="D48" s="5">
        <f t="shared" si="15"/>
        <v>226715.53026396755</v>
      </c>
      <c r="E48" s="5">
        <f t="shared" si="1"/>
        <v>217215.53026396755</v>
      </c>
      <c r="F48" s="5">
        <f t="shared" si="2"/>
        <v>88208.65320233356</v>
      </c>
      <c r="G48" s="5">
        <f t="shared" si="3"/>
        <v>138506.87706163398</v>
      </c>
      <c r="H48" s="22">
        <f t="shared" si="16"/>
        <v>100682.55609652273</v>
      </c>
      <c r="I48" s="5">
        <f t="shared" si="17"/>
        <v>235766.22625087493</v>
      </c>
      <c r="J48" s="26">
        <f t="shared" si="5"/>
        <v>0.27107667241857392</v>
      </c>
      <c r="L48" s="22">
        <f t="shared" si="18"/>
        <v>323444.47945320857</v>
      </c>
      <c r="M48" s="5">
        <f>scrimecost*Meta!O45</f>
        <v>342.92999999999995</v>
      </c>
      <c r="N48" s="5">
        <f>L48-Grade15!L48</f>
        <v>13913.019521959766</v>
      </c>
      <c r="O48" s="5">
        <f>Grade15!M48-M48</f>
        <v>2.4150000000000205</v>
      </c>
      <c r="P48" s="22">
        <f t="shared" si="12"/>
        <v>376.92901280933467</v>
      </c>
      <c r="Q48" s="22"/>
      <c r="R48" s="22"/>
      <c r="S48" s="22">
        <f t="shared" si="19"/>
        <v>9086.0852672741239</v>
      </c>
      <c r="T48" s="22">
        <f t="shared" si="20"/>
        <v>2305.1508831016863</v>
      </c>
    </row>
    <row r="49" spans="1:20" x14ac:dyDescent="0.2">
      <c r="A49" s="5">
        <v>58</v>
      </c>
      <c r="B49" s="1">
        <f t="shared" si="13"/>
        <v>2.4325353157178964</v>
      </c>
      <c r="C49" s="5">
        <f t="shared" si="14"/>
        <v>239999.75002129067</v>
      </c>
      <c r="D49" s="5">
        <f t="shared" si="15"/>
        <v>232370.15852056677</v>
      </c>
      <c r="E49" s="5">
        <f t="shared" si="1"/>
        <v>222870.15852056677</v>
      </c>
      <c r="F49" s="5">
        <f t="shared" si="2"/>
        <v>90722.135462391932</v>
      </c>
      <c r="G49" s="5">
        <f t="shared" si="3"/>
        <v>141648.02305817482</v>
      </c>
      <c r="H49" s="22">
        <f t="shared" si="16"/>
        <v>103199.61999893581</v>
      </c>
      <c r="I49" s="5">
        <f t="shared" si="17"/>
        <v>241338.85597714683</v>
      </c>
      <c r="J49" s="26">
        <f t="shared" si="5"/>
        <v>0.27204649522920482</v>
      </c>
      <c r="L49" s="22">
        <f t="shared" si="18"/>
        <v>331530.59143953875</v>
      </c>
      <c r="M49" s="5">
        <f>scrimecost*Meta!O46</f>
        <v>342.92999999999995</v>
      </c>
      <c r="N49" s="5">
        <f>L49-Grade15!L49</f>
        <v>14260.845010008721</v>
      </c>
      <c r="O49" s="5">
        <f>Grade15!M49-M49</f>
        <v>2.4150000000000205</v>
      </c>
      <c r="P49" s="22">
        <f t="shared" si="12"/>
        <v>386.98294184956808</v>
      </c>
      <c r="Q49" s="22"/>
      <c r="R49" s="22"/>
      <c r="S49" s="22">
        <f t="shared" si="19"/>
        <v>9313.7005058765935</v>
      </c>
      <c r="T49" s="22">
        <f t="shared" si="20"/>
        <v>2274.5643178276332</v>
      </c>
    </row>
    <row r="50" spans="1:20" x14ac:dyDescent="0.2">
      <c r="A50" s="5">
        <v>59</v>
      </c>
      <c r="B50" s="1">
        <f t="shared" si="13"/>
        <v>2.4933486986108435</v>
      </c>
      <c r="C50" s="5">
        <f t="shared" si="14"/>
        <v>245999.74377182292</v>
      </c>
      <c r="D50" s="5">
        <f t="shared" si="15"/>
        <v>238166.15248358093</v>
      </c>
      <c r="E50" s="5">
        <f t="shared" si="1"/>
        <v>228666.15248358093</v>
      </c>
      <c r="F50" s="5">
        <f t="shared" si="2"/>
        <v>93298.454778951724</v>
      </c>
      <c r="G50" s="5">
        <f t="shared" si="3"/>
        <v>144867.69770462922</v>
      </c>
      <c r="H50" s="22">
        <f t="shared" si="16"/>
        <v>105779.6104989092</v>
      </c>
      <c r="I50" s="5">
        <f t="shared" si="17"/>
        <v>247050.8014465755</v>
      </c>
      <c r="J50" s="26">
        <f t="shared" si="5"/>
        <v>0.27299266382494219</v>
      </c>
      <c r="L50" s="22">
        <f t="shared" si="18"/>
        <v>339818.85622552724</v>
      </c>
      <c r="M50" s="5">
        <f>scrimecost*Meta!O47</f>
        <v>342.92999999999995</v>
      </c>
      <c r="N50" s="5">
        <f>L50-Grade15!L50</f>
        <v>14617.366135259042</v>
      </c>
      <c r="O50" s="5">
        <f>Grade15!M50-M50</f>
        <v>2.4150000000000205</v>
      </c>
      <c r="P50" s="22">
        <f t="shared" si="12"/>
        <v>397.28821911580729</v>
      </c>
      <c r="Q50" s="22"/>
      <c r="R50" s="22"/>
      <c r="S50" s="22">
        <f t="shared" si="19"/>
        <v>9547.0061254442135</v>
      </c>
      <c r="T50" s="22">
        <f t="shared" si="20"/>
        <v>2244.380871981321</v>
      </c>
    </row>
    <row r="51" spans="1:20" x14ac:dyDescent="0.2">
      <c r="A51" s="5">
        <v>60</v>
      </c>
      <c r="B51" s="1">
        <f t="shared" si="13"/>
        <v>2.555682416076114</v>
      </c>
      <c r="C51" s="5">
        <f t="shared" si="14"/>
        <v>252149.73736611844</v>
      </c>
      <c r="D51" s="5">
        <f t="shared" si="15"/>
        <v>244107.04629567039</v>
      </c>
      <c r="E51" s="5">
        <f t="shared" si="1"/>
        <v>234607.04629567039</v>
      </c>
      <c r="F51" s="5">
        <f t="shared" si="2"/>
        <v>95939.182078425496</v>
      </c>
      <c r="G51" s="5">
        <f t="shared" si="3"/>
        <v>148167.8642172449</v>
      </c>
      <c r="H51" s="22">
        <f t="shared" si="16"/>
        <v>108424.10076138191</v>
      </c>
      <c r="I51" s="5">
        <f t="shared" si="17"/>
        <v>252905.54555273982</v>
      </c>
      <c r="J51" s="26">
        <f t="shared" si="5"/>
        <v>0.27391575513785676</v>
      </c>
      <c r="L51" s="22">
        <f t="shared" si="18"/>
        <v>348314.32763116533</v>
      </c>
      <c r="M51" s="5">
        <f>scrimecost*Meta!O48</f>
        <v>180.90799999999999</v>
      </c>
      <c r="N51" s="5">
        <f>L51-Grade15!L51</f>
        <v>14982.80028864037</v>
      </c>
      <c r="O51" s="5">
        <f>Grade15!M51-M51</f>
        <v>1.2740000000000009</v>
      </c>
      <c r="P51" s="22">
        <f t="shared" si="12"/>
        <v>407.85112831370236</v>
      </c>
      <c r="Q51" s="22"/>
      <c r="R51" s="22"/>
      <c r="S51" s="22">
        <f t="shared" si="19"/>
        <v>9785.2178935008651</v>
      </c>
      <c r="T51" s="22">
        <f t="shared" si="20"/>
        <v>2214.3856706588272</v>
      </c>
    </row>
    <row r="52" spans="1:20" x14ac:dyDescent="0.2">
      <c r="A52" s="5">
        <v>61</v>
      </c>
      <c r="B52" s="1">
        <f t="shared" si="13"/>
        <v>2.6195744764780171</v>
      </c>
      <c r="C52" s="5">
        <f t="shared" si="14"/>
        <v>258453.48080027141</v>
      </c>
      <c r="D52" s="5">
        <f t="shared" si="15"/>
        <v>250196.46245306218</v>
      </c>
      <c r="E52" s="5">
        <f t="shared" si="1"/>
        <v>240696.46245306218</v>
      </c>
      <c r="F52" s="5">
        <f t="shared" si="2"/>
        <v>98645.927560386146</v>
      </c>
      <c r="G52" s="5">
        <f t="shared" si="3"/>
        <v>151550.53489267605</v>
      </c>
      <c r="H52" s="22">
        <f t="shared" si="16"/>
        <v>111134.70328041648</v>
      </c>
      <c r="I52" s="5">
        <f t="shared" si="17"/>
        <v>258906.65826155836</v>
      </c>
      <c r="J52" s="26">
        <f t="shared" si="5"/>
        <v>0.27481633202850514</v>
      </c>
      <c r="L52" s="22">
        <f t="shared" si="18"/>
        <v>357022.18582194444</v>
      </c>
      <c r="M52" s="5">
        <f>scrimecost*Meta!O49</f>
        <v>180.90799999999999</v>
      </c>
      <c r="N52" s="5">
        <f>L52-Grade15!L52</f>
        <v>15357.370295856381</v>
      </c>
      <c r="O52" s="5">
        <f>Grade15!M52-M52</f>
        <v>1.2740000000000009</v>
      </c>
      <c r="P52" s="22">
        <f t="shared" si="12"/>
        <v>418.67811024154491</v>
      </c>
      <c r="Q52" s="22"/>
      <c r="R52" s="22"/>
      <c r="S52" s="22">
        <f t="shared" si="19"/>
        <v>10030.334610059026</v>
      </c>
      <c r="T52" s="22">
        <f t="shared" si="20"/>
        <v>2185.0007332017994</v>
      </c>
    </row>
    <row r="53" spans="1:20" x14ac:dyDescent="0.2">
      <c r="A53" s="5">
        <v>62</v>
      </c>
      <c r="B53" s="1">
        <f t="shared" si="13"/>
        <v>2.6850638383899672</v>
      </c>
      <c r="C53" s="5">
        <f t="shared" si="14"/>
        <v>264914.81782027817</v>
      </c>
      <c r="D53" s="5">
        <f t="shared" si="15"/>
        <v>256438.1140143887</v>
      </c>
      <c r="E53" s="5">
        <f t="shared" si="1"/>
        <v>246938.1140143887</v>
      </c>
      <c r="F53" s="5">
        <f t="shared" si="2"/>
        <v>101420.34167939577</v>
      </c>
      <c r="G53" s="5">
        <f t="shared" si="3"/>
        <v>155017.77233499294</v>
      </c>
      <c r="H53" s="22">
        <f t="shared" si="16"/>
        <v>113913.07086242686</v>
      </c>
      <c r="I53" s="5">
        <f t="shared" si="17"/>
        <v>265057.79878809728</v>
      </c>
      <c r="J53" s="26">
        <f t="shared" si="5"/>
        <v>0.27569494362913766</v>
      </c>
      <c r="L53" s="22">
        <f t="shared" si="18"/>
        <v>365947.74046749307</v>
      </c>
      <c r="M53" s="5">
        <f>scrimecost*Meta!O50</f>
        <v>180.90799999999999</v>
      </c>
      <c r="N53" s="5">
        <f>L53-Grade15!L53</f>
        <v>15741.304553252878</v>
      </c>
      <c r="O53" s="5">
        <f>Grade15!M53-M53</f>
        <v>1.2740000000000009</v>
      </c>
      <c r="P53" s="22">
        <f t="shared" si="12"/>
        <v>429.77576671758356</v>
      </c>
      <c r="Q53" s="22"/>
      <c r="R53" s="22"/>
      <c r="S53" s="22">
        <f t="shared" si="19"/>
        <v>10281.579244531196</v>
      </c>
      <c r="T53" s="22">
        <f t="shared" si="20"/>
        <v>2156.0031801087962</v>
      </c>
    </row>
    <row r="54" spans="1:20" x14ac:dyDescent="0.2">
      <c r="A54" s="5">
        <v>63</v>
      </c>
      <c r="B54" s="1">
        <f t="shared" si="13"/>
        <v>2.7521904343497163</v>
      </c>
      <c r="C54" s="5">
        <f t="shared" si="14"/>
        <v>271537.68826578511</v>
      </c>
      <c r="D54" s="5">
        <f t="shared" si="15"/>
        <v>262835.80686474842</v>
      </c>
      <c r="E54" s="5">
        <f t="shared" si="1"/>
        <v>253335.80686474842</v>
      </c>
      <c r="F54" s="5">
        <f t="shared" si="2"/>
        <v>104264.11615138067</v>
      </c>
      <c r="G54" s="5">
        <f t="shared" si="3"/>
        <v>158571.69071336775</v>
      </c>
      <c r="H54" s="22">
        <f t="shared" si="16"/>
        <v>116760.89763398754</v>
      </c>
      <c r="I54" s="5">
        <f t="shared" si="17"/>
        <v>271362.71782779973</v>
      </c>
      <c r="J54" s="26">
        <f t="shared" si="5"/>
        <v>0.27655212567853521</v>
      </c>
      <c r="L54" s="22">
        <f t="shared" si="18"/>
        <v>375096.43397918035</v>
      </c>
      <c r="M54" s="5">
        <f>scrimecost*Meta!O51</f>
        <v>180.90799999999999</v>
      </c>
      <c r="N54" s="5">
        <f>L54-Grade15!L54</f>
        <v>16134.837167084101</v>
      </c>
      <c r="O54" s="5">
        <f>Grade15!M54-M54</f>
        <v>1.2740000000000009</v>
      </c>
      <c r="P54" s="22">
        <f t="shared" si="12"/>
        <v>441.15086460552305</v>
      </c>
      <c r="Q54" s="22"/>
      <c r="R54" s="22"/>
      <c r="S54" s="22">
        <f t="shared" si="19"/>
        <v>10539.104994865054</v>
      </c>
      <c r="T54" s="22">
        <f t="shared" si="20"/>
        <v>2127.3880002872997</v>
      </c>
    </row>
    <row r="55" spans="1:20" x14ac:dyDescent="0.2">
      <c r="A55" s="5">
        <v>64</v>
      </c>
      <c r="B55" s="1">
        <f t="shared" si="13"/>
        <v>2.8209951952084591</v>
      </c>
      <c r="C55" s="5">
        <f t="shared" si="14"/>
        <v>278326.13047242974</v>
      </c>
      <c r="D55" s="5">
        <f t="shared" si="15"/>
        <v>269393.44203636714</v>
      </c>
      <c r="E55" s="5">
        <f t="shared" si="1"/>
        <v>259893.44203636714</v>
      </c>
      <c r="F55" s="5">
        <f t="shared" si="2"/>
        <v>107178.9849851652</v>
      </c>
      <c r="G55" s="5">
        <f t="shared" si="3"/>
        <v>162214.45705120196</v>
      </c>
      <c r="H55" s="22">
        <f t="shared" si="16"/>
        <v>119679.92007483722</v>
      </c>
      <c r="I55" s="5">
        <f t="shared" si="17"/>
        <v>277825.25984349474</v>
      </c>
      <c r="J55" s="26">
        <f t="shared" si="5"/>
        <v>0.27738840084867922</v>
      </c>
      <c r="L55" s="22">
        <f t="shared" si="18"/>
        <v>384473.84482865984</v>
      </c>
      <c r="M55" s="5">
        <f>scrimecost*Meta!O52</f>
        <v>180.90799999999999</v>
      </c>
      <c r="N55" s="5">
        <f>L55-Grade15!L55</f>
        <v>16538.208096261253</v>
      </c>
      <c r="O55" s="5">
        <f>Grade15!M55-M55</f>
        <v>1.2740000000000009</v>
      </c>
      <c r="P55" s="22">
        <f t="shared" si="12"/>
        <v>452.81033994066115</v>
      </c>
      <c r="Q55" s="22"/>
      <c r="R55" s="22"/>
      <c r="S55" s="22">
        <f t="shared" si="19"/>
        <v>10803.068888957352</v>
      </c>
      <c r="T55" s="22">
        <f t="shared" si="20"/>
        <v>2099.1502438477974</v>
      </c>
    </row>
    <row r="56" spans="1:20" x14ac:dyDescent="0.2">
      <c r="A56" s="5">
        <v>65</v>
      </c>
      <c r="B56" s="1">
        <f t="shared" si="13"/>
        <v>2.8915200750886707</v>
      </c>
      <c r="C56" s="5">
        <f t="shared" si="14"/>
        <v>285284.28373424045</v>
      </c>
      <c r="D56" s="5">
        <f t="shared" si="15"/>
        <v>276115.01808727632</v>
      </c>
      <c r="E56" s="5">
        <f t="shared" si="1"/>
        <v>266615.01808727632</v>
      </c>
      <c r="F56" s="5">
        <f t="shared" si="2"/>
        <v>110166.72553979432</v>
      </c>
      <c r="G56" s="5">
        <f t="shared" si="3"/>
        <v>165948.29254748201</v>
      </c>
      <c r="H56" s="22">
        <f t="shared" si="16"/>
        <v>122671.91807670816</v>
      </c>
      <c r="I56" s="5">
        <f t="shared" si="17"/>
        <v>284449.3654095821</v>
      </c>
      <c r="J56" s="26">
        <f t="shared" si="5"/>
        <v>0.27820427906345385</v>
      </c>
      <c r="L56" s="22">
        <f t="shared" si="18"/>
        <v>394085.69094937638</v>
      </c>
      <c r="M56" s="5">
        <f>scrimecost*Meta!O53</f>
        <v>54.67</v>
      </c>
      <c r="N56" s="5">
        <f>L56-Grade15!L56</f>
        <v>16951.663298667874</v>
      </c>
      <c r="O56" s="5">
        <f>Grade15!M56-M56</f>
        <v>0.38499999999999801</v>
      </c>
      <c r="P56" s="22">
        <f t="shared" si="12"/>
        <v>464.76130215917777</v>
      </c>
      <c r="Q56" s="22"/>
      <c r="R56" s="22"/>
      <c r="S56" s="22">
        <f t="shared" si="19"/>
        <v>11072.910012401984</v>
      </c>
      <c r="T56" s="22">
        <f t="shared" si="20"/>
        <v>2071.149998551562</v>
      </c>
    </row>
    <row r="57" spans="1:20" x14ac:dyDescent="0.2">
      <c r="A57" s="5">
        <v>66</v>
      </c>
      <c r="C57" s="5"/>
      <c r="H57" s="21"/>
      <c r="I57" s="5"/>
      <c r="M57" s="5">
        <f>scrimecost*Meta!O54</f>
        <v>54.67</v>
      </c>
      <c r="N57" s="5">
        <f>L57-Grade15!L57</f>
        <v>0</v>
      </c>
      <c r="O57" s="5">
        <f>Grade15!M57-M57</f>
        <v>0.38499999999999801</v>
      </c>
      <c r="Q57" s="22"/>
      <c r="R57" s="22"/>
      <c r="S57" s="22">
        <f t="shared" si="19"/>
        <v>0.3126199999999984</v>
      </c>
      <c r="T57" s="22">
        <f t="shared" si="20"/>
        <v>5.6288534958159615E-2</v>
      </c>
    </row>
    <row r="58" spans="1:20" x14ac:dyDescent="0.2">
      <c r="A58" s="5">
        <v>67</v>
      </c>
      <c r="C58" s="5"/>
      <c r="H58" s="21"/>
      <c r="I58" s="5"/>
      <c r="M58" s="5">
        <f>scrimecost*Meta!O55</f>
        <v>54.67</v>
      </c>
      <c r="N58" s="5">
        <f>L58-Grade15!L58</f>
        <v>0</v>
      </c>
      <c r="O58" s="5">
        <f>Grade15!M58-M58</f>
        <v>0.38499999999999801</v>
      </c>
      <c r="Q58" s="22"/>
      <c r="R58" s="22"/>
      <c r="S58" s="22">
        <f t="shared" si="19"/>
        <v>0.3126199999999984</v>
      </c>
      <c r="T58" s="22">
        <f t="shared" si="20"/>
        <v>5.418428531139477E-2</v>
      </c>
    </row>
    <row r="59" spans="1:20" x14ac:dyDescent="0.2">
      <c r="A59" s="5">
        <v>68</v>
      </c>
      <c r="H59" s="21"/>
      <c r="I59" s="5"/>
      <c r="M59" s="5">
        <f>scrimecost*Meta!O56</f>
        <v>54.67</v>
      </c>
      <c r="N59" s="5">
        <f>L59-Grade15!L59</f>
        <v>0</v>
      </c>
      <c r="O59" s="5">
        <f>Grade15!M59-M59</f>
        <v>0.38499999999999801</v>
      </c>
      <c r="Q59" s="22"/>
      <c r="R59" s="22"/>
      <c r="S59" s="22">
        <f t="shared" si="19"/>
        <v>0.3126199999999984</v>
      </c>
      <c r="T59" s="22">
        <f t="shared" si="20"/>
        <v>5.2158699402799713E-2</v>
      </c>
    </row>
    <row r="60" spans="1:20" x14ac:dyDescent="0.2">
      <c r="A60" s="5">
        <v>69</v>
      </c>
      <c r="H60" s="21"/>
      <c r="I60" s="5"/>
      <c r="M60" s="5">
        <f>scrimecost*Meta!O57</f>
        <v>54.67</v>
      </c>
      <c r="N60" s="5">
        <f>L60-Grade15!L60</f>
        <v>0</v>
      </c>
      <c r="O60" s="5">
        <f>Grade15!M60-M60</f>
        <v>0.38499999999999801</v>
      </c>
      <c r="Q60" s="22"/>
      <c r="R60" s="22"/>
      <c r="S60" s="22">
        <f t="shared" si="19"/>
        <v>0.3126199999999984</v>
      </c>
      <c r="T60" s="22">
        <f t="shared" si="20"/>
        <v>5.0208836524406483E-2</v>
      </c>
    </row>
    <row r="61" spans="1:20" x14ac:dyDescent="0.2">
      <c r="A61" s="5">
        <v>70</v>
      </c>
      <c r="H61" s="21"/>
      <c r="I61" s="5"/>
      <c r="M61" s="5">
        <f>scrimecost*Meta!O58</f>
        <v>54.67</v>
      </c>
      <c r="N61" s="5">
        <f>L61-Grade15!L61</f>
        <v>0</v>
      </c>
      <c r="O61" s="5">
        <f>Grade15!M61-M61</f>
        <v>0.38499999999999801</v>
      </c>
      <c r="Q61" s="22"/>
      <c r="R61" s="22"/>
      <c r="S61" s="22">
        <f t="shared" si="19"/>
        <v>0.3126199999999984</v>
      </c>
      <c r="T61" s="22">
        <f t="shared" si="20"/>
        <v>4.833186590153471E-2</v>
      </c>
    </row>
    <row r="62" spans="1:20" x14ac:dyDescent="0.2">
      <c r="A62" s="5">
        <v>71</v>
      </c>
      <c r="H62" s="21"/>
      <c r="I62" s="5"/>
      <c r="M62" s="5">
        <f>scrimecost*Meta!O59</f>
        <v>54.67</v>
      </c>
      <c r="N62" s="5">
        <f>L62-Grade15!L62</f>
        <v>0</v>
      </c>
      <c r="O62" s="5">
        <f>Grade15!M62-M62</f>
        <v>0.38499999999999801</v>
      </c>
      <c r="Q62" s="22"/>
      <c r="R62" s="22"/>
      <c r="S62" s="22">
        <f t="shared" si="19"/>
        <v>0.3126199999999984</v>
      </c>
      <c r="T62" s="22">
        <f t="shared" si="20"/>
        <v>4.6525062583125595E-2</v>
      </c>
    </row>
    <row r="63" spans="1:20" x14ac:dyDescent="0.2">
      <c r="A63" s="5">
        <v>72</v>
      </c>
      <c r="H63" s="21"/>
      <c r="M63" s="5">
        <f>scrimecost*Meta!O60</f>
        <v>54.67</v>
      </c>
      <c r="N63" s="5">
        <f>L63-Grade15!L63</f>
        <v>0</v>
      </c>
      <c r="O63" s="5">
        <f>Grade15!M63-M63</f>
        <v>0.38499999999999801</v>
      </c>
      <c r="Q63" s="22"/>
      <c r="R63" s="22"/>
      <c r="S63" s="22">
        <f t="shared" si="19"/>
        <v>0.3126199999999984</v>
      </c>
      <c r="T63" s="22">
        <f t="shared" si="20"/>
        <v>4.478580348570859E-2</v>
      </c>
    </row>
    <row r="64" spans="1:20" x14ac:dyDescent="0.2">
      <c r="A64" s="5">
        <v>73</v>
      </c>
      <c r="H64" s="21"/>
      <c r="M64" s="5">
        <f>scrimecost*Meta!O61</f>
        <v>54.67</v>
      </c>
      <c r="N64" s="5">
        <f>L64-Grade15!L64</f>
        <v>0</v>
      </c>
      <c r="O64" s="5">
        <f>Grade15!M64-M64</f>
        <v>0.38499999999999801</v>
      </c>
      <c r="Q64" s="22"/>
      <c r="R64" s="22"/>
      <c r="S64" s="22">
        <f t="shared" si="19"/>
        <v>0.3126199999999984</v>
      </c>
      <c r="T64" s="22">
        <f t="shared" si="20"/>
        <v>4.3111563585257584E-2</v>
      </c>
    </row>
    <row r="65" spans="1:20" x14ac:dyDescent="0.2">
      <c r="A65" s="5">
        <v>74</v>
      </c>
      <c r="H65" s="21"/>
      <c r="M65" s="5">
        <f>scrimecost*Meta!O62</f>
        <v>54.67</v>
      </c>
      <c r="N65" s="5">
        <f>L65-Grade15!L65</f>
        <v>0</v>
      </c>
      <c r="O65" s="5">
        <f>Grade15!M65-M65</f>
        <v>0.38499999999999801</v>
      </c>
      <c r="Q65" s="22"/>
      <c r="R65" s="22"/>
      <c r="S65" s="22">
        <f t="shared" si="19"/>
        <v>0.3126199999999984</v>
      </c>
      <c r="T65" s="22">
        <f t="shared" si="20"/>
        <v>4.1499912251407971E-2</v>
      </c>
    </row>
    <row r="66" spans="1:20" x14ac:dyDescent="0.2">
      <c r="A66" s="5">
        <v>75</v>
      </c>
      <c r="H66" s="21"/>
      <c r="M66" s="5">
        <f>scrimecost*Meta!O63</f>
        <v>54.67</v>
      </c>
      <c r="N66" s="5">
        <f>L66-Grade15!L66</f>
        <v>0</v>
      </c>
      <c r="O66" s="5">
        <f>Grade15!M66-M66</f>
        <v>0.38499999999999801</v>
      </c>
      <c r="Q66" s="22"/>
      <c r="R66" s="22"/>
      <c r="S66" s="22">
        <f t="shared" si="19"/>
        <v>0.3126199999999984</v>
      </c>
      <c r="T66" s="22">
        <f t="shared" si="20"/>
        <v>3.9948509718712659E-2</v>
      </c>
    </row>
    <row r="67" spans="1:20" x14ac:dyDescent="0.2">
      <c r="A67" s="5">
        <v>76</v>
      </c>
      <c r="H67" s="21"/>
      <c r="M67" s="5">
        <f>scrimecost*Meta!O64</f>
        <v>54.67</v>
      </c>
      <c r="N67" s="5">
        <f>L67-Grade15!L67</f>
        <v>0</v>
      </c>
      <c r="O67" s="5">
        <f>Grade15!M67-M67</f>
        <v>0.38499999999999801</v>
      </c>
      <c r="Q67" s="22"/>
      <c r="R67" s="22"/>
      <c r="S67" s="22">
        <f t="shared" si="19"/>
        <v>0.3126199999999984</v>
      </c>
      <c r="T67" s="22">
        <f t="shared" si="20"/>
        <v>3.8455103689814099E-2</v>
      </c>
    </row>
    <row r="68" spans="1:20" x14ac:dyDescent="0.2">
      <c r="A68" s="5">
        <v>77</v>
      </c>
      <c r="H68" s="21"/>
      <c r="M68" s="5">
        <f>scrimecost*Meta!O65</f>
        <v>54.67</v>
      </c>
      <c r="N68" s="5">
        <f>L68-Grade15!L68</f>
        <v>0</v>
      </c>
      <c r="O68" s="5">
        <f>Grade15!M68-M68</f>
        <v>0.38499999999999801</v>
      </c>
      <c r="Q68" s="22"/>
      <c r="R68" s="22"/>
      <c r="S68" s="22">
        <f t="shared" si="19"/>
        <v>0.3126199999999984</v>
      </c>
      <c r="T68" s="22">
        <f t="shared" si="20"/>
        <v>3.7017526065600818E-2</v>
      </c>
    </row>
    <row r="69" spans="1:20" x14ac:dyDescent="0.2">
      <c r="A69" s="5">
        <v>78</v>
      </c>
      <c r="H69" s="21"/>
      <c r="M69" s="5">
        <f>scrimecost*Meta!O66</f>
        <v>54.67</v>
      </c>
      <c r="N69" s="5">
        <f>L69-Grade15!L69</f>
        <v>0</v>
      </c>
      <c r="O69" s="5">
        <f>Grade15!M69-M69</f>
        <v>0.38499999999999801</v>
      </c>
      <c r="Q69" s="22"/>
      <c r="R69" s="22"/>
      <c r="S69" s="22">
        <f t="shared" si="19"/>
        <v>0.3126199999999984</v>
      </c>
      <c r="T69" s="22">
        <f t="shared" si="20"/>
        <v>3.5633689797601502E-2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1.0990186538606395E-10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Meta!A11+6</f>
        <v>23</v>
      </c>
      <c r="C2" s="7">
        <f>Meta!B11</f>
        <v>181385</v>
      </c>
      <c r="D2" s="7">
        <f>Meta!C11</f>
        <v>77653</v>
      </c>
      <c r="E2" s="1">
        <f>Meta!D11</f>
        <v>3.3000000000000002E-2</v>
      </c>
      <c r="F2" s="1">
        <f>Meta!F11</f>
        <v>0.77700000000000002</v>
      </c>
      <c r="G2" s="1">
        <f>Meta!I11</f>
        <v>1.7595535582220223</v>
      </c>
      <c r="H2" s="1">
        <f>Meta!E11</f>
        <v>0.57199999999999995</v>
      </c>
      <c r="I2" s="13"/>
      <c r="J2" s="1">
        <f>Meta!X10</f>
        <v>0.77700000000000002</v>
      </c>
      <c r="K2" s="1">
        <f>Meta!D10</f>
        <v>3.4000000000000002E-2</v>
      </c>
      <c r="L2" s="29"/>
      <c r="N2" s="22">
        <f>Meta!T11</f>
        <v>190507</v>
      </c>
      <c r="O2" s="22">
        <f>Meta!U11</f>
        <v>81461</v>
      </c>
      <c r="P2" s="1">
        <f>Meta!V11</f>
        <v>3.4000000000000002E-2</v>
      </c>
      <c r="Q2" s="1">
        <f>Meta!X11</f>
        <v>0.77700000000000002</v>
      </c>
      <c r="R2" s="22">
        <f>Meta!W11</f>
        <v>994</v>
      </c>
      <c r="T2" s="12">
        <f>IRR(S5:S69)+1</f>
        <v>1.0402123199553839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B13" s="1">
        <v>1</v>
      </c>
      <c r="C13" s="5">
        <f>0.1*Grade16!C13</f>
        <v>9866.239082759681</v>
      </c>
      <c r="D13" s="5">
        <f t="shared" ref="D13:D36" si="0">IF(A13&lt;startage,1,0)*(C13*(1-initialunempprob))+IF(A13=startage,1,0)*(C13*(1-unempprob))+IF(A13&gt;startage,1,0)*(C13*(1-unempprob)+unempprob*300*52)</f>
        <v>9530.7869539458516</v>
      </c>
      <c r="E13" s="5">
        <f t="shared" ref="E13:E56" si="1">IF(D13-9500&gt;0,1,0)*(D13-9500)</f>
        <v>30.786953945851565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735.26259276602798</v>
      </c>
      <c r="G13" s="5">
        <f t="shared" ref="G13:G56" si="3">D13-F13</f>
        <v>8795.5243611798232</v>
      </c>
      <c r="H13" s="22">
        <f>0.1*Grade16!H13</f>
        <v>4242.471602862599</v>
      </c>
      <c r="I13" s="5">
        <f t="shared" ref="I13:I36" si="4">G13+IF(A13&lt;startage,1,0)*(H13*(1-initialunempprob))+IF(A13&gt;=startage,1,0)*(H13*(1-unempprob))</f>
        <v>12893.751929545095</v>
      </c>
      <c r="J13" s="26">
        <f t="shared" ref="J13:J56" si="5">(F13-(IF(A13&gt;startage,1,0)*(unempprob*300*52)))/(IF(A13&lt;startage,1,0)*((C13+H13)*(1-initialunempprob))+IF(A13&gt;=startage,1,0)*((C13+H13)*(1-unempprob)))</f>
        <v>5.394833144849763E-2</v>
      </c>
      <c r="L13" s="22">
        <f>0.1*Grade16!L13</f>
        <v>13629.014522311121</v>
      </c>
      <c r="M13" s="5">
        <f>scrimecost*Meta!O10</f>
        <v>2791.152</v>
      </c>
      <c r="N13" s="5">
        <f>L13-Grade16!L13</f>
        <v>-122661.13070080009</v>
      </c>
      <c r="O13" s="5"/>
      <c r="P13" s="22"/>
      <c r="Q13" s="22">
        <f>0.05*feel*Grade16!G13</f>
        <v>865.09957932573991</v>
      </c>
      <c r="R13" s="22">
        <f>coltuition</f>
        <v>8279</v>
      </c>
      <c r="S13" s="22">
        <f t="shared" ref="S13:S44" si="6">IF(A13&lt;startage,1,0)*(N13-Q13-R13)+IF(A13&gt;=startage,1,0)*completionprob*(N13*spart+O13+P13)</f>
        <v>-131805.23028012583</v>
      </c>
      <c r="T13" s="22">
        <f t="shared" ref="T13:T44" si="7">S13/sreturn^(A13-startage+1)</f>
        <v>-131805.23028012583</v>
      </c>
    </row>
    <row r="14" spans="1:20" x14ac:dyDescent="0.2">
      <c r="A14" s="5">
        <v>23</v>
      </c>
      <c r="B14" s="1">
        <f t="shared" ref="B14:B36" si="8">(1+experiencepremium)^(A14-startage)</f>
        <v>1</v>
      </c>
      <c r="C14" s="5">
        <f t="shared" ref="C14:C36" si="9">pretaxincome*B14/expnorm</f>
        <v>103085.80784735207</v>
      </c>
      <c r="D14" s="5">
        <f t="shared" si="0"/>
        <v>99683.976188389453</v>
      </c>
      <c r="E14" s="5">
        <f t="shared" si="1"/>
        <v>90183.976188389453</v>
      </c>
      <c r="F14" s="5">
        <f t="shared" si="2"/>
        <v>35512.735129999783</v>
      </c>
      <c r="G14" s="5">
        <f t="shared" si="3"/>
        <v>64171.241058389671</v>
      </c>
      <c r="H14" s="22">
        <f t="shared" ref="H14:H36" si="10">benefits*B14/expnorm</f>
        <v>44132.21730997839</v>
      </c>
      <c r="I14" s="5">
        <f t="shared" si="4"/>
        <v>106847.09519713877</v>
      </c>
      <c r="J14" s="26">
        <f t="shared" si="5"/>
        <v>0.2494575544828383</v>
      </c>
      <c r="L14" s="22">
        <f t="shared" ref="L14:L36" si="11">(sincome+sbenefits)*(1-sunemp)*B14/expnorm</f>
        <v>149311.21975364705</v>
      </c>
      <c r="M14" s="5">
        <f>scrimecost*Meta!O11</f>
        <v>2608.2560000000003</v>
      </c>
      <c r="N14" s="5">
        <f>L14-Grade16!L14</f>
        <v>9613.820899958082</v>
      </c>
      <c r="O14" s="5">
        <f>Grade16!M14-M14</f>
        <v>0</v>
      </c>
      <c r="P14" s="22">
        <f t="shared" ref="P14:P56" si="12">(spart-initialspart)*(L14*J14+nptrans)</f>
        <v>0</v>
      </c>
      <c r="Q14" s="22"/>
      <c r="R14" s="22"/>
      <c r="S14" s="22">
        <f t="shared" si="6"/>
        <v>4272.80501606097</v>
      </c>
      <c r="T14" s="22">
        <f t="shared" si="7"/>
        <v>4107.6277737647215</v>
      </c>
    </row>
    <row r="15" spans="1:20" x14ac:dyDescent="0.2">
      <c r="A15" s="5">
        <v>24</v>
      </c>
      <c r="B15" s="1">
        <f t="shared" si="8"/>
        <v>1.0249999999999999</v>
      </c>
      <c r="C15" s="5">
        <f t="shared" si="9"/>
        <v>105662.95304353585</v>
      </c>
      <c r="D15" s="5">
        <f t="shared" si="0"/>
        <v>102690.87559309916</v>
      </c>
      <c r="E15" s="5">
        <f t="shared" si="1"/>
        <v>93190.875593099161</v>
      </c>
      <c r="F15" s="5">
        <f t="shared" si="2"/>
        <v>36885.384708249767</v>
      </c>
      <c r="G15" s="5">
        <f t="shared" si="3"/>
        <v>65805.490884849394</v>
      </c>
      <c r="H15" s="22">
        <f t="shared" si="10"/>
        <v>45235.522742727844</v>
      </c>
      <c r="I15" s="5">
        <f t="shared" si="4"/>
        <v>109548.24137706723</v>
      </c>
      <c r="J15" s="26">
        <f t="shared" si="5"/>
        <v>0.24925217454109941</v>
      </c>
      <c r="L15" s="22">
        <f t="shared" si="11"/>
        <v>153044.00024748821</v>
      </c>
      <c r="M15" s="5">
        <f>scrimecost*Meta!O12</f>
        <v>2491.9580000000001</v>
      </c>
      <c r="N15" s="5">
        <f>L15-Grade16!L15</f>
        <v>9854.1664224569977</v>
      </c>
      <c r="O15" s="5">
        <f>Grade16!M15-M15</f>
        <v>0</v>
      </c>
      <c r="P15" s="22">
        <f t="shared" si="12"/>
        <v>0</v>
      </c>
      <c r="Q15" s="22"/>
      <c r="R15" s="22"/>
      <c r="S15" s="22">
        <f t="shared" si="6"/>
        <v>4379.6251414624776</v>
      </c>
      <c r="T15" s="22">
        <f t="shared" si="7"/>
        <v>4047.5568182939901</v>
      </c>
    </row>
    <row r="16" spans="1:20" x14ac:dyDescent="0.2">
      <c r="A16" s="5">
        <v>25</v>
      </c>
      <c r="B16" s="1">
        <f t="shared" si="8"/>
        <v>1.0506249999999999</v>
      </c>
      <c r="C16" s="5">
        <f t="shared" si="9"/>
        <v>108304.52686962426</v>
      </c>
      <c r="D16" s="5">
        <f t="shared" si="0"/>
        <v>105245.27748292666</v>
      </c>
      <c r="E16" s="5">
        <f t="shared" si="1"/>
        <v>95745.277482926656</v>
      </c>
      <c r="F16" s="5">
        <f t="shared" si="2"/>
        <v>38051.469170956021</v>
      </c>
      <c r="G16" s="5">
        <f t="shared" si="3"/>
        <v>67193.808311970643</v>
      </c>
      <c r="H16" s="22">
        <f t="shared" si="10"/>
        <v>46366.410811296046</v>
      </c>
      <c r="I16" s="5">
        <f t="shared" si="4"/>
        <v>112030.12756649392</v>
      </c>
      <c r="J16" s="26">
        <f t="shared" si="5"/>
        <v>0.25096926583811258</v>
      </c>
      <c r="L16" s="22">
        <f t="shared" si="11"/>
        <v>156870.10025367542</v>
      </c>
      <c r="M16" s="5">
        <f>scrimecost*Meta!O13</f>
        <v>2092.37</v>
      </c>
      <c r="N16" s="5">
        <f>L16-Grade16!L16</f>
        <v>10100.520583018457</v>
      </c>
      <c r="O16" s="5">
        <f>Grade16!M16-M16</f>
        <v>0</v>
      </c>
      <c r="P16" s="22">
        <f t="shared" si="12"/>
        <v>0</v>
      </c>
      <c r="Q16" s="22"/>
      <c r="R16" s="22"/>
      <c r="S16" s="22">
        <f t="shared" si="6"/>
        <v>4489.1157699990545</v>
      </c>
      <c r="T16" s="22">
        <f t="shared" si="7"/>
        <v>3988.3643552013482</v>
      </c>
    </row>
    <row r="17" spans="1:20" x14ac:dyDescent="0.2">
      <c r="A17" s="5">
        <v>26</v>
      </c>
      <c r="B17" s="1">
        <f t="shared" si="8"/>
        <v>1.0768906249999999</v>
      </c>
      <c r="C17" s="5">
        <f t="shared" si="9"/>
        <v>111012.14004136487</v>
      </c>
      <c r="D17" s="5">
        <f t="shared" si="0"/>
        <v>107863.53941999983</v>
      </c>
      <c r="E17" s="5">
        <f t="shared" si="1"/>
        <v>98363.539419999826</v>
      </c>
      <c r="F17" s="5">
        <f t="shared" si="2"/>
        <v>39180.766301189928</v>
      </c>
      <c r="G17" s="5">
        <f t="shared" si="3"/>
        <v>68682.773118809899</v>
      </c>
      <c r="H17" s="22">
        <f t="shared" si="10"/>
        <v>47525.57108157844</v>
      </c>
      <c r="I17" s="5">
        <f t="shared" si="4"/>
        <v>114640.00035469624</v>
      </c>
      <c r="J17" s="26">
        <f t="shared" si="5"/>
        <v>0.25221436024065763</v>
      </c>
      <c r="L17" s="22">
        <f t="shared" si="11"/>
        <v>160791.8527600173</v>
      </c>
      <c r="M17" s="5">
        <f>scrimecost*Meta!O14</f>
        <v>2092.37</v>
      </c>
      <c r="N17" s="5">
        <f>L17-Grade16!L17</f>
        <v>10353.033597593923</v>
      </c>
      <c r="O17" s="5">
        <f>Grade16!M17-M17</f>
        <v>0</v>
      </c>
      <c r="P17" s="22">
        <f t="shared" si="12"/>
        <v>0</v>
      </c>
      <c r="Q17" s="22"/>
      <c r="R17" s="22"/>
      <c r="S17" s="22">
        <f t="shared" si="6"/>
        <v>4601.3436642490333</v>
      </c>
      <c r="T17" s="22">
        <f t="shared" si="7"/>
        <v>3930.0375371988744</v>
      </c>
    </row>
    <row r="18" spans="1:20" x14ac:dyDescent="0.2">
      <c r="A18" s="5">
        <v>27</v>
      </c>
      <c r="B18" s="1">
        <f t="shared" si="8"/>
        <v>1.1038128906249998</v>
      </c>
      <c r="C18" s="5">
        <f t="shared" si="9"/>
        <v>113787.44354239896</v>
      </c>
      <c r="D18" s="5">
        <f t="shared" si="0"/>
        <v>110547.25790549979</v>
      </c>
      <c r="E18" s="5">
        <f t="shared" si="1"/>
        <v>101047.25790549979</v>
      </c>
      <c r="F18" s="5">
        <f t="shared" si="2"/>
        <v>40239.493243719669</v>
      </c>
      <c r="G18" s="5">
        <f t="shared" si="3"/>
        <v>70307.764661780122</v>
      </c>
      <c r="H18" s="22">
        <f t="shared" si="10"/>
        <v>48713.7103586179</v>
      </c>
      <c r="I18" s="5">
        <f t="shared" si="4"/>
        <v>117413.92257856362</v>
      </c>
      <c r="J18" s="26">
        <f t="shared" si="5"/>
        <v>0.25280032559690169</v>
      </c>
      <c r="L18" s="22">
        <f t="shared" si="11"/>
        <v>164811.64907901772</v>
      </c>
      <c r="M18" s="5">
        <f>scrimecost*Meta!O15</f>
        <v>2092.37</v>
      </c>
      <c r="N18" s="5">
        <f>L18-Grade16!L18</f>
        <v>10611.859437533771</v>
      </c>
      <c r="O18" s="5">
        <f>Grade16!M18-M18</f>
        <v>0</v>
      </c>
      <c r="P18" s="22">
        <f t="shared" si="12"/>
        <v>0</v>
      </c>
      <c r="Q18" s="22"/>
      <c r="R18" s="22"/>
      <c r="S18" s="22">
        <f t="shared" si="6"/>
        <v>4716.3772558552591</v>
      </c>
      <c r="T18" s="22">
        <f t="shared" si="7"/>
        <v>3872.5637048805811</v>
      </c>
    </row>
    <row r="19" spans="1:20" x14ac:dyDescent="0.2">
      <c r="A19" s="5">
        <v>28</v>
      </c>
      <c r="B19" s="1">
        <f t="shared" si="8"/>
        <v>1.1314082128906247</v>
      </c>
      <c r="C19" s="5">
        <f t="shared" si="9"/>
        <v>116632.12963095894</v>
      </c>
      <c r="D19" s="5">
        <f t="shared" si="0"/>
        <v>113298.0693531373</v>
      </c>
      <c r="E19" s="5">
        <f t="shared" si="1"/>
        <v>103798.0693531373</v>
      </c>
      <c r="F19" s="5">
        <f t="shared" si="2"/>
        <v>41324.688359812659</v>
      </c>
      <c r="G19" s="5">
        <f t="shared" si="3"/>
        <v>71973.380993324638</v>
      </c>
      <c r="H19" s="22">
        <f t="shared" si="10"/>
        <v>49931.553117583338</v>
      </c>
      <c r="I19" s="5">
        <f t="shared" si="4"/>
        <v>120257.19285802773</v>
      </c>
      <c r="J19" s="26">
        <f t="shared" si="5"/>
        <v>0.25337199911518854</v>
      </c>
      <c r="L19" s="22">
        <f t="shared" si="11"/>
        <v>168931.94030599316</v>
      </c>
      <c r="M19" s="5">
        <f>scrimecost*Meta!O16</f>
        <v>2092.37</v>
      </c>
      <c r="N19" s="5">
        <f>L19-Grade16!L19</f>
        <v>10877.155923472106</v>
      </c>
      <c r="O19" s="5">
        <f>Grade16!M19-M19</f>
        <v>0</v>
      </c>
      <c r="P19" s="22">
        <f t="shared" si="12"/>
        <v>0</v>
      </c>
      <c r="Q19" s="22"/>
      <c r="R19" s="22"/>
      <c r="S19" s="22">
        <f t="shared" si="6"/>
        <v>4834.286687251637</v>
      </c>
      <c r="T19" s="22">
        <f t="shared" si="7"/>
        <v>3815.9303839747304</v>
      </c>
    </row>
    <row r="20" spans="1:20" x14ac:dyDescent="0.2">
      <c r="A20" s="5">
        <v>29</v>
      </c>
      <c r="B20" s="1">
        <f t="shared" si="8"/>
        <v>1.1596934182128902</v>
      </c>
      <c r="C20" s="5">
        <f t="shared" si="9"/>
        <v>119547.93287173289</v>
      </c>
      <c r="D20" s="5">
        <f t="shared" si="0"/>
        <v>116117.65108696571</v>
      </c>
      <c r="E20" s="5">
        <f t="shared" si="1"/>
        <v>106617.65108696571</v>
      </c>
      <c r="F20" s="5">
        <f t="shared" si="2"/>
        <v>42437.013353807968</v>
      </c>
      <c r="G20" s="5">
        <f t="shared" si="3"/>
        <v>73680.637733157739</v>
      </c>
      <c r="H20" s="22">
        <f t="shared" si="10"/>
        <v>51179.841945522923</v>
      </c>
      <c r="I20" s="5">
        <f t="shared" si="4"/>
        <v>123171.5448944784</v>
      </c>
      <c r="J20" s="26">
        <f t="shared" si="5"/>
        <v>0.25392972937693181</v>
      </c>
      <c r="L20" s="22">
        <f t="shared" si="11"/>
        <v>173155.23881364297</v>
      </c>
      <c r="M20" s="5">
        <f>scrimecost*Meta!O17</f>
        <v>2092.37</v>
      </c>
      <c r="N20" s="5">
        <f>L20-Grade16!L20</f>
        <v>11149.084821558878</v>
      </c>
      <c r="O20" s="5">
        <f>Grade16!M20-M20</f>
        <v>0</v>
      </c>
      <c r="P20" s="22">
        <f t="shared" si="12"/>
        <v>0</v>
      </c>
      <c r="Q20" s="22"/>
      <c r="R20" s="22"/>
      <c r="S20" s="22">
        <f t="shared" si="6"/>
        <v>4955.143854432913</v>
      </c>
      <c r="T20" s="22">
        <f t="shared" si="7"/>
        <v>3760.1252826363839</v>
      </c>
    </row>
    <row r="21" spans="1:20" x14ac:dyDescent="0.2">
      <c r="A21" s="5">
        <v>30</v>
      </c>
      <c r="B21" s="1">
        <f t="shared" si="8"/>
        <v>1.1886857536682125</v>
      </c>
      <c r="C21" s="5">
        <f t="shared" si="9"/>
        <v>122536.63119352622</v>
      </c>
      <c r="D21" s="5">
        <f t="shared" si="0"/>
        <v>119007.72236413986</v>
      </c>
      <c r="E21" s="5">
        <f t="shared" si="1"/>
        <v>109507.72236413986</v>
      </c>
      <c r="F21" s="5">
        <f t="shared" si="2"/>
        <v>43577.146472653178</v>
      </c>
      <c r="G21" s="5">
        <f t="shared" si="3"/>
        <v>75430.575891486689</v>
      </c>
      <c r="H21" s="22">
        <f t="shared" si="10"/>
        <v>52459.337994160989</v>
      </c>
      <c r="I21" s="5">
        <f t="shared" si="4"/>
        <v>126158.75573184036</v>
      </c>
      <c r="J21" s="26">
        <f t="shared" si="5"/>
        <v>0.25447385646155946</v>
      </c>
      <c r="L21" s="22">
        <f t="shared" si="11"/>
        <v>177484.11978398403</v>
      </c>
      <c r="M21" s="5">
        <f>scrimecost*Meta!O18</f>
        <v>1686.818</v>
      </c>
      <c r="N21" s="5">
        <f>L21-Grade16!L21</f>
        <v>11427.811942097876</v>
      </c>
      <c r="O21" s="5">
        <f>Grade16!M21-M21</f>
        <v>0</v>
      </c>
      <c r="P21" s="22">
        <f t="shared" si="12"/>
        <v>0</v>
      </c>
      <c r="Q21" s="22"/>
      <c r="R21" s="22"/>
      <c r="S21" s="22">
        <f t="shared" si="6"/>
        <v>5079.0224507937482</v>
      </c>
      <c r="T21" s="22">
        <f t="shared" si="7"/>
        <v>3705.136288779594</v>
      </c>
    </row>
    <row r="22" spans="1:20" x14ac:dyDescent="0.2">
      <c r="A22" s="5">
        <v>31</v>
      </c>
      <c r="B22" s="1">
        <f t="shared" si="8"/>
        <v>1.2184028975099177</v>
      </c>
      <c r="C22" s="5">
        <f t="shared" si="9"/>
        <v>125600.04697336437</v>
      </c>
      <c r="D22" s="5">
        <f t="shared" si="0"/>
        <v>121970.04542324334</v>
      </c>
      <c r="E22" s="5">
        <f t="shared" si="1"/>
        <v>112470.04542324334</v>
      </c>
      <c r="F22" s="5">
        <f t="shared" si="2"/>
        <v>44745.782919469493</v>
      </c>
      <c r="G22" s="5">
        <f t="shared" si="3"/>
        <v>77224.262503773847</v>
      </c>
      <c r="H22" s="22">
        <f t="shared" si="10"/>
        <v>53770.821444015019</v>
      </c>
      <c r="I22" s="5">
        <f t="shared" si="4"/>
        <v>129220.64684013637</v>
      </c>
      <c r="J22" s="26">
        <f t="shared" si="5"/>
        <v>0.25500471215387904</v>
      </c>
      <c r="L22" s="22">
        <f t="shared" si="11"/>
        <v>181921.22277858364</v>
      </c>
      <c r="M22" s="5">
        <f>scrimecost*Meta!O19</f>
        <v>1686.818</v>
      </c>
      <c r="N22" s="5">
        <f>L22-Grade16!L22</f>
        <v>11713.50724065036</v>
      </c>
      <c r="O22" s="5">
        <f>Grade16!M22-M22</f>
        <v>0</v>
      </c>
      <c r="P22" s="22">
        <f t="shared" si="12"/>
        <v>0</v>
      </c>
      <c r="Q22" s="22"/>
      <c r="R22" s="22"/>
      <c r="S22" s="22">
        <f t="shared" si="6"/>
        <v>5205.9980120636092</v>
      </c>
      <c r="T22" s="22">
        <f t="shared" si="7"/>
        <v>3650.9514674484799</v>
      </c>
    </row>
    <row r="23" spans="1:20" x14ac:dyDescent="0.2">
      <c r="A23" s="5">
        <v>32</v>
      </c>
      <c r="B23" s="1">
        <f t="shared" si="8"/>
        <v>1.2488629699476654</v>
      </c>
      <c r="C23" s="5">
        <f t="shared" si="9"/>
        <v>128740.04814769847</v>
      </c>
      <c r="D23" s="5">
        <f t="shared" si="0"/>
        <v>125006.42655882442</v>
      </c>
      <c r="E23" s="5">
        <f t="shared" si="1"/>
        <v>115506.42655882442</v>
      </c>
      <c r="F23" s="5">
        <f t="shared" si="2"/>
        <v>45943.635277456226</v>
      </c>
      <c r="G23" s="5">
        <f t="shared" si="3"/>
        <v>79062.791281368191</v>
      </c>
      <c r="H23" s="22">
        <f t="shared" si="10"/>
        <v>55115.091980115387</v>
      </c>
      <c r="I23" s="5">
        <f t="shared" si="4"/>
        <v>132359.08522613975</v>
      </c>
      <c r="J23" s="26">
        <f t="shared" si="5"/>
        <v>0.25552262014638594</v>
      </c>
      <c r="L23" s="22">
        <f t="shared" si="11"/>
        <v>186469.25334804819</v>
      </c>
      <c r="M23" s="5">
        <f>scrimecost*Meta!O20</f>
        <v>1686.818</v>
      </c>
      <c r="N23" s="5">
        <f>L23-Grade16!L23</f>
        <v>12006.344921666547</v>
      </c>
      <c r="O23" s="5">
        <f>Grade16!M23-M23</f>
        <v>0</v>
      </c>
      <c r="P23" s="22">
        <f t="shared" si="12"/>
        <v>0</v>
      </c>
      <c r="Q23" s="22"/>
      <c r="R23" s="22"/>
      <c r="S23" s="22">
        <f t="shared" si="6"/>
        <v>5336.1479623651667</v>
      </c>
      <c r="T23" s="22">
        <f t="shared" si="7"/>
        <v>3597.559058226861</v>
      </c>
    </row>
    <row r="24" spans="1:20" x14ac:dyDescent="0.2">
      <c r="A24" s="5">
        <v>33</v>
      </c>
      <c r="B24" s="1">
        <f t="shared" si="8"/>
        <v>1.2800845441963571</v>
      </c>
      <c r="C24" s="5">
        <f t="shared" si="9"/>
        <v>131958.54935139092</v>
      </c>
      <c r="D24" s="5">
        <f t="shared" si="0"/>
        <v>128118.71722279502</v>
      </c>
      <c r="E24" s="5">
        <f t="shared" si="1"/>
        <v>118618.71722279502</v>
      </c>
      <c r="F24" s="5">
        <f t="shared" si="2"/>
        <v>47171.433944392636</v>
      </c>
      <c r="G24" s="5">
        <f t="shared" si="3"/>
        <v>80947.283278402378</v>
      </c>
      <c r="H24" s="22">
        <f t="shared" si="10"/>
        <v>56492.969279618264</v>
      </c>
      <c r="I24" s="5">
        <f t="shared" si="4"/>
        <v>135575.98457179323</v>
      </c>
      <c r="J24" s="26">
        <f t="shared" si="5"/>
        <v>0.25602789623663669</v>
      </c>
      <c r="L24" s="22">
        <f t="shared" si="11"/>
        <v>191130.9846817494</v>
      </c>
      <c r="M24" s="5">
        <f>scrimecost*Meta!O21</f>
        <v>1686.818</v>
      </c>
      <c r="N24" s="5">
        <f>L24-Grade16!L24</f>
        <v>12306.503544708219</v>
      </c>
      <c r="O24" s="5">
        <f>Grade16!M24-M24</f>
        <v>0</v>
      </c>
      <c r="P24" s="22">
        <f t="shared" si="12"/>
        <v>0</v>
      </c>
      <c r="Q24" s="22"/>
      <c r="R24" s="22"/>
      <c r="S24" s="22">
        <f t="shared" si="6"/>
        <v>5469.5516614242997</v>
      </c>
      <c r="T24" s="22">
        <f t="shared" si="7"/>
        <v>3544.9474726858607</v>
      </c>
    </row>
    <row r="25" spans="1:20" x14ac:dyDescent="0.2">
      <c r="A25" s="5">
        <v>34</v>
      </c>
      <c r="B25" s="1">
        <f t="shared" si="8"/>
        <v>1.312086657801266</v>
      </c>
      <c r="C25" s="5">
        <f t="shared" si="9"/>
        <v>135257.51308517568</v>
      </c>
      <c r="D25" s="5">
        <f t="shared" si="0"/>
        <v>131308.81515336488</v>
      </c>
      <c r="E25" s="5">
        <f t="shared" si="1"/>
        <v>121808.81515336488</v>
      </c>
      <c r="F25" s="5">
        <f t="shared" si="2"/>
        <v>48429.92757800244</v>
      </c>
      <c r="G25" s="5">
        <f t="shared" si="3"/>
        <v>82878.887575362431</v>
      </c>
      <c r="H25" s="22">
        <f t="shared" si="10"/>
        <v>57905.293511608725</v>
      </c>
      <c r="I25" s="5">
        <f t="shared" si="4"/>
        <v>138873.30640108808</v>
      </c>
      <c r="J25" s="26">
        <f t="shared" si="5"/>
        <v>0.256520848519808</v>
      </c>
      <c r="L25" s="22">
        <f t="shared" si="11"/>
        <v>195909.25929879313</v>
      </c>
      <c r="M25" s="5">
        <f>scrimecost*Meta!O22</f>
        <v>1686.818</v>
      </c>
      <c r="N25" s="5">
        <f>L25-Grade16!L25</f>
        <v>12614.166133325954</v>
      </c>
      <c r="O25" s="5">
        <f>Grade16!M25-M25</f>
        <v>0</v>
      </c>
      <c r="P25" s="22">
        <f t="shared" si="12"/>
        <v>0</v>
      </c>
      <c r="Q25" s="22"/>
      <c r="R25" s="22"/>
      <c r="S25" s="22">
        <f t="shared" si="6"/>
        <v>5606.2904529599209</v>
      </c>
      <c r="T25" s="22">
        <f t="shared" si="7"/>
        <v>3493.1052918685536</v>
      </c>
    </row>
    <row r="26" spans="1:20" x14ac:dyDescent="0.2">
      <c r="A26" s="5">
        <v>35</v>
      </c>
      <c r="B26" s="1">
        <f t="shared" si="8"/>
        <v>1.3448888242462975</v>
      </c>
      <c r="C26" s="5">
        <f t="shared" si="9"/>
        <v>138638.95091230507</v>
      </c>
      <c r="D26" s="5">
        <f t="shared" si="0"/>
        <v>134578.665532199</v>
      </c>
      <c r="E26" s="5">
        <f t="shared" si="1"/>
        <v>125078.665532199</v>
      </c>
      <c r="F26" s="5">
        <f t="shared" si="2"/>
        <v>49719.883552452498</v>
      </c>
      <c r="G26" s="5">
        <f t="shared" si="3"/>
        <v>84858.781979746505</v>
      </c>
      <c r="H26" s="22">
        <f t="shared" si="10"/>
        <v>59352.925849398933</v>
      </c>
      <c r="I26" s="5">
        <f t="shared" si="4"/>
        <v>142253.06127611527</v>
      </c>
      <c r="J26" s="26">
        <f t="shared" si="5"/>
        <v>0.25700177757656062</v>
      </c>
      <c r="L26" s="22">
        <f t="shared" si="11"/>
        <v>200806.99078126292</v>
      </c>
      <c r="M26" s="5">
        <f>scrimecost*Meta!O23</f>
        <v>1309.098</v>
      </c>
      <c r="N26" s="5">
        <f>L26-Grade16!L26</f>
        <v>12929.520286659099</v>
      </c>
      <c r="O26" s="5">
        <f>Grade16!M26-M26</f>
        <v>0</v>
      </c>
      <c r="P26" s="22">
        <f t="shared" si="12"/>
        <v>0</v>
      </c>
      <c r="Q26" s="22"/>
      <c r="R26" s="22"/>
      <c r="S26" s="22">
        <f t="shared" si="6"/>
        <v>5746.4477142839169</v>
      </c>
      <c r="T26" s="22">
        <f t="shared" si="7"/>
        <v>3442.0212638116373</v>
      </c>
    </row>
    <row r="27" spans="1:20" x14ac:dyDescent="0.2">
      <c r="A27" s="5">
        <v>36</v>
      </c>
      <c r="B27" s="1">
        <f t="shared" si="8"/>
        <v>1.3785110448524549</v>
      </c>
      <c r="C27" s="5">
        <f t="shared" si="9"/>
        <v>142104.9246851127</v>
      </c>
      <c r="D27" s="5">
        <f t="shared" si="0"/>
        <v>137930.26217050396</v>
      </c>
      <c r="E27" s="5">
        <f t="shared" si="1"/>
        <v>128430.26217050396</v>
      </c>
      <c r="F27" s="5">
        <f t="shared" si="2"/>
        <v>51042.088426263814</v>
      </c>
      <c r="G27" s="5">
        <f t="shared" si="3"/>
        <v>86888.17374424015</v>
      </c>
      <c r="H27" s="22">
        <f t="shared" si="10"/>
        <v>60836.748995633912</v>
      </c>
      <c r="I27" s="5">
        <f t="shared" si="4"/>
        <v>145717.31002301816</v>
      </c>
      <c r="J27" s="26">
        <f t="shared" si="5"/>
        <v>0.25747097665631918</v>
      </c>
      <c r="L27" s="22">
        <f t="shared" si="11"/>
        <v>205827.16555079451</v>
      </c>
      <c r="M27" s="5">
        <f>scrimecost*Meta!O24</f>
        <v>1309.098</v>
      </c>
      <c r="N27" s="5">
        <f>L27-Grade16!L27</f>
        <v>13252.75829382558</v>
      </c>
      <c r="O27" s="5">
        <f>Grade16!M27-M27</f>
        <v>0</v>
      </c>
      <c r="P27" s="22">
        <f t="shared" si="12"/>
        <v>0</v>
      </c>
      <c r="Q27" s="22"/>
      <c r="R27" s="22"/>
      <c r="S27" s="22">
        <f t="shared" si="6"/>
        <v>5890.1089071410161</v>
      </c>
      <c r="T27" s="22">
        <f t="shared" si="7"/>
        <v>3391.6843011033106</v>
      </c>
    </row>
    <row r="28" spans="1:20" x14ac:dyDescent="0.2">
      <c r="A28" s="5">
        <v>37</v>
      </c>
      <c r="B28" s="1">
        <f t="shared" si="8"/>
        <v>1.4129738209737661</v>
      </c>
      <c r="C28" s="5">
        <f t="shared" si="9"/>
        <v>145657.5478022405</v>
      </c>
      <c r="D28" s="5">
        <f t="shared" si="0"/>
        <v>141365.64872476654</v>
      </c>
      <c r="E28" s="5">
        <f t="shared" si="1"/>
        <v>131865.64872476654</v>
      </c>
      <c r="F28" s="5">
        <f t="shared" si="2"/>
        <v>52397.348421920397</v>
      </c>
      <c r="G28" s="5">
        <f t="shared" si="3"/>
        <v>88968.300302846139</v>
      </c>
      <c r="H28" s="22">
        <f t="shared" si="10"/>
        <v>62357.667720524747</v>
      </c>
      <c r="I28" s="5">
        <f t="shared" si="4"/>
        <v>149268.16498859358</v>
      </c>
      <c r="J28" s="26">
        <f t="shared" si="5"/>
        <v>0.25792873185608367</v>
      </c>
      <c r="L28" s="22">
        <f t="shared" si="11"/>
        <v>210972.84468956437</v>
      </c>
      <c r="M28" s="5">
        <f>scrimecost*Meta!O25</f>
        <v>1309.098</v>
      </c>
      <c r="N28" s="5">
        <f>L28-Grade16!L28</f>
        <v>13584.077251171198</v>
      </c>
      <c r="O28" s="5">
        <f>Grade16!M28-M28</f>
        <v>0</v>
      </c>
      <c r="P28" s="22">
        <f t="shared" si="12"/>
        <v>0</v>
      </c>
      <c r="Q28" s="22"/>
      <c r="R28" s="22"/>
      <c r="S28" s="22">
        <f t="shared" si="6"/>
        <v>6037.361629819532</v>
      </c>
      <c r="T28" s="22">
        <f t="shared" si="7"/>
        <v>3342.0834784767771</v>
      </c>
    </row>
    <row r="29" spans="1:20" x14ac:dyDescent="0.2">
      <c r="A29" s="5">
        <v>38</v>
      </c>
      <c r="B29" s="1">
        <f t="shared" si="8"/>
        <v>1.4482981664981105</v>
      </c>
      <c r="C29" s="5">
        <f t="shared" si="9"/>
        <v>149298.98649729654</v>
      </c>
      <c r="D29" s="5">
        <f t="shared" si="0"/>
        <v>144886.91994288575</v>
      </c>
      <c r="E29" s="5">
        <f t="shared" si="1"/>
        <v>135386.91994288575</v>
      </c>
      <c r="F29" s="5">
        <f t="shared" si="2"/>
        <v>53786.489917468425</v>
      </c>
      <c r="G29" s="5">
        <f t="shared" si="3"/>
        <v>91100.430025417329</v>
      </c>
      <c r="H29" s="22">
        <f t="shared" si="10"/>
        <v>63916.609413537873</v>
      </c>
      <c r="I29" s="5">
        <f t="shared" si="4"/>
        <v>152907.79132830846</v>
      </c>
      <c r="J29" s="26">
        <f t="shared" si="5"/>
        <v>0.25837532229487831</v>
      </c>
      <c r="L29" s="22">
        <f t="shared" si="11"/>
        <v>216247.1658068035</v>
      </c>
      <c r="M29" s="5">
        <f>scrimecost*Meta!O26</f>
        <v>1309.098</v>
      </c>
      <c r="N29" s="5">
        <f>L29-Grade16!L29</f>
        <v>13923.67918245052</v>
      </c>
      <c r="O29" s="5">
        <f>Grade16!M29-M29</f>
        <v>0</v>
      </c>
      <c r="P29" s="22">
        <f t="shared" si="12"/>
        <v>0</v>
      </c>
      <c r="Q29" s="22"/>
      <c r="R29" s="22"/>
      <c r="S29" s="22">
        <f t="shared" si="6"/>
        <v>6188.2956705650386</v>
      </c>
      <c r="T29" s="22">
        <f t="shared" si="7"/>
        <v>3293.208030439052</v>
      </c>
    </row>
    <row r="30" spans="1:20" x14ac:dyDescent="0.2">
      <c r="A30" s="5">
        <v>39</v>
      </c>
      <c r="B30" s="1">
        <f t="shared" si="8"/>
        <v>1.4845056206605631</v>
      </c>
      <c r="C30" s="5">
        <f t="shared" si="9"/>
        <v>153031.46115972893</v>
      </c>
      <c r="D30" s="5">
        <f t="shared" si="0"/>
        <v>148496.22294145788</v>
      </c>
      <c r="E30" s="5">
        <f t="shared" si="1"/>
        <v>138996.22294145788</v>
      </c>
      <c r="F30" s="5">
        <f t="shared" si="2"/>
        <v>55210.359950405131</v>
      </c>
      <c r="G30" s="5">
        <f t="shared" si="3"/>
        <v>93285.862991052738</v>
      </c>
      <c r="H30" s="22">
        <f t="shared" si="10"/>
        <v>65514.524648876315</v>
      </c>
      <c r="I30" s="5">
        <f t="shared" si="4"/>
        <v>156638.40832651613</v>
      </c>
      <c r="J30" s="26">
        <f t="shared" si="5"/>
        <v>0.25881102028394631</v>
      </c>
      <c r="L30" s="22">
        <f t="shared" si="11"/>
        <v>221653.34495197356</v>
      </c>
      <c r="M30" s="5">
        <f>scrimecost*Meta!O27</f>
        <v>1309.098</v>
      </c>
      <c r="N30" s="5">
        <f>L30-Grade16!L30</f>
        <v>14271.771162011777</v>
      </c>
      <c r="O30" s="5">
        <f>Grade16!M30-M30</f>
        <v>0</v>
      </c>
      <c r="P30" s="22">
        <f t="shared" si="12"/>
        <v>0</v>
      </c>
      <c r="Q30" s="22"/>
      <c r="R30" s="22"/>
      <c r="S30" s="22">
        <f t="shared" si="6"/>
        <v>6343.0030623291614</v>
      </c>
      <c r="T30" s="22">
        <f t="shared" si="7"/>
        <v>3245.0473489343099</v>
      </c>
    </row>
    <row r="31" spans="1:20" x14ac:dyDescent="0.2">
      <c r="A31" s="5">
        <v>40</v>
      </c>
      <c r="B31" s="1">
        <f t="shared" si="8"/>
        <v>1.521618261177077</v>
      </c>
      <c r="C31" s="5">
        <f t="shared" si="9"/>
        <v>156857.24768872213</v>
      </c>
      <c r="D31" s="5">
        <f t="shared" si="0"/>
        <v>152195.75851499429</v>
      </c>
      <c r="E31" s="5">
        <f t="shared" si="1"/>
        <v>142695.75851499429</v>
      </c>
      <c r="F31" s="5">
        <f t="shared" si="2"/>
        <v>56669.826734165254</v>
      </c>
      <c r="G31" s="5">
        <f t="shared" si="3"/>
        <v>95525.931780829036</v>
      </c>
      <c r="H31" s="22">
        <f t="shared" si="10"/>
        <v>67152.387765098218</v>
      </c>
      <c r="I31" s="5">
        <f t="shared" si="4"/>
        <v>160462.29074967903</v>
      </c>
      <c r="J31" s="26">
        <f t="shared" si="5"/>
        <v>0.25923609149279303</v>
      </c>
      <c r="L31" s="22">
        <f t="shared" si="11"/>
        <v>227194.67857577288</v>
      </c>
      <c r="M31" s="5">
        <f>scrimecost*Meta!O28</f>
        <v>1145.088</v>
      </c>
      <c r="N31" s="5">
        <f>L31-Grade16!L31</f>
        <v>14628.565441062063</v>
      </c>
      <c r="O31" s="5">
        <f>Grade16!M31-M31</f>
        <v>0</v>
      </c>
      <c r="P31" s="22">
        <f t="shared" si="12"/>
        <v>0</v>
      </c>
      <c r="Q31" s="22"/>
      <c r="R31" s="22"/>
      <c r="S31" s="22">
        <f t="shared" si="6"/>
        <v>6501.5781388873875</v>
      </c>
      <c r="T31" s="22">
        <f t="shared" si="7"/>
        <v>3197.5909810415724</v>
      </c>
    </row>
    <row r="32" spans="1:20" x14ac:dyDescent="0.2">
      <c r="A32" s="5">
        <v>41</v>
      </c>
      <c r="B32" s="1">
        <f t="shared" si="8"/>
        <v>1.559658717706504</v>
      </c>
      <c r="C32" s="5">
        <f t="shared" si="9"/>
        <v>160778.67888094019</v>
      </c>
      <c r="D32" s="5">
        <f t="shared" si="0"/>
        <v>155987.78247786916</v>
      </c>
      <c r="E32" s="5">
        <f t="shared" si="1"/>
        <v>146487.78247786916</v>
      </c>
      <c r="F32" s="5">
        <f t="shared" si="2"/>
        <v>58165.780187519376</v>
      </c>
      <c r="G32" s="5">
        <f t="shared" si="3"/>
        <v>97822.002290349774</v>
      </c>
      <c r="H32" s="22">
        <f t="shared" si="10"/>
        <v>68831.197459225674</v>
      </c>
      <c r="I32" s="5">
        <f t="shared" si="4"/>
        <v>164381.770233421</v>
      </c>
      <c r="J32" s="26">
        <f t="shared" si="5"/>
        <v>0.25965079511118011</v>
      </c>
      <c r="L32" s="22">
        <f t="shared" si="11"/>
        <v>232874.54554016719</v>
      </c>
      <c r="M32" s="5">
        <f>scrimecost*Meta!O29</f>
        <v>1145.088</v>
      </c>
      <c r="N32" s="5">
        <f>L32-Grade16!L32</f>
        <v>14994.279577088571</v>
      </c>
      <c r="O32" s="5">
        <f>Grade16!M32-M32</f>
        <v>0</v>
      </c>
      <c r="P32" s="22">
        <f t="shared" si="12"/>
        <v>0</v>
      </c>
      <c r="Q32" s="22"/>
      <c r="R32" s="22"/>
      <c r="S32" s="22">
        <f t="shared" si="6"/>
        <v>6664.1175923595529</v>
      </c>
      <c r="T32" s="22">
        <f t="shared" si="7"/>
        <v>3150.8286267059202</v>
      </c>
    </row>
    <row r="33" spans="1:20" x14ac:dyDescent="0.2">
      <c r="A33" s="5">
        <v>42</v>
      </c>
      <c r="B33" s="1">
        <f t="shared" si="8"/>
        <v>1.5986501856491666</v>
      </c>
      <c r="C33" s="5">
        <f t="shared" si="9"/>
        <v>164798.1458529637</v>
      </c>
      <c r="D33" s="5">
        <f t="shared" si="0"/>
        <v>159874.60703981589</v>
      </c>
      <c r="E33" s="5">
        <f t="shared" si="1"/>
        <v>150374.60703981589</v>
      </c>
      <c r="F33" s="5">
        <f t="shared" si="2"/>
        <v>59699.132477207371</v>
      </c>
      <c r="G33" s="5">
        <f t="shared" si="3"/>
        <v>100175.47456260852</v>
      </c>
      <c r="H33" s="22">
        <f t="shared" si="10"/>
        <v>70551.977395706315</v>
      </c>
      <c r="I33" s="5">
        <f t="shared" si="4"/>
        <v>168399.23670425653</v>
      </c>
      <c r="J33" s="26">
        <f t="shared" si="5"/>
        <v>0.26005538400716749</v>
      </c>
      <c r="L33" s="22">
        <f t="shared" si="11"/>
        <v>238696.40917867137</v>
      </c>
      <c r="M33" s="5">
        <f>scrimecost*Meta!O30</f>
        <v>1145.088</v>
      </c>
      <c r="N33" s="5">
        <f>L33-Grade16!L33</f>
        <v>15369.136566515837</v>
      </c>
      <c r="O33" s="5">
        <f>Grade16!M33-M33</f>
        <v>0</v>
      </c>
      <c r="P33" s="22">
        <f t="shared" si="12"/>
        <v>0</v>
      </c>
      <c r="Q33" s="22"/>
      <c r="R33" s="22"/>
      <c r="S33" s="22">
        <f t="shared" si="6"/>
        <v>6830.7205321685642</v>
      </c>
      <c r="T33" s="22">
        <f t="shared" si="7"/>
        <v>3104.7501365029984</v>
      </c>
    </row>
    <row r="34" spans="1:20" x14ac:dyDescent="0.2">
      <c r="A34" s="5">
        <v>43</v>
      </c>
      <c r="B34" s="1">
        <f t="shared" si="8"/>
        <v>1.6386164402903955</v>
      </c>
      <c r="C34" s="5">
        <f t="shared" si="9"/>
        <v>168918.09949928778</v>
      </c>
      <c r="D34" s="5">
        <f t="shared" si="0"/>
        <v>163858.60221581126</v>
      </c>
      <c r="E34" s="5">
        <f t="shared" si="1"/>
        <v>154358.60221581126</v>
      </c>
      <c r="F34" s="5">
        <f t="shared" si="2"/>
        <v>61270.818574137542</v>
      </c>
      <c r="G34" s="5">
        <f t="shared" si="3"/>
        <v>102587.78364167371</v>
      </c>
      <c r="H34" s="22">
        <f t="shared" si="10"/>
        <v>72315.776830598959</v>
      </c>
      <c r="I34" s="5">
        <f t="shared" si="4"/>
        <v>172517.13983686292</v>
      </c>
      <c r="J34" s="26">
        <f t="shared" si="5"/>
        <v>0.26045010488130155</v>
      </c>
      <c r="L34" s="22">
        <f t="shared" si="11"/>
        <v>244663.81940813814</v>
      </c>
      <c r="M34" s="5">
        <f>scrimecost*Meta!O31</f>
        <v>1145.088</v>
      </c>
      <c r="N34" s="5">
        <f>L34-Grade16!L34</f>
        <v>15753.364980678714</v>
      </c>
      <c r="O34" s="5">
        <f>Grade16!M34-M34</f>
        <v>0</v>
      </c>
      <c r="P34" s="22">
        <f t="shared" si="12"/>
        <v>0</v>
      </c>
      <c r="Q34" s="22"/>
      <c r="R34" s="22"/>
      <c r="S34" s="22">
        <f t="shared" si="6"/>
        <v>7001.4885454727701</v>
      </c>
      <c r="T34" s="22">
        <f t="shared" si="7"/>
        <v>3059.3455094360597</v>
      </c>
    </row>
    <row r="35" spans="1:20" x14ac:dyDescent="0.2">
      <c r="A35" s="5">
        <v>44</v>
      </c>
      <c r="B35" s="1">
        <f t="shared" si="8"/>
        <v>1.6795818512976552</v>
      </c>
      <c r="C35" s="5">
        <f t="shared" si="9"/>
        <v>173141.05198676995</v>
      </c>
      <c r="D35" s="5">
        <f t="shared" si="0"/>
        <v>167942.19727120653</v>
      </c>
      <c r="E35" s="5">
        <f t="shared" si="1"/>
        <v>158442.19727120653</v>
      </c>
      <c r="F35" s="5">
        <f t="shared" si="2"/>
        <v>62881.796823490971</v>
      </c>
      <c r="G35" s="5">
        <f t="shared" si="3"/>
        <v>105060.40044771557</v>
      </c>
      <c r="H35" s="22">
        <f t="shared" si="10"/>
        <v>74123.671251363936</v>
      </c>
      <c r="I35" s="5">
        <f t="shared" si="4"/>
        <v>176737.99054778449</v>
      </c>
      <c r="J35" s="26">
        <f t="shared" si="5"/>
        <v>0.26083519841704206</v>
      </c>
      <c r="L35" s="22">
        <f t="shared" si="11"/>
        <v>250780.41489334157</v>
      </c>
      <c r="M35" s="5">
        <f>scrimecost*Meta!O32</f>
        <v>1145.088</v>
      </c>
      <c r="N35" s="5">
        <f>L35-Grade16!L35</f>
        <v>16147.199105195701</v>
      </c>
      <c r="O35" s="5">
        <f>Grade16!M35-M35</f>
        <v>0</v>
      </c>
      <c r="P35" s="22">
        <f t="shared" si="12"/>
        <v>0</v>
      </c>
      <c r="Q35" s="22"/>
      <c r="R35" s="22"/>
      <c r="S35" s="22">
        <f t="shared" si="6"/>
        <v>7176.5257591095979</v>
      </c>
      <c r="T35" s="22">
        <f t="shared" si="7"/>
        <v>3014.6048907654408</v>
      </c>
    </row>
    <row r="36" spans="1:20" x14ac:dyDescent="0.2">
      <c r="A36" s="5">
        <v>45</v>
      </c>
      <c r="B36" s="1">
        <f t="shared" si="8"/>
        <v>1.7215713975800966</v>
      </c>
      <c r="C36" s="5">
        <f t="shared" si="9"/>
        <v>177469.57828643918</v>
      </c>
      <c r="D36" s="5">
        <f t="shared" si="0"/>
        <v>172127.88220298666</v>
      </c>
      <c r="E36" s="5">
        <f t="shared" si="1"/>
        <v>162627.88220298666</v>
      </c>
      <c r="F36" s="5">
        <f t="shared" si="2"/>
        <v>64533.049529078227</v>
      </c>
      <c r="G36" s="5">
        <f t="shared" si="3"/>
        <v>107594.83267390843</v>
      </c>
      <c r="H36" s="22">
        <f t="shared" si="10"/>
        <v>75976.763032648014</v>
      </c>
      <c r="I36" s="5">
        <f t="shared" si="4"/>
        <v>181064.36252647906</v>
      </c>
      <c r="J36" s="26">
        <f t="shared" si="5"/>
        <v>0.26121089942752057</v>
      </c>
      <c r="L36" s="22">
        <f t="shared" si="11"/>
        <v>257049.92526567509</v>
      </c>
      <c r="M36" s="5">
        <f>scrimecost*Meta!O33</f>
        <v>925.4140000000001</v>
      </c>
      <c r="N36" s="5">
        <f>L36-Grade16!L36</f>
        <v>16550.879082825559</v>
      </c>
      <c r="O36" s="5">
        <f>Grade16!M36-M36</f>
        <v>0</v>
      </c>
      <c r="P36" s="22">
        <f t="shared" si="12"/>
        <v>0</v>
      </c>
      <c r="Q36" s="22"/>
      <c r="R36" s="22"/>
      <c r="S36" s="22">
        <f t="shared" si="6"/>
        <v>7355.9389030873217</v>
      </c>
      <c r="T36" s="22">
        <f t="shared" si="7"/>
        <v>2970.5185698695655</v>
      </c>
    </row>
    <row r="37" spans="1:20" x14ac:dyDescent="0.2">
      <c r="A37" s="5">
        <v>46</v>
      </c>
      <c r="B37" s="1">
        <f t="shared" ref="B37:B56" si="13">(1+experiencepremium)^(A37-startage)</f>
        <v>1.7646106825195991</v>
      </c>
      <c r="C37" s="5">
        <f t="shared" ref="C37:C56" si="14">pretaxincome*B37/expnorm</f>
        <v>181906.31774360017</v>
      </c>
      <c r="D37" s="5">
        <f t="shared" ref="D37:D56" si="15">IF(A37&lt;startage,1,0)*(C37*(1-initialunempprob))+IF(A37=startage,1,0)*(C37*(1-unempprob))+IF(A37&gt;startage,1,0)*(C37*(1-unempprob)+unempprob*300*52)</f>
        <v>176418.20925806134</v>
      </c>
      <c r="E37" s="5">
        <f t="shared" si="1"/>
        <v>166918.20925806134</v>
      </c>
      <c r="F37" s="5">
        <f t="shared" si="2"/>
        <v>66225.583552305194</v>
      </c>
      <c r="G37" s="5">
        <f t="shared" si="3"/>
        <v>110192.62570575615</v>
      </c>
      <c r="H37" s="22">
        <f t="shared" ref="H37:H56" si="16">benefits*B37/expnorm</f>
        <v>77876.182108464229</v>
      </c>
      <c r="I37" s="5">
        <f t="shared" ref="I37:I56" si="17">G37+IF(A37&lt;startage,1,0)*(H37*(1-initialunempprob))+IF(A37&gt;=startage,1,0)*(H37*(1-unempprob))</f>
        <v>185498.89380464103</v>
      </c>
      <c r="J37" s="26">
        <f t="shared" si="5"/>
        <v>0.26157743699871921</v>
      </c>
      <c r="L37" s="22">
        <f t="shared" ref="L37:L56" si="18">(sincome+sbenefits)*(1-sunemp)*B37/expnorm</f>
        <v>263476.173397317</v>
      </c>
      <c r="M37" s="5">
        <f>scrimecost*Meta!O34</f>
        <v>925.4140000000001</v>
      </c>
      <c r="N37" s="5">
        <f>L37-Grade16!L37</f>
        <v>16964.65105989622</v>
      </c>
      <c r="O37" s="5">
        <f>Grade16!M37-M37</f>
        <v>0</v>
      </c>
      <c r="P37" s="22">
        <f t="shared" si="12"/>
        <v>0</v>
      </c>
      <c r="Q37" s="22"/>
      <c r="R37" s="22"/>
      <c r="S37" s="22">
        <f t="shared" si="6"/>
        <v>7539.8373756645151</v>
      </c>
      <c r="T37" s="22">
        <f t="shared" si="7"/>
        <v>2927.0769781374083</v>
      </c>
    </row>
    <row r="38" spans="1:20" x14ac:dyDescent="0.2">
      <c r="A38" s="5">
        <v>47</v>
      </c>
      <c r="B38" s="1">
        <f t="shared" si="13"/>
        <v>1.8087259495825889</v>
      </c>
      <c r="C38" s="5">
        <f t="shared" si="14"/>
        <v>186453.97568719016</v>
      </c>
      <c r="D38" s="5">
        <f t="shared" si="15"/>
        <v>180815.79448951286</v>
      </c>
      <c r="E38" s="5">
        <f t="shared" si="1"/>
        <v>171315.79448951286</v>
      </c>
      <c r="F38" s="5">
        <f t="shared" si="2"/>
        <v>67960.430926112822</v>
      </c>
      <c r="G38" s="5">
        <f t="shared" si="3"/>
        <v>112855.36356340004</v>
      </c>
      <c r="H38" s="22">
        <f t="shared" si="16"/>
        <v>79823.086661175839</v>
      </c>
      <c r="I38" s="5">
        <f t="shared" si="17"/>
        <v>190044.28836475709</v>
      </c>
      <c r="J38" s="26">
        <f t="shared" si="5"/>
        <v>0.26193503462915685</v>
      </c>
      <c r="L38" s="22">
        <f t="shared" si="18"/>
        <v>270063.07773224986</v>
      </c>
      <c r="M38" s="5">
        <f>scrimecost*Meta!O35</f>
        <v>925.4140000000001</v>
      </c>
      <c r="N38" s="5">
        <f>L38-Grade16!L38</f>
        <v>17388.767336393619</v>
      </c>
      <c r="O38" s="5">
        <f>Grade16!M38-M38</f>
        <v>0</v>
      </c>
      <c r="P38" s="22">
        <f t="shared" si="12"/>
        <v>0</v>
      </c>
      <c r="Q38" s="22"/>
      <c r="R38" s="22"/>
      <c r="S38" s="22">
        <f t="shared" si="6"/>
        <v>7728.3333100561249</v>
      </c>
      <c r="T38" s="22">
        <f t="shared" si="7"/>
        <v>2884.2706868916221</v>
      </c>
    </row>
    <row r="39" spans="1:20" x14ac:dyDescent="0.2">
      <c r="A39" s="5">
        <v>48</v>
      </c>
      <c r="B39" s="1">
        <f t="shared" si="13"/>
        <v>1.8539440983221533</v>
      </c>
      <c r="C39" s="5">
        <f t="shared" si="14"/>
        <v>191115.32507936991</v>
      </c>
      <c r="D39" s="5">
        <f t="shared" si="15"/>
        <v>185323.31935175069</v>
      </c>
      <c r="E39" s="5">
        <f t="shared" si="1"/>
        <v>175823.31935175069</v>
      </c>
      <c r="F39" s="5">
        <f t="shared" si="2"/>
        <v>69809.815451853181</v>
      </c>
      <c r="G39" s="5">
        <f t="shared" si="3"/>
        <v>115513.50389989751</v>
      </c>
      <c r="H39" s="22">
        <f t="shared" si="16"/>
        <v>81818.663827705212</v>
      </c>
      <c r="I39" s="5">
        <f t="shared" si="17"/>
        <v>194632.15182128845</v>
      </c>
      <c r="J39" s="26">
        <f t="shared" si="5"/>
        <v>0.26255355281458714</v>
      </c>
      <c r="L39" s="22">
        <f t="shared" si="18"/>
        <v>276814.65467555611</v>
      </c>
      <c r="M39" s="5">
        <f>scrimecost*Meta!O36</f>
        <v>925.4140000000001</v>
      </c>
      <c r="N39" s="5">
        <f>L39-Grade16!L39</f>
        <v>17823.486519803468</v>
      </c>
      <c r="O39" s="5">
        <f>Grade16!M39-M39</f>
        <v>0</v>
      </c>
      <c r="P39" s="22">
        <f t="shared" si="12"/>
        <v>0</v>
      </c>
      <c r="Q39" s="22"/>
      <c r="R39" s="22"/>
      <c r="S39" s="22">
        <f t="shared" si="6"/>
        <v>7921.5416428075323</v>
      </c>
      <c r="T39" s="22">
        <f t="shared" si="7"/>
        <v>2842.0904053421682</v>
      </c>
    </row>
    <row r="40" spans="1:20" x14ac:dyDescent="0.2">
      <c r="A40" s="5">
        <v>49</v>
      </c>
      <c r="B40" s="1">
        <f t="shared" si="13"/>
        <v>1.9002927007802071</v>
      </c>
      <c r="C40" s="5">
        <f t="shared" si="14"/>
        <v>195893.20820635412</v>
      </c>
      <c r="D40" s="5">
        <f t="shared" si="15"/>
        <v>189943.53233554441</v>
      </c>
      <c r="E40" s="5">
        <f t="shared" si="1"/>
        <v>180443.53233554441</v>
      </c>
      <c r="F40" s="5">
        <f t="shared" si="2"/>
        <v>71863.500123149483</v>
      </c>
      <c r="G40" s="5">
        <f t="shared" si="3"/>
        <v>118080.03221239493</v>
      </c>
      <c r="H40" s="22">
        <f t="shared" si="16"/>
        <v>83864.13042339783</v>
      </c>
      <c r="I40" s="5">
        <f t="shared" si="17"/>
        <v>199176.64633182064</v>
      </c>
      <c r="J40" s="26">
        <f t="shared" si="5"/>
        <v>0.26374127621725718</v>
      </c>
      <c r="L40" s="22">
        <f t="shared" si="18"/>
        <v>283735.02104244498</v>
      </c>
      <c r="M40" s="5">
        <f>scrimecost*Meta!O37</f>
        <v>925.4140000000001</v>
      </c>
      <c r="N40" s="5">
        <f>L40-Grade16!L40</f>
        <v>18269.073682798538</v>
      </c>
      <c r="O40" s="5">
        <f>Grade16!M40-M40</f>
        <v>0</v>
      </c>
      <c r="P40" s="22">
        <f t="shared" si="12"/>
        <v>0</v>
      </c>
      <c r="Q40" s="22"/>
      <c r="R40" s="22"/>
      <c r="S40" s="22">
        <f t="shared" si="6"/>
        <v>8119.5801838777134</v>
      </c>
      <c r="T40" s="22">
        <f t="shared" si="7"/>
        <v>2800.5269785697865</v>
      </c>
    </row>
    <row r="41" spans="1:20" x14ac:dyDescent="0.2">
      <c r="A41" s="5">
        <v>50</v>
      </c>
      <c r="B41" s="1">
        <f t="shared" si="13"/>
        <v>1.9478000182997122</v>
      </c>
      <c r="C41" s="5">
        <f t="shared" si="14"/>
        <v>200790.53841151297</v>
      </c>
      <c r="D41" s="5">
        <f t="shared" si="15"/>
        <v>194679.25064393302</v>
      </c>
      <c r="E41" s="5">
        <f t="shared" si="1"/>
        <v>185179.25064393302</v>
      </c>
      <c r="F41" s="5">
        <f t="shared" si="2"/>
        <v>73968.526911228226</v>
      </c>
      <c r="G41" s="5">
        <f t="shared" si="3"/>
        <v>120710.72373270479</v>
      </c>
      <c r="H41" s="22">
        <f t="shared" si="16"/>
        <v>85960.733683982777</v>
      </c>
      <c r="I41" s="5">
        <f t="shared" si="17"/>
        <v>203834.75320511614</v>
      </c>
      <c r="J41" s="26">
        <f t="shared" si="5"/>
        <v>0.26490003075644758</v>
      </c>
      <c r="L41" s="22">
        <f t="shared" si="18"/>
        <v>290828.39656850608</v>
      </c>
      <c r="M41" s="5">
        <f>scrimecost*Meta!O38</f>
        <v>618.26800000000003</v>
      </c>
      <c r="N41" s="5">
        <f>L41-Grade16!L41</f>
        <v>18725.800524868479</v>
      </c>
      <c r="O41" s="5">
        <f>Grade16!M41-M41</f>
        <v>0</v>
      </c>
      <c r="P41" s="22">
        <f t="shared" si="12"/>
        <v>0</v>
      </c>
      <c r="Q41" s="22"/>
      <c r="R41" s="22"/>
      <c r="S41" s="22">
        <f t="shared" si="6"/>
        <v>8322.5696884746449</v>
      </c>
      <c r="T41" s="22">
        <f t="shared" si="7"/>
        <v>2759.5713855390109</v>
      </c>
    </row>
    <row r="42" spans="1:20" x14ac:dyDescent="0.2">
      <c r="A42" s="5">
        <v>51</v>
      </c>
      <c r="B42" s="1">
        <f t="shared" si="13"/>
        <v>1.9964950187572048</v>
      </c>
      <c r="C42" s="5">
        <f t="shared" si="14"/>
        <v>205810.30187180077</v>
      </c>
      <c r="D42" s="5">
        <f t="shared" si="15"/>
        <v>199533.36191003132</v>
      </c>
      <c r="E42" s="5">
        <f t="shared" si="1"/>
        <v>190033.36191003132</v>
      </c>
      <c r="F42" s="5">
        <f t="shared" si="2"/>
        <v>76126.179369008925</v>
      </c>
      <c r="G42" s="5">
        <f t="shared" si="3"/>
        <v>123407.1825410224</v>
      </c>
      <c r="H42" s="22">
        <f t="shared" si="16"/>
        <v>88109.752026082337</v>
      </c>
      <c r="I42" s="5">
        <f t="shared" si="17"/>
        <v>208609.31275024402</v>
      </c>
      <c r="J42" s="26">
        <f t="shared" si="5"/>
        <v>0.26603052298980401</v>
      </c>
      <c r="L42" s="22">
        <f t="shared" si="18"/>
        <v>298099.10648271866</v>
      </c>
      <c r="M42" s="5">
        <f>scrimecost*Meta!O39</f>
        <v>618.26800000000003</v>
      </c>
      <c r="N42" s="5">
        <f>L42-Grade16!L42</f>
        <v>19193.945537990076</v>
      </c>
      <c r="O42" s="5">
        <f>Grade16!M42-M42</f>
        <v>0</v>
      </c>
      <c r="P42" s="22">
        <f t="shared" si="12"/>
        <v>0</v>
      </c>
      <c r="Q42" s="22"/>
      <c r="R42" s="22"/>
      <c r="S42" s="22">
        <f t="shared" si="6"/>
        <v>8530.6339306864611</v>
      </c>
      <c r="T42" s="22">
        <f t="shared" si="7"/>
        <v>2719.2147371401925</v>
      </c>
    </row>
    <row r="43" spans="1:20" x14ac:dyDescent="0.2">
      <c r="A43" s="5">
        <v>52</v>
      </c>
      <c r="B43" s="1">
        <f t="shared" si="13"/>
        <v>2.0464073942261352</v>
      </c>
      <c r="C43" s="5">
        <f t="shared" si="14"/>
        <v>210955.5594185958</v>
      </c>
      <c r="D43" s="5">
        <f t="shared" si="15"/>
        <v>204508.82595778213</v>
      </c>
      <c r="E43" s="5">
        <f t="shared" si="1"/>
        <v>195008.82595778213</v>
      </c>
      <c r="F43" s="5">
        <f t="shared" si="2"/>
        <v>78337.773138234144</v>
      </c>
      <c r="G43" s="5">
        <f t="shared" si="3"/>
        <v>126171.05281954799</v>
      </c>
      <c r="H43" s="22">
        <f t="shared" si="16"/>
        <v>90312.495826734419</v>
      </c>
      <c r="I43" s="5">
        <f t="shared" si="17"/>
        <v>213503.23628400016</v>
      </c>
      <c r="J43" s="26">
        <f t="shared" si="5"/>
        <v>0.26713344224185898</v>
      </c>
      <c r="L43" s="22">
        <f t="shared" si="18"/>
        <v>305551.5841447867</v>
      </c>
      <c r="M43" s="5">
        <f>scrimecost*Meta!O40</f>
        <v>618.26800000000003</v>
      </c>
      <c r="N43" s="5">
        <f>L43-Grade16!L43</f>
        <v>19673.794176439987</v>
      </c>
      <c r="O43" s="5">
        <f>Grade16!M43-M43</f>
        <v>0</v>
      </c>
      <c r="P43" s="22">
        <f t="shared" si="12"/>
        <v>0</v>
      </c>
      <c r="Q43" s="22"/>
      <c r="R43" s="22"/>
      <c r="S43" s="22">
        <f t="shared" si="6"/>
        <v>8743.8997789536934</v>
      </c>
      <c r="T43" s="22">
        <f t="shared" si="7"/>
        <v>2679.4482742602654</v>
      </c>
    </row>
    <row r="44" spans="1:20" x14ac:dyDescent="0.2">
      <c r="A44" s="5">
        <v>53</v>
      </c>
      <c r="B44" s="1">
        <f t="shared" si="13"/>
        <v>2.097567579081788</v>
      </c>
      <c r="C44" s="5">
        <f t="shared" si="14"/>
        <v>216229.44840406068</v>
      </c>
      <c r="D44" s="5">
        <f t="shared" si="15"/>
        <v>209608.67660672666</v>
      </c>
      <c r="E44" s="5">
        <f t="shared" si="1"/>
        <v>200108.67660672666</v>
      </c>
      <c r="F44" s="5">
        <f t="shared" si="2"/>
        <v>80604.656751689996</v>
      </c>
      <c r="G44" s="5">
        <f t="shared" si="3"/>
        <v>129004.01985503666</v>
      </c>
      <c r="H44" s="22">
        <f t="shared" si="16"/>
        <v>92570.308222402746</v>
      </c>
      <c r="I44" s="5">
        <f t="shared" si="17"/>
        <v>218519.50790610013</v>
      </c>
      <c r="J44" s="26">
        <f t="shared" si="5"/>
        <v>0.26820946102435173</v>
      </c>
      <c r="L44" s="22">
        <f t="shared" si="18"/>
        <v>313190.3737484063</v>
      </c>
      <c r="M44" s="5">
        <f>scrimecost*Meta!O41</f>
        <v>618.26800000000003</v>
      </c>
      <c r="N44" s="5">
        <f>L44-Grade16!L44</f>
        <v>20165.639030850842</v>
      </c>
      <c r="O44" s="5">
        <f>Grade16!M44-M44</f>
        <v>0</v>
      </c>
      <c r="P44" s="22">
        <f t="shared" si="12"/>
        <v>0</v>
      </c>
      <c r="Q44" s="22"/>
      <c r="R44" s="22"/>
      <c r="S44" s="22">
        <f t="shared" si="6"/>
        <v>8962.4972734274706</v>
      </c>
      <c r="T44" s="22">
        <f t="shared" si="7"/>
        <v>2640.263365881448</v>
      </c>
    </row>
    <row r="45" spans="1:20" x14ac:dyDescent="0.2">
      <c r="A45" s="5">
        <v>54</v>
      </c>
      <c r="B45" s="1">
        <f t="shared" si="13"/>
        <v>2.1500067685588333</v>
      </c>
      <c r="C45" s="5">
        <f t="shared" si="14"/>
        <v>221635.18461416225</v>
      </c>
      <c r="D45" s="5">
        <f t="shared" si="15"/>
        <v>214836.02352189488</v>
      </c>
      <c r="E45" s="5">
        <f t="shared" si="1"/>
        <v>205336.02352189488</v>
      </c>
      <c r="F45" s="5">
        <f t="shared" si="2"/>
        <v>82928.21245548228</v>
      </c>
      <c r="G45" s="5">
        <f t="shared" si="3"/>
        <v>131907.8110664126</v>
      </c>
      <c r="H45" s="22">
        <f t="shared" si="16"/>
        <v>94884.565927962845</v>
      </c>
      <c r="I45" s="5">
        <f t="shared" si="17"/>
        <v>223661.18631875265</v>
      </c>
      <c r="J45" s="26">
        <f t="shared" si="5"/>
        <v>0.26925923544629593</v>
      </c>
      <c r="L45" s="22">
        <f t="shared" si="18"/>
        <v>321020.13309211656</v>
      </c>
      <c r="M45" s="5">
        <f>scrimecost*Meta!O42</f>
        <v>618.26800000000003</v>
      </c>
      <c r="N45" s="5">
        <f>L45-Grade16!L45</f>
        <v>20669.780006622255</v>
      </c>
      <c r="O45" s="5">
        <f>Grade16!M45-M45</f>
        <v>0</v>
      </c>
      <c r="P45" s="22">
        <f t="shared" si="12"/>
        <v>0</v>
      </c>
      <c r="Q45" s="22"/>
      <c r="R45" s="22"/>
      <c r="S45" s="22">
        <f t="shared" ref="S45:S69" si="19">IF(A45&lt;startage,1,0)*(N45-Q45-R45)+IF(A45&gt;=startage,1,0)*completionprob*(N45*spart+O45+P45)</f>
        <v>9186.559705263222</v>
      </c>
      <c r="T45" s="22">
        <f t="shared" ref="T45:T69" si="20">S45/sreturn^(A45-startage+1)</f>
        <v>2601.6515072082389</v>
      </c>
    </row>
    <row r="46" spans="1:20" x14ac:dyDescent="0.2">
      <c r="A46" s="5">
        <v>55</v>
      </c>
      <c r="B46" s="1">
        <f t="shared" si="13"/>
        <v>2.2037569377728037</v>
      </c>
      <c r="C46" s="5">
        <f t="shared" si="14"/>
        <v>227176.06422951625</v>
      </c>
      <c r="D46" s="5">
        <f t="shared" si="15"/>
        <v>220194.0541099422</v>
      </c>
      <c r="E46" s="5">
        <f t="shared" si="1"/>
        <v>210694.0541099422</v>
      </c>
      <c r="F46" s="5">
        <f t="shared" si="2"/>
        <v>85309.857051869301</v>
      </c>
      <c r="G46" s="5">
        <f t="shared" si="3"/>
        <v>134884.1970580729</v>
      </c>
      <c r="H46" s="22">
        <f t="shared" si="16"/>
        <v>97256.680076161894</v>
      </c>
      <c r="I46" s="5">
        <f t="shared" si="17"/>
        <v>228931.40669172147</v>
      </c>
      <c r="J46" s="26">
        <f t="shared" si="5"/>
        <v>0.27028340561404618</v>
      </c>
      <c r="L46" s="22">
        <f t="shared" si="18"/>
        <v>329045.63641941937</v>
      </c>
      <c r="M46" s="5">
        <f>scrimecost*Meta!O43</f>
        <v>342.92999999999995</v>
      </c>
      <c r="N46" s="5">
        <f>L46-Grade16!L46</f>
        <v>21186.524506787769</v>
      </c>
      <c r="O46" s="5">
        <f>Grade16!M46-M46</f>
        <v>0</v>
      </c>
      <c r="P46" s="22">
        <f t="shared" si="12"/>
        <v>0</v>
      </c>
      <c r="Q46" s="22"/>
      <c r="R46" s="22"/>
      <c r="S46" s="22">
        <f t="shared" si="19"/>
        <v>9416.223697894784</v>
      </c>
      <c r="T46" s="22">
        <f t="shared" si="20"/>
        <v>2563.6043178212094</v>
      </c>
    </row>
    <row r="47" spans="1:20" x14ac:dyDescent="0.2">
      <c r="A47" s="5">
        <v>56</v>
      </c>
      <c r="B47" s="1">
        <f t="shared" si="13"/>
        <v>2.2588508612171236</v>
      </c>
      <c r="C47" s="5">
        <f t="shared" si="14"/>
        <v>232855.46583525412</v>
      </c>
      <c r="D47" s="5">
        <f t="shared" si="15"/>
        <v>225686.03546269072</v>
      </c>
      <c r="E47" s="5">
        <f t="shared" si="1"/>
        <v>216186.03546269072</v>
      </c>
      <c r="F47" s="5">
        <f t="shared" si="2"/>
        <v>87751.042763166028</v>
      </c>
      <c r="G47" s="5">
        <f t="shared" si="3"/>
        <v>137934.99269952468</v>
      </c>
      <c r="H47" s="22">
        <f t="shared" si="16"/>
        <v>99688.097078065926</v>
      </c>
      <c r="I47" s="5">
        <f t="shared" si="17"/>
        <v>234333.38257401442</v>
      </c>
      <c r="J47" s="26">
        <f t="shared" si="5"/>
        <v>0.27128259602160759</v>
      </c>
      <c r="L47" s="22">
        <f t="shared" si="18"/>
        <v>337271.77732990484</v>
      </c>
      <c r="M47" s="5">
        <f>scrimecost*Meta!O44</f>
        <v>342.92999999999995</v>
      </c>
      <c r="N47" s="5">
        <f>L47-Grade16!L47</f>
        <v>21716.187619457429</v>
      </c>
      <c r="O47" s="5">
        <f>Grade16!M47-M47</f>
        <v>0</v>
      </c>
      <c r="P47" s="22">
        <f t="shared" si="12"/>
        <v>0</v>
      </c>
      <c r="Q47" s="22"/>
      <c r="R47" s="22"/>
      <c r="S47" s="22">
        <f t="shared" si="19"/>
        <v>9651.6292903421363</v>
      </c>
      <c r="T47" s="22">
        <f t="shared" si="20"/>
        <v>2526.1135398583247</v>
      </c>
    </row>
    <row r="48" spans="1:20" x14ac:dyDescent="0.2">
      <c r="A48" s="5">
        <v>57</v>
      </c>
      <c r="B48" s="1">
        <f t="shared" si="13"/>
        <v>2.3153221327475517</v>
      </c>
      <c r="C48" s="5">
        <f t="shared" si="14"/>
        <v>238676.85248113549</v>
      </c>
      <c r="D48" s="5">
        <f t="shared" si="15"/>
        <v>231315.31634925801</v>
      </c>
      <c r="E48" s="5">
        <f t="shared" si="1"/>
        <v>221815.31634925801</v>
      </c>
      <c r="F48" s="5">
        <f t="shared" si="2"/>
        <v>90253.258117245176</v>
      </c>
      <c r="G48" s="5">
        <f t="shared" si="3"/>
        <v>141062.05823201285</v>
      </c>
      <c r="H48" s="22">
        <f t="shared" si="16"/>
        <v>102180.2995050176</v>
      </c>
      <c r="I48" s="5">
        <f t="shared" si="17"/>
        <v>239870.40785336486</v>
      </c>
      <c r="J48" s="26">
        <f t="shared" si="5"/>
        <v>0.27225741593142339</v>
      </c>
      <c r="L48" s="22">
        <f t="shared" si="18"/>
        <v>345703.57176315249</v>
      </c>
      <c r="M48" s="5">
        <f>scrimecost*Meta!O45</f>
        <v>342.92999999999995</v>
      </c>
      <c r="N48" s="5">
        <f>L48-Grade16!L48</f>
        <v>22259.092309943924</v>
      </c>
      <c r="O48" s="5">
        <f>Grade16!M48-M48</f>
        <v>0</v>
      </c>
      <c r="P48" s="22">
        <f t="shared" si="12"/>
        <v>0</v>
      </c>
      <c r="Q48" s="22"/>
      <c r="R48" s="22"/>
      <c r="S48" s="22">
        <f t="shared" si="19"/>
        <v>9892.920022600716</v>
      </c>
      <c r="T48" s="22">
        <f t="shared" si="20"/>
        <v>2489.1710362225344</v>
      </c>
    </row>
    <row r="49" spans="1:20" x14ac:dyDescent="0.2">
      <c r="A49" s="5">
        <v>58</v>
      </c>
      <c r="B49" s="1">
        <f t="shared" si="13"/>
        <v>2.3732051860662402</v>
      </c>
      <c r="C49" s="5">
        <f t="shared" si="14"/>
        <v>244643.77379316385</v>
      </c>
      <c r="D49" s="5">
        <f t="shared" si="15"/>
        <v>237085.32925798942</v>
      </c>
      <c r="E49" s="5">
        <f t="shared" si="1"/>
        <v>227585.32925798942</v>
      </c>
      <c r="F49" s="5">
        <f t="shared" si="2"/>
        <v>92818.028855176293</v>
      </c>
      <c r="G49" s="5">
        <f t="shared" si="3"/>
        <v>144267.30040281313</v>
      </c>
      <c r="H49" s="22">
        <f t="shared" si="16"/>
        <v>104734.80699264302</v>
      </c>
      <c r="I49" s="5">
        <f t="shared" si="17"/>
        <v>245545.8587646989</v>
      </c>
      <c r="J49" s="26">
        <f t="shared" si="5"/>
        <v>0.27320845974587804</v>
      </c>
      <c r="L49" s="22">
        <f t="shared" si="18"/>
        <v>354346.16105723125</v>
      </c>
      <c r="M49" s="5">
        <f>scrimecost*Meta!O46</f>
        <v>342.92999999999995</v>
      </c>
      <c r="N49" s="5">
        <f>L49-Grade16!L49</f>
        <v>22815.569617692498</v>
      </c>
      <c r="O49" s="5">
        <f>Grade16!M49-M49</f>
        <v>0</v>
      </c>
      <c r="P49" s="22">
        <f t="shared" si="12"/>
        <v>0</v>
      </c>
      <c r="Q49" s="22"/>
      <c r="R49" s="22"/>
      <c r="S49" s="22">
        <f t="shared" si="19"/>
        <v>10140.243023165724</v>
      </c>
      <c r="T49" s="22">
        <f t="shared" si="20"/>
        <v>2452.7687888156602</v>
      </c>
    </row>
    <row r="50" spans="1:20" x14ac:dyDescent="0.2">
      <c r="A50" s="5">
        <v>59</v>
      </c>
      <c r="B50" s="1">
        <f t="shared" si="13"/>
        <v>2.4325353157178964</v>
      </c>
      <c r="C50" s="5">
        <f t="shared" si="14"/>
        <v>250759.86813799295</v>
      </c>
      <c r="D50" s="5">
        <f t="shared" si="15"/>
        <v>242999.59248943915</v>
      </c>
      <c r="E50" s="5">
        <f t="shared" si="1"/>
        <v>233499.59248943915</v>
      </c>
      <c r="F50" s="5">
        <f t="shared" si="2"/>
        <v>95446.918861555692</v>
      </c>
      <c r="G50" s="5">
        <f t="shared" si="3"/>
        <v>147552.67362788346</v>
      </c>
      <c r="H50" s="22">
        <f t="shared" si="16"/>
        <v>107353.1771674591</v>
      </c>
      <c r="I50" s="5">
        <f t="shared" si="17"/>
        <v>251363.1959488164</v>
      </c>
      <c r="J50" s="26">
        <f t="shared" si="5"/>
        <v>0.27413630736973604</v>
      </c>
      <c r="L50" s="22">
        <f t="shared" si="18"/>
        <v>363204.81508366205</v>
      </c>
      <c r="M50" s="5">
        <f>scrimecost*Meta!O47</f>
        <v>342.92999999999995</v>
      </c>
      <c r="N50" s="5">
        <f>L50-Grade16!L50</f>
        <v>23385.958858134807</v>
      </c>
      <c r="O50" s="5">
        <f>Grade16!M50-M50</f>
        <v>0</v>
      </c>
      <c r="P50" s="22">
        <f t="shared" si="12"/>
        <v>0</v>
      </c>
      <c r="Q50" s="22"/>
      <c r="R50" s="22"/>
      <c r="S50" s="22">
        <f t="shared" si="19"/>
        <v>10393.749098744865</v>
      </c>
      <c r="T50" s="22">
        <f t="shared" si="20"/>
        <v>2416.8988967981882</v>
      </c>
    </row>
    <row r="51" spans="1:20" x14ac:dyDescent="0.2">
      <c r="A51" s="5">
        <v>60</v>
      </c>
      <c r="B51" s="1">
        <f t="shared" si="13"/>
        <v>2.4933486986108435</v>
      </c>
      <c r="C51" s="5">
        <f t="shared" si="14"/>
        <v>257028.86484144276</v>
      </c>
      <c r="D51" s="5">
        <f t="shared" si="15"/>
        <v>249061.71230167514</v>
      </c>
      <c r="E51" s="5">
        <f t="shared" si="1"/>
        <v>239561.71230167514</v>
      </c>
      <c r="F51" s="5">
        <f t="shared" si="2"/>
        <v>98141.531118094601</v>
      </c>
      <c r="G51" s="5">
        <f t="shared" si="3"/>
        <v>150920.18118358054</v>
      </c>
      <c r="H51" s="22">
        <f t="shared" si="16"/>
        <v>110037.00659664554</v>
      </c>
      <c r="I51" s="5">
        <f t="shared" si="17"/>
        <v>257325.96656253678</v>
      </c>
      <c r="J51" s="26">
        <f t="shared" si="5"/>
        <v>0.27504152456374409</v>
      </c>
      <c r="L51" s="22">
        <f t="shared" si="18"/>
        <v>372284.93546075356</v>
      </c>
      <c r="M51" s="5">
        <f>scrimecost*Meta!O48</f>
        <v>180.90799999999999</v>
      </c>
      <c r="N51" s="5">
        <f>L51-Grade16!L51</f>
        <v>23970.607829588233</v>
      </c>
      <c r="O51" s="5">
        <f>Grade16!M51-M51</f>
        <v>0</v>
      </c>
      <c r="P51" s="22">
        <f t="shared" si="12"/>
        <v>0</v>
      </c>
      <c r="Q51" s="22"/>
      <c r="R51" s="22"/>
      <c r="S51" s="22">
        <f t="shared" si="19"/>
        <v>10653.592826213511</v>
      </c>
      <c r="T51" s="22">
        <f t="shared" si="20"/>
        <v>2381.553574874411</v>
      </c>
    </row>
    <row r="52" spans="1:20" x14ac:dyDescent="0.2">
      <c r="A52" s="5">
        <v>61</v>
      </c>
      <c r="B52" s="1">
        <f t="shared" si="13"/>
        <v>2.555682416076114</v>
      </c>
      <c r="C52" s="5">
        <f t="shared" si="14"/>
        <v>263454.58646247874</v>
      </c>
      <c r="D52" s="5">
        <f t="shared" si="15"/>
        <v>255275.38510921691</v>
      </c>
      <c r="E52" s="5">
        <f t="shared" si="1"/>
        <v>245775.38510921691</v>
      </c>
      <c r="F52" s="5">
        <f t="shared" si="2"/>
        <v>100903.50868104691</v>
      </c>
      <c r="G52" s="5">
        <f t="shared" si="3"/>
        <v>154371.87642817001</v>
      </c>
      <c r="H52" s="22">
        <f t="shared" si="16"/>
        <v>112787.93176156166</v>
      </c>
      <c r="I52" s="5">
        <f t="shared" si="17"/>
        <v>263437.80644160014</v>
      </c>
      <c r="J52" s="26">
        <f t="shared" si="5"/>
        <v>0.27592466328960535</v>
      </c>
      <c r="L52" s="22">
        <f t="shared" si="18"/>
        <v>381592.0588472723</v>
      </c>
      <c r="M52" s="5">
        <f>scrimecost*Meta!O49</f>
        <v>180.90799999999999</v>
      </c>
      <c r="N52" s="5">
        <f>L52-Grade16!L52</f>
        <v>24569.873025327863</v>
      </c>
      <c r="O52" s="5">
        <f>Grade16!M52-M52</f>
        <v>0</v>
      </c>
      <c r="P52" s="22">
        <f t="shared" si="12"/>
        <v>0</v>
      </c>
      <c r="Q52" s="22"/>
      <c r="R52" s="22"/>
      <c r="S52" s="22">
        <f t="shared" si="19"/>
        <v>10919.932646868816</v>
      </c>
      <c r="T52" s="22">
        <f t="shared" si="20"/>
        <v>2346.7251516026704</v>
      </c>
    </row>
    <row r="53" spans="1:20" x14ac:dyDescent="0.2">
      <c r="A53" s="5">
        <v>62</v>
      </c>
      <c r="B53" s="1">
        <f t="shared" si="13"/>
        <v>2.6195744764780171</v>
      </c>
      <c r="C53" s="5">
        <f t="shared" si="14"/>
        <v>270040.95112404076</v>
      </c>
      <c r="D53" s="5">
        <f t="shared" si="15"/>
        <v>261644.39973694738</v>
      </c>
      <c r="E53" s="5">
        <f t="shared" si="1"/>
        <v>252144.39973694738</v>
      </c>
      <c r="F53" s="5">
        <f t="shared" si="2"/>
        <v>103734.5356830731</v>
      </c>
      <c r="G53" s="5">
        <f t="shared" si="3"/>
        <v>157909.86405387428</v>
      </c>
      <c r="H53" s="22">
        <f t="shared" si="16"/>
        <v>115607.63005560072</v>
      </c>
      <c r="I53" s="5">
        <f t="shared" si="17"/>
        <v>269702.44231764018</v>
      </c>
      <c r="J53" s="26">
        <f t="shared" si="5"/>
        <v>0.27678626204654333</v>
      </c>
      <c r="L53" s="22">
        <f t="shared" si="18"/>
        <v>391131.86031845416</v>
      </c>
      <c r="M53" s="5">
        <f>scrimecost*Meta!O50</f>
        <v>180.90799999999999</v>
      </c>
      <c r="N53" s="5">
        <f>L53-Grade16!L53</f>
        <v>25184.119850961084</v>
      </c>
      <c r="O53" s="5">
        <f>Grade16!M53-M53</f>
        <v>0</v>
      </c>
      <c r="P53" s="22">
        <f t="shared" si="12"/>
        <v>0</v>
      </c>
      <c r="Q53" s="22"/>
      <c r="R53" s="22"/>
      <c r="S53" s="22">
        <f t="shared" si="19"/>
        <v>11192.930963040548</v>
      </c>
      <c r="T53" s="22">
        <f t="shared" si="20"/>
        <v>2312.4060677303933</v>
      </c>
    </row>
    <row r="54" spans="1:20" x14ac:dyDescent="0.2">
      <c r="A54" s="5">
        <v>63</v>
      </c>
      <c r="B54" s="1">
        <f t="shared" si="13"/>
        <v>2.6850638383899672</v>
      </c>
      <c r="C54" s="5">
        <f t="shared" si="14"/>
        <v>276791.97490214172</v>
      </c>
      <c r="D54" s="5">
        <f t="shared" si="15"/>
        <v>268172.63973037101</v>
      </c>
      <c r="E54" s="5">
        <f t="shared" si="1"/>
        <v>258672.63973037101</v>
      </c>
      <c r="F54" s="5">
        <f t="shared" si="2"/>
        <v>106636.33836014991</v>
      </c>
      <c r="G54" s="5">
        <f t="shared" si="3"/>
        <v>161536.3013702211</v>
      </c>
      <c r="H54" s="22">
        <f t="shared" si="16"/>
        <v>118497.82080699073</v>
      </c>
      <c r="I54" s="5">
        <f t="shared" si="17"/>
        <v>276123.69409058115</v>
      </c>
      <c r="J54" s="26">
        <f t="shared" si="5"/>
        <v>0.2776268461996535</v>
      </c>
      <c r="L54" s="22">
        <f t="shared" si="18"/>
        <v>400910.15682641545</v>
      </c>
      <c r="M54" s="5">
        <f>scrimecost*Meta!O51</f>
        <v>180.90799999999999</v>
      </c>
      <c r="N54" s="5">
        <f>L54-Grade16!L54</f>
        <v>25813.722847235098</v>
      </c>
      <c r="O54" s="5">
        <f>Grade16!M54-M54</f>
        <v>0</v>
      </c>
      <c r="P54" s="22">
        <f t="shared" si="12"/>
        <v>0</v>
      </c>
      <c r="Q54" s="22"/>
      <c r="R54" s="22"/>
      <c r="S54" s="22">
        <f t="shared" si="19"/>
        <v>11472.754237116556</v>
      </c>
      <c r="T54" s="22">
        <f t="shared" si="20"/>
        <v>2278.5888745533352</v>
      </c>
    </row>
    <row r="55" spans="1:20" x14ac:dyDescent="0.2">
      <c r="A55" s="5">
        <v>64</v>
      </c>
      <c r="B55" s="1">
        <f t="shared" si="13"/>
        <v>2.7521904343497163</v>
      </c>
      <c r="C55" s="5">
        <f t="shared" si="14"/>
        <v>283711.77427469526</v>
      </c>
      <c r="D55" s="5">
        <f t="shared" si="15"/>
        <v>274864.08572363027</v>
      </c>
      <c r="E55" s="5">
        <f t="shared" si="1"/>
        <v>265364.08572363027</v>
      </c>
      <c r="F55" s="5">
        <f t="shared" si="2"/>
        <v>109610.68610415366</v>
      </c>
      <c r="G55" s="5">
        <f t="shared" si="3"/>
        <v>165253.39961947661</v>
      </c>
      <c r="H55" s="22">
        <f t="shared" si="16"/>
        <v>121460.26632716549</v>
      </c>
      <c r="I55" s="5">
        <f t="shared" si="17"/>
        <v>282705.47715784563</v>
      </c>
      <c r="J55" s="26">
        <f t="shared" si="5"/>
        <v>0.27844692830024881</v>
      </c>
      <c r="L55" s="22">
        <f t="shared" si="18"/>
        <v>410932.91074707586</v>
      </c>
      <c r="M55" s="5">
        <f>scrimecost*Meta!O52</f>
        <v>180.90799999999999</v>
      </c>
      <c r="N55" s="5">
        <f>L55-Grade16!L55</f>
        <v>26459.065918416018</v>
      </c>
      <c r="O55" s="5">
        <f>Grade16!M55-M55</f>
        <v>0</v>
      </c>
      <c r="P55" s="22">
        <f t="shared" si="12"/>
        <v>0</v>
      </c>
      <c r="Q55" s="22"/>
      <c r="R55" s="22"/>
      <c r="S55" s="22">
        <f t="shared" si="19"/>
        <v>11759.573093044488</v>
      </c>
      <c r="T55" s="22">
        <f t="shared" si="20"/>
        <v>2245.2662322989477</v>
      </c>
    </row>
    <row r="56" spans="1:20" x14ac:dyDescent="0.2">
      <c r="A56" s="5">
        <v>65</v>
      </c>
      <c r="B56" s="1">
        <f t="shared" si="13"/>
        <v>2.8209951952084591</v>
      </c>
      <c r="C56" s="5">
        <f t="shared" si="14"/>
        <v>290804.56863156264</v>
      </c>
      <c r="D56" s="5">
        <f t="shared" si="15"/>
        <v>281722.81786672107</v>
      </c>
      <c r="E56" s="5">
        <f t="shared" si="1"/>
        <v>272222.81786672107</v>
      </c>
      <c r="F56" s="5">
        <f t="shared" si="2"/>
        <v>112659.39254175751</v>
      </c>
      <c r="G56" s="5">
        <f t="shared" si="3"/>
        <v>169063.42532496358</v>
      </c>
      <c r="H56" s="22">
        <f t="shared" si="16"/>
        <v>124496.77298534462</v>
      </c>
      <c r="I56" s="5">
        <f t="shared" si="17"/>
        <v>289451.80480179179</v>
      </c>
      <c r="J56" s="26">
        <f t="shared" si="5"/>
        <v>0.27924700839839056</v>
      </c>
      <c r="L56" s="22">
        <f t="shared" si="18"/>
        <v>421206.23351575271</v>
      </c>
      <c r="M56" s="5">
        <f>scrimecost*Meta!O53</f>
        <v>54.67</v>
      </c>
      <c r="N56" s="5">
        <f>L56-Grade16!L56</f>
        <v>27120.542566376331</v>
      </c>
      <c r="O56" s="5">
        <f>Grade16!M56-M56</f>
        <v>0</v>
      </c>
      <c r="P56" s="22">
        <f t="shared" si="12"/>
        <v>0</v>
      </c>
      <c r="Q56" s="22"/>
      <c r="R56" s="22"/>
      <c r="S56" s="22">
        <f t="shared" si="19"/>
        <v>12053.562420370561</v>
      </c>
      <c r="T56" s="22">
        <f t="shared" si="20"/>
        <v>2212.4309085332925</v>
      </c>
    </row>
    <row r="57" spans="1:20" x14ac:dyDescent="0.2">
      <c r="A57" s="5">
        <v>66</v>
      </c>
      <c r="C57" s="5"/>
      <c r="H57" s="21"/>
      <c r="I57" s="5"/>
      <c r="M57" s="5">
        <f>scrimecost*Meta!O54</f>
        <v>54.67</v>
      </c>
      <c r="N57" s="5">
        <f>L57-Grade16!L57</f>
        <v>0</v>
      </c>
      <c r="O57" s="5">
        <f>Grade16!M57-M57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54.67</v>
      </c>
      <c r="N58" s="5">
        <f>L58-Grade16!L58</f>
        <v>0</v>
      </c>
      <c r="O58" s="5">
        <f>Grade16!M58-M58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54.67</v>
      </c>
      <c r="N59" s="5">
        <f>L59-Grade16!L59</f>
        <v>0</v>
      </c>
      <c r="O59" s="5">
        <f>Grade16!M59-M59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54.67</v>
      </c>
      <c r="N60" s="5">
        <f>L60-Grade16!L60</f>
        <v>0</v>
      </c>
      <c r="O60" s="5">
        <f>Grade16!M60-M60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54.67</v>
      </c>
      <c r="N61" s="5">
        <f>L61-Grade16!L61</f>
        <v>0</v>
      </c>
      <c r="O61" s="5">
        <f>Grade16!M61-M61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54.67</v>
      </c>
      <c r="N62" s="5">
        <f>L62-Grade16!L62</f>
        <v>0</v>
      </c>
      <c r="O62" s="5">
        <f>Grade16!M62-M62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54.67</v>
      </c>
      <c r="N63" s="5">
        <f>L63-Grade16!L63</f>
        <v>0</v>
      </c>
      <c r="O63" s="5">
        <f>Grade16!M63-M63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54.67</v>
      </c>
      <c r="N64" s="5">
        <f>L64-Grade16!L64</f>
        <v>0</v>
      </c>
      <c r="O64" s="5">
        <f>Grade16!M64-M64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54.67</v>
      </c>
      <c r="N65" s="5">
        <f>L65-Grade16!L65</f>
        <v>0</v>
      </c>
      <c r="O65" s="5">
        <f>Grade16!M65-M65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54.67</v>
      </c>
      <c r="N66" s="5">
        <f>L66-Grade16!L66</f>
        <v>0</v>
      </c>
      <c r="O66" s="5">
        <f>Grade16!M66-M66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54.67</v>
      </c>
      <c r="N67" s="5">
        <f>L67-Grade16!L67</f>
        <v>0</v>
      </c>
      <c r="O67" s="5">
        <f>Grade16!M67-M67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54.67</v>
      </c>
      <c r="N68" s="5">
        <f>L68-Grade16!L68</f>
        <v>0</v>
      </c>
      <c r="O68" s="5">
        <f>Grade16!M68-M68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54.67</v>
      </c>
      <c r="N69" s="5">
        <f>L69-Grade16!L69</f>
        <v>0</v>
      </c>
      <c r="O69" s="5">
        <f>Grade16!M69-M69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-7.3214323492720723E-11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Meta!A12+6</f>
        <v>24</v>
      </c>
      <c r="C2" s="7">
        <f>Meta!B12</f>
        <v>217569</v>
      </c>
      <c r="D2" s="7">
        <f>Meta!C12</f>
        <v>90792</v>
      </c>
      <c r="E2" s="1">
        <f>Meta!D12</f>
        <v>0.03</v>
      </c>
      <c r="F2" s="1">
        <f>Meta!F12</f>
        <v>0.77700000000000002</v>
      </c>
      <c r="G2" s="1">
        <f>Meta!I12</f>
        <v>1.7342811382937739</v>
      </c>
      <c r="H2" s="1">
        <f>Meta!E12</f>
        <v>0.57199999999999995</v>
      </c>
      <c r="I2" s="13"/>
      <c r="J2" s="1">
        <f>Meta!X11</f>
        <v>0.77700000000000002</v>
      </c>
      <c r="K2" s="1">
        <f>Meta!D11</f>
        <v>3.3000000000000002E-2</v>
      </c>
      <c r="L2" s="29"/>
      <c r="N2" s="22">
        <f>Meta!T12</f>
        <v>206046</v>
      </c>
      <c r="O2" s="22">
        <f>Meta!U12</f>
        <v>87614</v>
      </c>
      <c r="P2" s="1">
        <f>Meta!V12</f>
        <v>3.3000000000000002E-2</v>
      </c>
      <c r="Q2" s="1">
        <f>Meta!X12</f>
        <v>0.77700000000000002</v>
      </c>
      <c r="R2" s="22">
        <f>Meta!W12</f>
        <v>994</v>
      </c>
      <c r="T2" s="12">
        <f>IRR(S5:S69)+1</f>
        <v>1.0404395721035937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C13" s="5"/>
      <c r="D13" s="5"/>
      <c r="E13" s="5"/>
      <c r="F13" s="5"/>
      <c r="G13" s="5"/>
      <c r="H13" s="22"/>
      <c r="I13" s="5"/>
      <c r="J13" s="26"/>
      <c r="L13" s="22"/>
      <c r="M13" s="5"/>
      <c r="N13" s="5"/>
      <c r="O13" s="5"/>
      <c r="P13" s="22"/>
      <c r="Q13" s="22"/>
      <c r="R13" s="22"/>
      <c r="S13" s="22"/>
      <c r="T13" s="22"/>
    </row>
    <row r="14" spans="1:20" x14ac:dyDescent="0.2">
      <c r="A14" s="5">
        <v>23</v>
      </c>
      <c r="B14" s="1">
        <v>1</v>
      </c>
      <c r="C14" s="5">
        <f>0.1*Grade17!C14</f>
        <v>10308.580784735208</v>
      </c>
      <c r="D14" s="5">
        <f t="shared" ref="D14:D36" si="0">IF(A14&lt;startage,1,0)*(C14*(1-initialunempprob))+IF(A14=startage,1,0)*(C14*(1-unempprob))+IF(A14&gt;startage,1,0)*(C14*(1-unempprob)+unempprob*300*52)</f>
        <v>9968.3976188389461</v>
      </c>
      <c r="E14" s="5">
        <f t="shared" ref="E14:E56" si="1">IF(D14-9500&gt;0,1,0)*(D14-9500)</f>
        <v>468.39761883894607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856.26194160896853</v>
      </c>
      <c r="G14" s="5">
        <f t="shared" ref="G14:G56" si="3">D14-F14</f>
        <v>9112.1356772299769</v>
      </c>
      <c r="H14" s="22">
        <f>0.1*Grade17!H14</f>
        <v>4413.2217309978396</v>
      </c>
      <c r="I14" s="5">
        <f t="shared" ref="I14:I36" si="4">G14+IF(A14&lt;startage,1,0)*(H14*(1-initialunempprob))+IF(A14&gt;=startage,1,0)*(H14*(1-unempprob))</f>
        <v>13379.721091104888</v>
      </c>
      <c r="J14" s="26">
        <f t="shared" ref="J14:J56" si="5">(F14-(IF(A14&gt;startage,1,0)*(unempprob*300*52)))/(IF(A14&lt;startage,1,0)*((C14+H14)*(1-initialunempprob))+IF(A14&gt;=startage,1,0)*((C14+H14)*(1-unempprob)))</f>
        <v>6.0147721421225674E-2</v>
      </c>
      <c r="L14" s="22">
        <f>0.1*Grade17!L14</f>
        <v>14931.121975364706</v>
      </c>
      <c r="M14" s="5">
        <f>scrimecost*Meta!O11</f>
        <v>2608.2560000000003</v>
      </c>
      <c r="N14" s="5">
        <f>L14-Grade17!L14</f>
        <v>-134380.09777828233</v>
      </c>
      <c r="O14" s="5"/>
      <c r="P14" s="22"/>
      <c r="Q14" s="22">
        <f>0.05*feel*Grade17!G14</f>
        <v>898.39737481745556</v>
      </c>
      <c r="R14" s="22">
        <f>coltuition</f>
        <v>8279</v>
      </c>
      <c r="S14" s="22">
        <f t="shared" ref="S14:S45" si="6">IF(A14&lt;startage,1,0)*(N14-Q14-R14)+IF(A14&gt;=startage,1,0)*completionprob*(N14*spart+O14+P14)</f>
        <v>-143557.49515309979</v>
      </c>
      <c r="T14" s="22">
        <f t="shared" ref="T14:T45" si="7">S14/sreturn^(A14-startage+1)</f>
        <v>-143557.49515309979</v>
      </c>
    </row>
    <row r="15" spans="1:20" x14ac:dyDescent="0.2">
      <c r="A15" s="5">
        <v>24</v>
      </c>
      <c r="B15" s="1">
        <f t="shared" ref="B15:B36" si="8">(1+experiencepremium)^(A15-startage)</f>
        <v>1</v>
      </c>
      <c r="C15" s="5">
        <f t="shared" ref="C15:C36" si="9">pretaxincome*B15/expnorm</f>
        <v>125451.97845722374</v>
      </c>
      <c r="D15" s="5">
        <f t="shared" si="0"/>
        <v>121688.41910350703</v>
      </c>
      <c r="E15" s="5">
        <f t="shared" si="1"/>
        <v>112188.41910350703</v>
      </c>
      <c r="F15" s="5">
        <f t="shared" si="2"/>
        <v>44634.681336333524</v>
      </c>
      <c r="G15" s="5">
        <f t="shared" si="3"/>
        <v>77053.737767173501</v>
      </c>
      <c r="H15" s="22">
        <f t="shared" ref="H15:H36" si="10">benefits*B15/expnorm</f>
        <v>52351.373716330258</v>
      </c>
      <c r="I15" s="5">
        <f t="shared" si="4"/>
        <v>127834.57027201385</v>
      </c>
      <c r="J15" s="26">
        <f t="shared" si="5"/>
        <v>0.25879790698977695</v>
      </c>
      <c r="L15" s="22">
        <f t="shared" ref="L15:L36" si="11">(sincome+sbenefits)*(1-sunemp)*B15/expnorm</f>
        <v>163738.86201597942</v>
      </c>
      <c r="M15" s="5">
        <f>scrimecost*Meta!O12</f>
        <v>2491.9580000000001</v>
      </c>
      <c r="N15" s="5">
        <f>L15-Grade17!L15</f>
        <v>10694.861768491217</v>
      </c>
      <c r="O15" s="5">
        <f>Grade17!M15-M15</f>
        <v>0</v>
      </c>
      <c r="P15" s="22">
        <f t="shared" ref="P15:P56" si="12">(spart-initialspart)*(L15*J15+nptrans)</f>
        <v>0</v>
      </c>
      <c r="Q15" s="22"/>
      <c r="R15" s="22"/>
      <c r="S15" s="22">
        <f t="shared" si="6"/>
        <v>4753.26714383531</v>
      </c>
      <c r="T15" s="22">
        <f t="shared" si="7"/>
        <v>4568.5182217983156</v>
      </c>
    </row>
    <row r="16" spans="1:20" x14ac:dyDescent="0.2">
      <c r="A16" s="5">
        <v>25</v>
      </c>
      <c r="B16" s="1">
        <f t="shared" si="8"/>
        <v>1.0249999999999999</v>
      </c>
      <c r="C16" s="5">
        <f t="shared" si="9"/>
        <v>128588.27791865432</v>
      </c>
      <c r="D16" s="5">
        <f t="shared" si="0"/>
        <v>125198.62958109469</v>
      </c>
      <c r="E16" s="5">
        <f t="shared" si="1"/>
        <v>115698.62958109469</v>
      </c>
      <c r="F16" s="5">
        <f t="shared" si="2"/>
        <v>46019.459369741853</v>
      </c>
      <c r="G16" s="5">
        <f t="shared" si="3"/>
        <v>79179.170211352844</v>
      </c>
      <c r="H16" s="22">
        <f t="shared" si="10"/>
        <v>53660.158059238507</v>
      </c>
      <c r="I16" s="5">
        <f t="shared" si="4"/>
        <v>131229.5235288142</v>
      </c>
      <c r="J16" s="26">
        <f t="shared" si="5"/>
        <v>0.25767171684909734</v>
      </c>
      <c r="L16" s="22">
        <f t="shared" si="11"/>
        <v>167832.33356637886</v>
      </c>
      <c r="M16" s="5">
        <f>scrimecost*Meta!O13</f>
        <v>2092.37</v>
      </c>
      <c r="N16" s="5">
        <f>L16-Grade17!L16</f>
        <v>10962.233312703436</v>
      </c>
      <c r="O16" s="5">
        <f>Grade17!M16-M16</f>
        <v>0</v>
      </c>
      <c r="P16" s="22">
        <f t="shared" si="12"/>
        <v>0</v>
      </c>
      <c r="Q16" s="22"/>
      <c r="R16" s="22"/>
      <c r="S16" s="22">
        <f t="shared" si="6"/>
        <v>4872.0988224311659</v>
      </c>
      <c r="T16" s="22">
        <f t="shared" si="7"/>
        <v>4500.7238314432361</v>
      </c>
    </row>
    <row r="17" spans="1:20" x14ac:dyDescent="0.2">
      <c r="A17" s="5">
        <v>26</v>
      </c>
      <c r="B17" s="1">
        <f t="shared" si="8"/>
        <v>1.0506249999999999</v>
      </c>
      <c r="C17" s="5">
        <f t="shared" si="9"/>
        <v>131802.98486662068</v>
      </c>
      <c r="D17" s="5">
        <f t="shared" si="0"/>
        <v>128316.89532062206</v>
      </c>
      <c r="E17" s="5">
        <f t="shared" si="1"/>
        <v>118816.89532062206</v>
      </c>
      <c r="F17" s="5">
        <f t="shared" si="2"/>
        <v>47249.615203985406</v>
      </c>
      <c r="G17" s="5">
        <f t="shared" si="3"/>
        <v>81067.280116636655</v>
      </c>
      <c r="H17" s="22">
        <f t="shared" si="10"/>
        <v>55001.662010719469</v>
      </c>
      <c r="I17" s="5">
        <f t="shared" si="4"/>
        <v>134418.89226703453</v>
      </c>
      <c r="J17" s="26">
        <f t="shared" si="5"/>
        <v>0.2581759612978311</v>
      </c>
      <c r="L17" s="22">
        <f t="shared" si="11"/>
        <v>172028.14190553836</v>
      </c>
      <c r="M17" s="5">
        <f>scrimecost*Meta!O14</f>
        <v>2092.37</v>
      </c>
      <c r="N17" s="5">
        <f>L17-Grade17!L17</f>
        <v>11236.289145521063</v>
      </c>
      <c r="O17" s="5">
        <f>Grade17!M17-M17</f>
        <v>0</v>
      </c>
      <c r="P17" s="22">
        <f t="shared" si="12"/>
        <v>0</v>
      </c>
      <c r="Q17" s="22"/>
      <c r="R17" s="22"/>
      <c r="S17" s="22">
        <f t="shared" si="6"/>
        <v>4993.9012929919636</v>
      </c>
      <c r="T17" s="22">
        <f t="shared" si="7"/>
        <v>4433.935473928711</v>
      </c>
    </row>
    <row r="18" spans="1:20" x14ac:dyDescent="0.2">
      <c r="A18" s="5">
        <v>27</v>
      </c>
      <c r="B18" s="1">
        <f t="shared" si="8"/>
        <v>1.0768906249999999</v>
      </c>
      <c r="C18" s="5">
        <f t="shared" si="9"/>
        <v>135098.05948828621</v>
      </c>
      <c r="D18" s="5">
        <f t="shared" si="0"/>
        <v>131513.11770363763</v>
      </c>
      <c r="E18" s="5">
        <f t="shared" si="1"/>
        <v>122013.11770363763</v>
      </c>
      <c r="F18" s="5">
        <f t="shared" si="2"/>
        <v>48510.52493408505</v>
      </c>
      <c r="G18" s="5">
        <f t="shared" si="3"/>
        <v>83002.592769552575</v>
      </c>
      <c r="H18" s="22">
        <f t="shared" si="10"/>
        <v>56376.703560987458</v>
      </c>
      <c r="I18" s="5">
        <f t="shared" si="4"/>
        <v>137687.9952237104</v>
      </c>
      <c r="J18" s="26">
        <f t="shared" si="5"/>
        <v>0.25866790710147386</v>
      </c>
      <c r="L18" s="22">
        <f t="shared" si="11"/>
        <v>176328.84545317679</v>
      </c>
      <c r="M18" s="5">
        <f>scrimecost*Meta!O15</f>
        <v>2092.37</v>
      </c>
      <c r="N18" s="5">
        <f>L18-Grade17!L18</f>
        <v>11517.196374159073</v>
      </c>
      <c r="O18" s="5">
        <f>Grade17!M18-M18</f>
        <v>0</v>
      </c>
      <c r="P18" s="22">
        <f t="shared" si="12"/>
        <v>0</v>
      </c>
      <c r="Q18" s="22"/>
      <c r="R18" s="22"/>
      <c r="S18" s="22">
        <f t="shared" si="6"/>
        <v>5118.7488253167548</v>
      </c>
      <c r="T18" s="22">
        <f t="shared" si="7"/>
        <v>4368.1382202602445</v>
      </c>
    </row>
    <row r="19" spans="1:20" x14ac:dyDescent="0.2">
      <c r="A19" s="5">
        <v>28</v>
      </c>
      <c r="B19" s="1">
        <f t="shared" si="8"/>
        <v>1.1038128906249998</v>
      </c>
      <c r="C19" s="5">
        <f t="shared" si="9"/>
        <v>138475.51097549332</v>
      </c>
      <c r="D19" s="5">
        <f t="shared" si="0"/>
        <v>134789.24564622852</v>
      </c>
      <c r="E19" s="5">
        <f t="shared" si="1"/>
        <v>125289.24564622852</v>
      </c>
      <c r="F19" s="5">
        <f t="shared" si="2"/>
        <v>49802.957407437149</v>
      </c>
      <c r="G19" s="5">
        <f t="shared" si="3"/>
        <v>84986.288238791371</v>
      </c>
      <c r="H19" s="22">
        <f t="shared" si="10"/>
        <v>57786.121150012135</v>
      </c>
      <c r="I19" s="5">
        <f t="shared" si="4"/>
        <v>141038.82575430314</v>
      </c>
      <c r="J19" s="26">
        <f t="shared" si="5"/>
        <v>0.25914785422697884</v>
      </c>
      <c r="L19" s="22">
        <f t="shared" si="11"/>
        <v>180737.06658950623</v>
      </c>
      <c r="M19" s="5">
        <f>scrimecost*Meta!O16</f>
        <v>2092.37</v>
      </c>
      <c r="N19" s="5">
        <f>L19-Grade17!L19</f>
        <v>11805.126283513062</v>
      </c>
      <c r="O19" s="5">
        <f>Grade17!M19-M19</f>
        <v>0</v>
      </c>
      <c r="P19" s="22">
        <f t="shared" si="12"/>
        <v>0</v>
      </c>
      <c r="Q19" s="22"/>
      <c r="R19" s="22"/>
      <c r="S19" s="22">
        <f t="shared" si="6"/>
        <v>5246.7175459496784</v>
      </c>
      <c r="T19" s="22">
        <f t="shared" si="7"/>
        <v>4303.3173629818057</v>
      </c>
    </row>
    <row r="20" spans="1:20" x14ac:dyDescent="0.2">
      <c r="A20" s="5">
        <v>29</v>
      </c>
      <c r="B20" s="1">
        <f t="shared" si="8"/>
        <v>1.1314082128906247</v>
      </c>
      <c r="C20" s="5">
        <f t="shared" si="9"/>
        <v>141937.39874988067</v>
      </c>
      <c r="D20" s="5">
        <f t="shared" si="0"/>
        <v>138147.27678738424</v>
      </c>
      <c r="E20" s="5">
        <f t="shared" si="1"/>
        <v>128647.27678738424</v>
      </c>
      <c r="F20" s="5">
        <f t="shared" si="2"/>
        <v>51127.70069262309</v>
      </c>
      <c r="G20" s="5">
        <f t="shared" si="3"/>
        <v>87019.576094761142</v>
      </c>
      <c r="H20" s="22">
        <f t="shared" si="10"/>
        <v>59230.774178762433</v>
      </c>
      <c r="I20" s="5">
        <f t="shared" si="4"/>
        <v>144473.42704816069</v>
      </c>
      <c r="J20" s="26">
        <f t="shared" si="5"/>
        <v>0.2596160953250326</v>
      </c>
      <c r="L20" s="22">
        <f t="shared" si="11"/>
        <v>185255.49325424386</v>
      </c>
      <c r="M20" s="5">
        <f>scrimecost*Meta!O17</f>
        <v>2092.37</v>
      </c>
      <c r="N20" s="5">
        <f>L20-Grade17!L20</f>
        <v>12100.254440600896</v>
      </c>
      <c r="O20" s="5">
        <f>Grade17!M20-M20</f>
        <v>0</v>
      </c>
      <c r="P20" s="22">
        <f t="shared" si="12"/>
        <v>0</v>
      </c>
      <c r="Q20" s="22"/>
      <c r="R20" s="22"/>
      <c r="S20" s="22">
        <f t="shared" si="6"/>
        <v>5377.8854845984251</v>
      </c>
      <c r="T20" s="22">
        <f t="shared" si="7"/>
        <v>4239.4584128881761</v>
      </c>
    </row>
    <row r="21" spans="1:20" x14ac:dyDescent="0.2">
      <c r="A21" s="5">
        <v>30</v>
      </c>
      <c r="B21" s="1">
        <f t="shared" si="8"/>
        <v>1.1596934182128902</v>
      </c>
      <c r="C21" s="5">
        <f t="shared" si="9"/>
        <v>145485.83371862766</v>
      </c>
      <c r="D21" s="5">
        <f t="shared" si="0"/>
        <v>141589.25870706883</v>
      </c>
      <c r="E21" s="5">
        <f t="shared" si="1"/>
        <v>132089.25870706883</v>
      </c>
      <c r="F21" s="5">
        <f t="shared" si="2"/>
        <v>52485.562559938655</v>
      </c>
      <c r="G21" s="5">
        <f t="shared" si="3"/>
        <v>89103.696147130177</v>
      </c>
      <c r="H21" s="22">
        <f t="shared" si="10"/>
        <v>60711.543533231496</v>
      </c>
      <c r="I21" s="5">
        <f t="shared" si="4"/>
        <v>147993.89337436474</v>
      </c>
      <c r="J21" s="26">
        <f t="shared" si="5"/>
        <v>0.26007291590849957</v>
      </c>
      <c r="L21" s="22">
        <f t="shared" si="11"/>
        <v>189886.88058559995</v>
      </c>
      <c r="M21" s="5">
        <f>scrimecost*Meta!O18</f>
        <v>1686.818</v>
      </c>
      <c r="N21" s="5">
        <f>L21-Grade17!L21</f>
        <v>12402.760801615921</v>
      </c>
      <c r="O21" s="5">
        <f>Grade17!M21-M21</f>
        <v>0</v>
      </c>
      <c r="P21" s="22">
        <f t="shared" si="12"/>
        <v>0</v>
      </c>
      <c r="Q21" s="22"/>
      <c r="R21" s="22"/>
      <c r="S21" s="22">
        <f t="shared" si="6"/>
        <v>5512.3326217133863</v>
      </c>
      <c r="T21" s="22">
        <f t="shared" si="7"/>
        <v>4176.5470957862763</v>
      </c>
    </row>
    <row r="22" spans="1:20" x14ac:dyDescent="0.2">
      <c r="A22" s="5">
        <v>31</v>
      </c>
      <c r="B22" s="1">
        <f t="shared" si="8"/>
        <v>1.1886857536682125</v>
      </c>
      <c r="C22" s="5">
        <f t="shared" si="9"/>
        <v>149122.97956159335</v>
      </c>
      <c r="D22" s="5">
        <f t="shared" si="0"/>
        <v>145117.29017474555</v>
      </c>
      <c r="E22" s="5">
        <f t="shared" si="1"/>
        <v>135617.29017474555</v>
      </c>
      <c r="F22" s="5">
        <f t="shared" si="2"/>
        <v>53877.370973937119</v>
      </c>
      <c r="G22" s="5">
        <f t="shared" si="3"/>
        <v>91239.919200808421</v>
      </c>
      <c r="H22" s="22">
        <f t="shared" si="10"/>
        <v>62229.332121562285</v>
      </c>
      <c r="I22" s="5">
        <f t="shared" si="4"/>
        <v>151602.37135872385</v>
      </c>
      <c r="J22" s="26">
        <f t="shared" si="5"/>
        <v>0.26051859452651621</v>
      </c>
      <c r="L22" s="22">
        <f t="shared" si="11"/>
        <v>194634.05260023993</v>
      </c>
      <c r="M22" s="5">
        <f>scrimecost*Meta!O19</f>
        <v>1686.818</v>
      </c>
      <c r="N22" s="5">
        <f>L22-Grade17!L22</f>
        <v>12712.829821656283</v>
      </c>
      <c r="O22" s="5">
        <f>Grade17!M22-M22</f>
        <v>0</v>
      </c>
      <c r="P22" s="22">
        <f t="shared" si="12"/>
        <v>0</v>
      </c>
      <c r="Q22" s="22"/>
      <c r="R22" s="22"/>
      <c r="S22" s="22">
        <f t="shared" si="6"/>
        <v>5650.1409372562048</v>
      </c>
      <c r="T22" s="22">
        <f t="shared" si="7"/>
        <v>4114.5693493044855</v>
      </c>
    </row>
    <row r="23" spans="1:20" x14ac:dyDescent="0.2">
      <c r="A23" s="5">
        <v>32</v>
      </c>
      <c r="B23" s="1">
        <f t="shared" si="8"/>
        <v>1.2184028975099177</v>
      </c>
      <c r="C23" s="5">
        <f t="shared" si="9"/>
        <v>152851.05405063319</v>
      </c>
      <c r="D23" s="5">
        <f t="shared" si="0"/>
        <v>148733.52242911418</v>
      </c>
      <c r="E23" s="5">
        <f t="shared" si="1"/>
        <v>139233.52242911418</v>
      </c>
      <c r="F23" s="5">
        <f t="shared" si="2"/>
        <v>55303.974598285538</v>
      </c>
      <c r="G23" s="5">
        <f t="shared" si="3"/>
        <v>93429.54783082864</v>
      </c>
      <c r="H23" s="22">
        <f t="shared" si="10"/>
        <v>63785.065424601336</v>
      </c>
      <c r="I23" s="5">
        <f t="shared" si="4"/>
        <v>155301.06129269194</v>
      </c>
      <c r="J23" s="26">
        <f t="shared" si="5"/>
        <v>0.26095340293433728</v>
      </c>
      <c r="L23" s="22">
        <f t="shared" si="11"/>
        <v>199499.90391524593</v>
      </c>
      <c r="M23" s="5">
        <f>scrimecost*Meta!O20</f>
        <v>1686.818</v>
      </c>
      <c r="N23" s="5">
        <f>L23-Grade17!L23</f>
        <v>13030.650567197736</v>
      </c>
      <c r="O23" s="5">
        <f>Grade17!M23-M23</f>
        <v>0</v>
      </c>
      <c r="P23" s="22">
        <f t="shared" si="12"/>
        <v>0</v>
      </c>
      <c r="Q23" s="22"/>
      <c r="R23" s="22"/>
      <c r="S23" s="22">
        <f t="shared" si="6"/>
        <v>5791.3944606876303</v>
      </c>
      <c r="T23" s="22">
        <f t="shared" si="7"/>
        <v>4053.5113197493747</v>
      </c>
    </row>
    <row r="24" spans="1:20" x14ac:dyDescent="0.2">
      <c r="A24" s="5">
        <v>33</v>
      </c>
      <c r="B24" s="1">
        <f t="shared" si="8"/>
        <v>1.2488629699476654</v>
      </c>
      <c r="C24" s="5">
        <f t="shared" si="9"/>
        <v>156672.33040189897</v>
      </c>
      <c r="D24" s="5">
        <f t="shared" si="0"/>
        <v>152440.160489842</v>
      </c>
      <c r="E24" s="5">
        <f t="shared" si="1"/>
        <v>142940.160489842</v>
      </c>
      <c r="F24" s="5">
        <f t="shared" si="2"/>
        <v>56766.243313242667</v>
      </c>
      <c r="G24" s="5">
        <f t="shared" si="3"/>
        <v>95673.917176599338</v>
      </c>
      <c r="H24" s="22">
        <f t="shared" si="10"/>
        <v>65379.692060216359</v>
      </c>
      <c r="I24" s="5">
        <f t="shared" si="4"/>
        <v>159092.2184750092</v>
      </c>
      <c r="J24" s="26">
        <f t="shared" si="5"/>
        <v>0.26137760625904077</v>
      </c>
      <c r="L24" s="22">
        <f t="shared" si="11"/>
        <v>204487.40151312703</v>
      </c>
      <c r="M24" s="5">
        <f>scrimecost*Meta!O21</f>
        <v>1686.818</v>
      </c>
      <c r="N24" s="5">
        <f>L24-Grade17!L24</f>
        <v>13356.416831377632</v>
      </c>
      <c r="O24" s="5">
        <f>Grade17!M24-M24</f>
        <v>0</v>
      </c>
      <c r="P24" s="22">
        <f t="shared" si="12"/>
        <v>0</v>
      </c>
      <c r="Q24" s="22"/>
      <c r="R24" s="22"/>
      <c r="S24" s="22">
        <f t="shared" si="6"/>
        <v>5936.1793222048</v>
      </c>
      <c r="T24" s="22">
        <f t="shared" si="7"/>
        <v>3993.3593590088926</v>
      </c>
    </row>
    <row r="25" spans="1:20" x14ac:dyDescent="0.2">
      <c r="A25" s="5">
        <v>34</v>
      </c>
      <c r="B25" s="1">
        <f t="shared" si="8"/>
        <v>1.2800845441963571</v>
      </c>
      <c r="C25" s="5">
        <f t="shared" si="9"/>
        <v>160589.13866194646</v>
      </c>
      <c r="D25" s="5">
        <f t="shared" si="0"/>
        <v>156239.46450208806</v>
      </c>
      <c r="E25" s="5">
        <f t="shared" si="1"/>
        <v>146739.46450208806</v>
      </c>
      <c r="F25" s="5">
        <f t="shared" si="2"/>
        <v>58265.068746073746</v>
      </c>
      <c r="G25" s="5">
        <f t="shared" si="3"/>
        <v>97974.395756014303</v>
      </c>
      <c r="H25" s="22">
        <f t="shared" si="10"/>
        <v>67014.184361721767</v>
      </c>
      <c r="I25" s="5">
        <f t="shared" si="4"/>
        <v>162978.15458688443</v>
      </c>
      <c r="J25" s="26">
        <f t="shared" si="5"/>
        <v>0.26179146316119056</v>
      </c>
      <c r="L25" s="22">
        <f t="shared" si="11"/>
        <v>209599.58655095522</v>
      </c>
      <c r="M25" s="5">
        <f>scrimecost*Meta!O22</f>
        <v>1686.818</v>
      </c>
      <c r="N25" s="5">
        <f>L25-Grade17!L25</f>
        <v>13690.327252162097</v>
      </c>
      <c r="O25" s="5">
        <f>Grade17!M25-M25</f>
        <v>0</v>
      </c>
      <c r="P25" s="22">
        <f t="shared" si="12"/>
        <v>0</v>
      </c>
      <c r="Q25" s="22"/>
      <c r="R25" s="22"/>
      <c r="S25" s="22">
        <f t="shared" si="6"/>
        <v>6084.5838052599302</v>
      </c>
      <c r="T25" s="22">
        <f t="shared" si="7"/>
        <v>3934.1000215018485</v>
      </c>
    </row>
    <row r="26" spans="1:20" x14ac:dyDescent="0.2">
      <c r="A26" s="5">
        <v>35</v>
      </c>
      <c r="B26" s="1">
        <f t="shared" si="8"/>
        <v>1.312086657801266</v>
      </c>
      <c r="C26" s="5">
        <f t="shared" si="9"/>
        <v>164603.86712849513</v>
      </c>
      <c r="D26" s="5">
        <f t="shared" si="0"/>
        <v>160133.75111464027</v>
      </c>
      <c r="E26" s="5">
        <f t="shared" si="1"/>
        <v>150633.75111464027</v>
      </c>
      <c r="F26" s="5">
        <f t="shared" si="2"/>
        <v>59801.364814725581</v>
      </c>
      <c r="G26" s="5">
        <f t="shared" si="3"/>
        <v>100332.38629991468</v>
      </c>
      <c r="H26" s="22">
        <f t="shared" si="10"/>
        <v>68689.538970764814</v>
      </c>
      <c r="I26" s="5">
        <f t="shared" si="4"/>
        <v>166961.23910155654</v>
      </c>
      <c r="J26" s="26">
        <f t="shared" si="5"/>
        <v>0.26219522599255618</v>
      </c>
      <c r="L26" s="22">
        <f t="shared" si="11"/>
        <v>214839.57621472908</v>
      </c>
      <c r="M26" s="5">
        <f>scrimecost*Meta!O23</f>
        <v>1309.098</v>
      </c>
      <c r="N26" s="5">
        <f>L26-Grade17!L26</f>
        <v>14032.585433466156</v>
      </c>
      <c r="O26" s="5">
        <f>Grade17!M26-M26</f>
        <v>0</v>
      </c>
      <c r="P26" s="22">
        <f t="shared" si="12"/>
        <v>0</v>
      </c>
      <c r="Q26" s="22"/>
      <c r="R26" s="22"/>
      <c r="S26" s="22">
        <f t="shared" si="6"/>
        <v>6236.6984003914313</v>
      </c>
      <c r="T26" s="22">
        <f t="shared" si="7"/>
        <v>3875.7200611722756</v>
      </c>
    </row>
    <row r="27" spans="1:20" x14ac:dyDescent="0.2">
      <c r="A27" s="5">
        <v>36</v>
      </c>
      <c r="B27" s="1">
        <f t="shared" si="8"/>
        <v>1.3448888242462975</v>
      </c>
      <c r="C27" s="5">
        <f t="shared" si="9"/>
        <v>168718.96380670747</v>
      </c>
      <c r="D27" s="5">
        <f t="shared" si="0"/>
        <v>164125.39489250624</v>
      </c>
      <c r="E27" s="5">
        <f t="shared" si="1"/>
        <v>154625.39489250624</v>
      </c>
      <c r="F27" s="5">
        <f t="shared" si="2"/>
        <v>61376.068285093708</v>
      </c>
      <c r="G27" s="5">
        <f t="shared" si="3"/>
        <v>102749.32660741254</v>
      </c>
      <c r="H27" s="22">
        <f t="shared" si="10"/>
        <v>70406.777445033935</v>
      </c>
      <c r="I27" s="5">
        <f t="shared" si="4"/>
        <v>171043.90072909545</v>
      </c>
      <c r="J27" s="26">
        <f t="shared" si="5"/>
        <v>0.26258914094998603</v>
      </c>
      <c r="L27" s="22">
        <f t="shared" si="11"/>
        <v>220210.5656200973</v>
      </c>
      <c r="M27" s="5">
        <f>scrimecost*Meta!O24</f>
        <v>1309.098</v>
      </c>
      <c r="N27" s="5">
        <f>L27-Grade17!L27</f>
        <v>14383.400069302792</v>
      </c>
      <c r="O27" s="5">
        <f>Grade17!M27-M27</f>
        <v>0</v>
      </c>
      <c r="P27" s="22">
        <f t="shared" si="12"/>
        <v>0</v>
      </c>
      <c r="Q27" s="22"/>
      <c r="R27" s="22"/>
      <c r="S27" s="22">
        <f t="shared" si="6"/>
        <v>6392.6158604012098</v>
      </c>
      <c r="T27" s="22">
        <f t="shared" si="7"/>
        <v>3818.206428528687</v>
      </c>
    </row>
    <row r="28" spans="1:20" x14ac:dyDescent="0.2">
      <c r="A28" s="5">
        <v>37</v>
      </c>
      <c r="B28" s="1">
        <f t="shared" si="8"/>
        <v>1.3785110448524549</v>
      </c>
      <c r="C28" s="5">
        <f t="shared" si="9"/>
        <v>172936.93790187515</v>
      </c>
      <c r="D28" s="5">
        <f t="shared" si="0"/>
        <v>168216.82976481889</v>
      </c>
      <c r="E28" s="5">
        <f t="shared" si="1"/>
        <v>158716.82976481889</v>
      </c>
      <c r="F28" s="5">
        <f t="shared" si="2"/>
        <v>62990.139342221053</v>
      </c>
      <c r="G28" s="5">
        <f t="shared" si="3"/>
        <v>105226.69042259784</v>
      </c>
      <c r="H28" s="22">
        <f t="shared" si="10"/>
        <v>72166.946881159776</v>
      </c>
      <c r="I28" s="5">
        <f t="shared" si="4"/>
        <v>175228.62889732281</v>
      </c>
      <c r="J28" s="26">
        <f t="shared" si="5"/>
        <v>0.26297344822552743</v>
      </c>
      <c r="L28" s="22">
        <f t="shared" si="11"/>
        <v>225715.82976059974</v>
      </c>
      <c r="M28" s="5">
        <f>scrimecost*Meta!O25</f>
        <v>1309.098</v>
      </c>
      <c r="N28" s="5">
        <f>L28-Grade17!L28</f>
        <v>14742.985071035364</v>
      </c>
      <c r="O28" s="5">
        <f>Grade17!M28-M28</f>
        <v>0</v>
      </c>
      <c r="P28" s="22">
        <f t="shared" si="12"/>
        <v>0</v>
      </c>
      <c r="Q28" s="22"/>
      <c r="R28" s="22"/>
      <c r="S28" s="22">
        <f t="shared" si="6"/>
        <v>6552.4312569112417</v>
      </c>
      <c r="T28" s="22">
        <f t="shared" si="7"/>
        <v>3761.5462677271494</v>
      </c>
    </row>
    <row r="29" spans="1:20" x14ac:dyDescent="0.2">
      <c r="A29" s="5">
        <v>38</v>
      </c>
      <c r="B29" s="1">
        <f t="shared" si="8"/>
        <v>1.4129738209737661</v>
      </c>
      <c r="C29" s="5">
        <f t="shared" si="9"/>
        <v>177260.36134942202</v>
      </c>
      <c r="D29" s="5">
        <f t="shared" si="0"/>
        <v>172410.55050893934</v>
      </c>
      <c r="E29" s="5">
        <f t="shared" si="1"/>
        <v>162910.55050893934</v>
      </c>
      <c r="F29" s="5">
        <f t="shared" si="2"/>
        <v>64644.562175776569</v>
      </c>
      <c r="G29" s="5">
        <f t="shared" si="3"/>
        <v>107765.98833316276</v>
      </c>
      <c r="H29" s="22">
        <f t="shared" si="10"/>
        <v>73971.120553188754</v>
      </c>
      <c r="I29" s="5">
        <f t="shared" si="4"/>
        <v>179517.97526975587</v>
      </c>
      <c r="J29" s="26">
        <f t="shared" si="5"/>
        <v>0.26334838215288475</v>
      </c>
      <c r="L29" s="22">
        <f t="shared" si="11"/>
        <v>231358.72550461467</v>
      </c>
      <c r="M29" s="5">
        <f>scrimecost*Meta!O26</f>
        <v>1309.098</v>
      </c>
      <c r="N29" s="5">
        <f>L29-Grade17!L29</f>
        <v>15111.559697811172</v>
      </c>
      <c r="O29" s="5">
        <f>Grade17!M29-M29</f>
        <v>0</v>
      </c>
      <c r="P29" s="22">
        <f t="shared" si="12"/>
        <v>0</v>
      </c>
      <c r="Q29" s="22"/>
      <c r="R29" s="22"/>
      <c r="S29" s="22">
        <f t="shared" si="6"/>
        <v>6716.2420383339886</v>
      </c>
      <c r="T29" s="22">
        <f t="shared" si="7"/>
        <v>3705.7269136976065</v>
      </c>
    </row>
    <row r="30" spans="1:20" x14ac:dyDescent="0.2">
      <c r="A30" s="5">
        <v>39</v>
      </c>
      <c r="B30" s="1">
        <f t="shared" si="8"/>
        <v>1.4482981664981105</v>
      </c>
      <c r="C30" s="5">
        <f t="shared" si="9"/>
        <v>181691.8703831576</v>
      </c>
      <c r="D30" s="5">
        <f t="shared" si="0"/>
        <v>176709.11427166287</v>
      </c>
      <c r="E30" s="5">
        <f t="shared" si="1"/>
        <v>167209.11427166287</v>
      </c>
      <c r="F30" s="5">
        <f t="shared" si="2"/>
        <v>66340.345580171008</v>
      </c>
      <c r="G30" s="5">
        <f t="shared" si="3"/>
        <v>110368.76869149186</v>
      </c>
      <c r="H30" s="22">
        <f t="shared" si="10"/>
        <v>75820.398567018492</v>
      </c>
      <c r="I30" s="5">
        <f t="shared" si="4"/>
        <v>183914.55530149979</v>
      </c>
      <c r="J30" s="26">
        <f t="shared" si="5"/>
        <v>0.26371417135030673</v>
      </c>
      <c r="L30" s="22">
        <f t="shared" si="11"/>
        <v>237142.69364223012</v>
      </c>
      <c r="M30" s="5">
        <f>scrimecost*Meta!O27</f>
        <v>1309.098</v>
      </c>
      <c r="N30" s="5">
        <f>L30-Grade17!L30</f>
        <v>15489.348690256564</v>
      </c>
      <c r="O30" s="5">
        <f>Grade17!M30-M30</f>
        <v>0</v>
      </c>
      <c r="P30" s="22">
        <f t="shared" si="12"/>
        <v>0</v>
      </c>
      <c r="Q30" s="22"/>
      <c r="R30" s="22"/>
      <c r="S30" s="22">
        <f t="shared" si="6"/>
        <v>6884.1480892923882</v>
      </c>
      <c r="T30" s="22">
        <f t="shared" si="7"/>
        <v>3650.7358893130227</v>
      </c>
    </row>
    <row r="31" spans="1:20" x14ac:dyDescent="0.2">
      <c r="A31" s="5">
        <v>40</v>
      </c>
      <c r="B31" s="1">
        <f t="shared" si="8"/>
        <v>1.4845056206605631</v>
      </c>
      <c r="C31" s="5">
        <f t="shared" si="9"/>
        <v>186234.16714273652</v>
      </c>
      <c r="D31" s="5">
        <f t="shared" si="0"/>
        <v>181115.14212845443</v>
      </c>
      <c r="E31" s="5">
        <f t="shared" si="1"/>
        <v>171615.14212845443</v>
      </c>
      <c r="F31" s="5">
        <f t="shared" si="2"/>
        <v>68078.523569675264</v>
      </c>
      <c r="G31" s="5">
        <f t="shared" si="3"/>
        <v>113036.61855877917</v>
      </c>
      <c r="H31" s="22">
        <f t="shared" si="10"/>
        <v>77715.908531193956</v>
      </c>
      <c r="I31" s="5">
        <f t="shared" si="4"/>
        <v>188421.04983403732</v>
      </c>
      <c r="J31" s="26">
        <f t="shared" si="5"/>
        <v>0.26407103885998651</v>
      </c>
      <c r="L31" s="22">
        <f t="shared" si="11"/>
        <v>243071.26098328584</v>
      </c>
      <c r="M31" s="5">
        <f>scrimecost*Meta!O28</f>
        <v>1145.088</v>
      </c>
      <c r="N31" s="5">
        <f>L31-Grade17!L31</f>
        <v>15876.582407512964</v>
      </c>
      <c r="O31" s="5">
        <f>Grade17!M31-M31</f>
        <v>0</v>
      </c>
      <c r="P31" s="22">
        <f t="shared" si="12"/>
        <v>0</v>
      </c>
      <c r="Q31" s="22"/>
      <c r="R31" s="22"/>
      <c r="S31" s="22">
        <f t="shared" si="6"/>
        <v>7056.2517915246908</v>
      </c>
      <c r="T31" s="22">
        <f t="shared" si="7"/>
        <v>3596.5609026001785</v>
      </c>
    </row>
    <row r="32" spans="1:20" x14ac:dyDescent="0.2">
      <c r="A32" s="5">
        <v>41</v>
      </c>
      <c r="B32" s="1">
        <f t="shared" si="8"/>
        <v>1.521618261177077</v>
      </c>
      <c r="C32" s="5">
        <f t="shared" si="9"/>
        <v>190890.0213213049</v>
      </c>
      <c r="D32" s="5">
        <f t="shared" si="0"/>
        <v>185631.32068166573</v>
      </c>
      <c r="E32" s="5">
        <f t="shared" si="1"/>
        <v>176131.32068166573</v>
      </c>
      <c r="F32" s="5">
        <f t="shared" si="2"/>
        <v>69946.722043000409</v>
      </c>
      <c r="G32" s="5">
        <f t="shared" si="3"/>
        <v>115684.59863866532</v>
      </c>
      <c r="H32" s="22">
        <f t="shared" si="10"/>
        <v>79658.806244473773</v>
      </c>
      <c r="I32" s="5">
        <f t="shared" si="4"/>
        <v>192953.64069580488</v>
      </c>
      <c r="J32" s="26">
        <f t="shared" si="5"/>
        <v>0.26474906264572051</v>
      </c>
      <c r="L32" s="22">
        <f t="shared" si="11"/>
        <v>249148.04250786794</v>
      </c>
      <c r="M32" s="5">
        <f>scrimecost*Meta!O29</f>
        <v>1145.088</v>
      </c>
      <c r="N32" s="5">
        <f>L32-Grade17!L32</f>
        <v>16273.496967700747</v>
      </c>
      <c r="O32" s="5">
        <f>Grade17!M32-M32</f>
        <v>0</v>
      </c>
      <c r="P32" s="22">
        <f t="shared" si="12"/>
        <v>0</v>
      </c>
      <c r="Q32" s="22"/>
      <c r="R32" s="22"/>
      <c r="S32" s="22">
        <f t="shared" si="6"/>
        <v>7232.6580863127901</v>
      </c>
      <c r="T32" s="22">
        <f t="shared" si="7"/>
        <v>3543.1898439923248</v>
      </c>
    </row>
    <row r="33" spans="1:20" x14ac:dyDescent="0.2">
      <c r="A33" s="5">
        <v>42</v>
      </c>
      <c r="B33" s="1">
        <f t="shared" si="8"/>
        <v>1.559658717706504</v>
      </c>
      <c r="C33" s="5">
        <f t="shared" si="9"/>
        <v>195662.27185433757</v>
      </c>
      <c r="D33" s="5">
        <f t="shared" si="0"/>
        <v>190260.40369870744</v>
      </c>
      <c r="E33" s="5">
        <f t="shared" si="1"/>
        <v>180760.40369870744</v>
      </c>
      <c r="F33" s="5">
        <f t="shared" si="2"/>
        <v>72004.349444075458</v>
      </c>
      <c r="G33" s="5">
        <f t="shared" si="3"/>
        <v>118256.05425463198</v>
      </c>
      <c r="H33" s="22">
        <f t="shared" si="10"/>
        <v>81650.27640058563</v>
      </c>
      <c r="I33" s="5">
        <f t="shared" si="4"/>
        <v>197456.82236320002</v>
      </c>
      <c r="J33" s="26">
        <f t="shared" si="5"/>
        <v>0.2659411350981386</v>
      </c>
      <c r="L33" s="22">
        <f t="shared" si="11"/>
        <v>255376.74357056463</v>
      </c>
      <c r="M33" s="5">
        <f>scrimecost*Meta!O30</f>
        <v>1145.088</v>
      </c>
      <c r="N33" s="5">
        <f>L33-Grade17!L33</f>
        <v>16680.334391893266</v>
      </c>
      <c r="O33" s="5">
        <f>Grade17!M33-M33</f>
        <v>0</v>
      </c>
      <c r="P33" s="22">
        <f t="shared" si="12"/>
        <v>0</v>
      </c>
      <c r="Q33" s="22"/>
      <c r="R33" s="22"/>
      <c r="S33" s="22">
        <f t="shared" si="6"/>
        <v>7413.4745384706102</v>
      </c>
      <c r="T33" s="22">
        <f t="shared" si="7"/>
        <v>3490.6107836222586</v>
      </c>
    </row>
    <row r="34" spans="1:20" x14ac:dyDescent="0.2">
      <c r="A34" s="5">
        <v>43</v>
      </c>
      <c r="B34" s="1">
        <f t="shared" si="8"/>
        <v>1.5986501856491666</v>
      </c>
      <c r="C34" s="5">
        <f t="shared" si="9"/>
        <v>200553.828650696</v>
      </c>
      <c r="D34" s="5">
        <f t="shared" si="0"/>
        <v>195005.21379117511</v>
      </c>
      <c r="E34" s="5">
        <f t="shared" si="1"/>
        <v>185505.21379117511</v>
      </c>
      <c r="F34" s="5">
        <f t="shared" si="2"/>
        <v>74113.417530177336</v>
      </c>
      <c r="G34" s="5">
        <f t="shared" si="3"/>
        <v>120891.79626099777</v>
      </c>
      <c r="H34" s="22">
        <f t="shared" si="10"/>
        <v>83691.533310600265</v>
      </c>
      <c r="I34" s="5">
        <f t="shared" si="4"/>
        <v>202072.58357228001</v>
      </c>
      <c r="J34" s="26">
        <f t="shared" si="5"/>
        <v>0.26710413261269272</v>
      </c>
      <c r="L34" s="22">
        <f t="shared" si="11"/>
        <v>261761.16215982876</v>
      </c>
      <c r="M34" s="5">
        <f>scrimecost*Meta!O31</f>
        <v>1145.088</v>
      </c>
      <c r="N34" s="5">
        <f>L34-Grade17!L34</f>
        <v>17097.342751690623</v>
      </c>
      <c r="O34" s="5">
        <f>Grade17!M34-M34</f>
        <v>0</v>
      </c>
      <c r="P34" s="22">
        <f t="shared" si="12"/>
        <v>0</v>
      </c>
      <c r="Q34" s="22"/>
      <c r="R34" s="22"/>
      <c r="S34" s="22">
        <f t="shared" si="6"/>
        <v>7598.8114019323866</v>
      </c>
      <c r="T34" s="22">
        <f t="shared" si="7"/>
        <v>3438.8119686556688</v>
      </c>
    </row>
    <row r="35" spans="1:20" x14ac:dyDescent="0.2">
      <c r="A35" s="5">
        <v>44</v>
      </c>
      <c r="B35" s="1">
        <f t="shared" si="8"/>
        <v>1.6386164402903955</v>
      </c>
      <c r="C35" s="5">
        <f t="shared" si="9"/>
        <v>205567.67436696336</v>
      </c>
      <c r="D35" s="5">
        <f t="shared" si="0"/>
        <v>199868.64413595444</v>
      </c>
      <c r="E35" s="5">
        <f t="shared" si="1"/>
        <v>190368.64413595444</v>
      </c>
      <c r="F35" s="5">
        <f t="shared" si="2"/>
        <v>76275.212318431761</v>
      </c>
      <c r="G35" s="5">
        <f t="shared" si="3"/>
        <v>123593.43181752268</v>
      </c>
      <c r="H35" s="22">
        <f t="shared" si="10"/>
        <v>85783.821643365271</v>
      </c>
      <c r="I35" s="5">
        <f t="shared" si="4"/>
        <v>206803.73881158698</v>
      </c>
      <c r="J35" s="26">
        <f t="shared" si="5"/>
        <v>0.26823876433420896</v>
      </c>
      <c r="L35" s="22">
        <f t="shared" si="11"/>
        <v>268305.19121382444</v>
      </c>
      <c r="M35" s="5">
        <f>scrimecost*Meta!O32</f>
        <v>1145.088</v>
      </c>
      <c r="N35" s="5">
        <f>L35-Grade17!L35</f>
        <v>17524.776320482866</v>
      </c>
      <c r="O35" s="5">
        <f>Grade17!M35-M35</f>
        <v>0</v>
      </c>
      <c r="P35" s="22">
        <f t="shared" si="12"/>
        <v>0</v>
      </c>
      <c r="Q35" s="22"/>
      <c r="R35" s="22"/>
      <c r="S35" s="22">
        <f t="shared" si="6"/>
        <v>7788.7816869806866</v>
      </c>
      <c r="T35" s="22">
        <f t="shared" si="7"/>
        <v>3387.7818206640677</v>
      </c>
    </row>
    <row r="36" spans="1:20" x14ac:dyDescent="0.2">
      <c r="A36" s="5">
        <v>45</v>
      </c>
      <c r="B36" s="1">
        <f t="shared" si="8"/>
        <v>1.6795818512976552</v>
      </c>
      <c r="C36" s="5">
        <f t="shared" si="9"/>
        <v>210706.86622613741</v>
      </c>
      <c r="D36" s="5">
        <f t="shared" si="0"/>
        <v>204853.66023935328</v>
      </c>
      <c r="E36" s="5">
        <f t="shared" si="1"/>
        <v>195353.66023935328</v>
      </c>
      <c r="F36" s="5">
        <f t="shared" si="2"/>
        <v>78491.051976392526</v>
      </c>
      <c r="G36" s="5">
        <f t="shared" si="3"/>
        <v>126362.60826296076</v>
      </c>
      <c r="H36" s="22">
        <f t="shared" si="10"/>
        <v>87928.417184449383</v>
      </c>
      <c r="I36" s="5">
        <f t="shared" si="4"/>
        <v>211653.17293187667</v>
      </c>
      <c r="J36" s="26">
        <f t="shared" si="5"/>
        <v>0.26934572211129804</v>
      </c>
      <c r="L36" s="22">
        <f t="shared" si="11"/>
        <v>275012.82099417003</v>
      </c>
      <c r="M36" s="5">
        <f>scrimecost*Meta!O33</f>
        <v>925.4140000000001</v>
      </c>
      <c r="N36" s="5">
        <f>L36-Grade17!L36</f>
        <v>17962.895728494943</v>
      </c>
      <c r="O36" s="5">
        <f>Grade17!M36-M36</f>
        <v>0</v>
      </c>
      <c r="P36" s="22">
        <f t="shared" si="12"/>
        <v>0</v>
      </c>
      <c r="Q36" s="22"/>
      <c r="R36" s="22"/>
      <c r="S36" s="22">
        <f t="shared" si="6"/>
        <v>7983.5012291552066</v>
      </c>
      <c r="T36" s="22">
        <f t="shared" si="7"/>
        <v>3337.5089330367432</v>
      </c>
    </row>
    <row r="37" spans="1:20" x14ac:dyDescent="0.2">
      <c r="A37" s="5">
        <v>46</v>
      </c>
      <c r="B37" s="1">
        <f t="shared" ref="B37:B56" si="13">(1+experiencepremium)^(A37-startage)</f>
        <v>1.7215713975800966</v>
      </c>
      <c r="C37" s="5">
        <f t="shared" ref="C37:C56" si="14">pretaxincome*B37/expnorm</f>
        <v>215974.53788179083</v>
      </c>
      <c r="D37" s="5">
        <f t="shared" ref="D37:D56" si="15">IF(A37&lt;startage,1,0)*(C37*(1-initialunempprob))+IF(A37=startage,1,0)*(C37*(1-unempprob))+IF(A37&gt;startage,1,0)*(C37*(1-unempprob)+unempprob*300*52)</f>
        <v>209963.30174533711</v>
      </c>
      <c r="E37" s="5">
        <f t="shared" si="1"/>
        <v>200463.30174533711</v>
      </c>
      <c r="F37" s="5">
        <f t="shared" si="2"/>
        <v>80762.287625802346</v>
      </c>
      <c r="G37" s="5">
        <f t="shared" si="3"/>
        <v>129201.01411953477</v>
      </c>
      <c r="H37" s="22">
        <f t="shared" ref="H37:H56" si="16">benefits*B37/expnorm</f>
        <v>90126.627614060606</v>
      </c>
      <c r="I37" s="5">
        <f t="shared" ref="I37:I56" si="17">G37+IF(A37&lt;startage,1,0)*(H37*(1-initialunempprob))+IF(A37&gt;=startage,1,0)*(H37*(1-unempprob))</f>
        <v>216623.84290517354</v>
      </c>
      <c r="J37" s="26">
        <f t="shared" si="5"/>
        <v>0.27042568091821417</v>
      </c>
      <c r="L37" s="22">
        <f t="shared" ref="L37:L56" si="18">(sincome+sbenefits)*(1-sunemp)*B37/expnorm</f>
        <v>281888.14151902427</v>
      </c>
      <c r="M37" s="5">
        <f>scrimecost*Meta!O34</f>
        <v>925.4140000000001</v>
      </c>
      <c r="N37" s="5">
        <f>L37-Grade17!L37</f>
        <v>18411.968121707265</v>
      </c>
      <c r="O37" s="5">
        <f>Grade17!M37-M37</f>
        <v>0</v>
      </c>
      <c r="P37" s="22">
        <f t="shared" si="12"/>
        <v>0</v>
      </c>
      <c r="Q37" s="22"/>
      <c r="R37" s="22"/>
      <c r="S37" s="22">
        <f t="shared" si="6"/>
        <v>8183.0887598840636</v>
      </c>
      <c r="T37" s="22">
        <f t="shared" si="7"/>
        <v>3287.9820684310125</v>
      </c>
    </row>
    <row r="38" spans="1:20" x14ac:dyDescent="0.2">
      <c r="A38" s="5">
        <v>47</v>
      </c>
      <c r="B38" s="1">
        <f t="shared" si="13"/>
        <v>1.7646106825195991</v>
      </c>
      <c r="C38" s="5">
        <f t="shared" si="14"/>
        <v>221373.90132883564</v>
      </c>
      <c r="D38" s="5">
        <f t="shared" si="15"/>
        <v>215200.68428897057</v>
      </c>
      <c r="E38" s="5">
        <f t="shared" si="1"/>
        <v>205700.68428897057</v>
      </c>
      <c r="F38" s="5">
        <f t="shared" si="2"/>
        <v>83090.304166447429</v>
      </c>
      <c r="G38" s="5">
        <f t="shared" si="3"/>
        <v>132110.38012252314</v>
      </c>
      <c r="H38" s="22">
        <f t="shared" si="16"/>
        <v>92379.793304412131</v>
      </c>
      <c r="I38" s="5">
        <f t="shared" si="17"/>
        <v>221718.7796278029</v>
      </c>
      <c r="J38" s="26">
        <f t="shared" si="5"/>
        <v>0.27147929926642506</v>
      </c>
      <c r="L38" s="22">
        <f t="shared" si="18"/>
        <v>288935.34505699988</v>
      </c>
      <c r="M38" s="5">
        <f>scrimecost*Meta!O35</f>
        <v>925.4140000000001</v>
      </c>
      <c r="N38" s="5">
        <f>L38-Grade17!L38</f>
        <v>18872.267324750021</v>
      </c>
      <c r="O38" s="5">
        <f>Grade17!M38-M38</f>
        <v>0</v>
      </c>
      <c r="P38" s="22">
        <f t="shared" si="12"/>
        <v>0</v>
      </c>
      <c r="Q38" s="22"/>
      <c r="R38" s="22"/>
      <c r="S38" s="22">
        <f t="shared" si="6"/>
        <v>8387.6659788811976</v>
      </c>
      <c r="T38" s="22">
        <f t="shared" si="7"/>
        <v>3239.1901562604548</v>
      </c>
    </row>
    <row r="39" spans="1:20" x14ac:dyDescent="0.2">
      <c r="A39" s="5">
        <v>48</v>
      </c>
      <c r="B39" s="1">
        <f t="shared" si="13"/>
        <v>1.8087259495825889</v>
      </c>
      <c r="C39" s="5">
        <f t="shared" si="14"/>
        <v>226908.2488620565</v>
      </c>
      <c r="D39" s="5">
        <f t="shared" si="15"/>
        <v>220569.0013961948</v>
      </c>
      <c r="E39" s="5">
        <f t="shared" si="1"/>
        <v>211069.0013961948</v>
      </c>
      <c r="F39" s="5">
        <f t="shared" si="2"/>
        <v>85476.521120608595</v>
      </c>
      <c r="G39" s="5">
        <f t="shared" si="3"/>
        <v>135092.48027558619</v>
      </c>
      <c r="H39" s="22">
        <f t="shared" si="16"/>
        <v>94689.288137022435</v>
      </c>
      <c r="I39" s="5">
        <f t="shared" si="17"/>
        <v>226941.08976849794</v>
      </c>
      <c r="J39" s="26">
        <f t="shared" si="5"/>
        <v>0.27250721960614288</v>
      </c>
      <c r="L39" s="22">
        <f t="shared" si="18"/>
        <v>296158.72868342488</v>
      </c>
      <c r="M39" s="5">
        <f>scrimecost*Meta!O36</f>
        <v>925.4140000000001</v>
      </c>
      <c r="N39" s="5">
        <f>L39-Grade17!L39</f>
        <v>19344.074007868767</v>
      </c>
      <c r="O39" s="5">
        <f>Grade17!M39-M39</f>
        <v>0</v>
      </c>
      <c r="P39" s="22">
        <f t="shared" si="12"/>
        <v>0</v>
      </c>
      <c r="Q39" s="22"/>
      <c r="R39" s="22"/>
      <c r="S39" s="22">
        <f t="shared" si="6"/>
        <v>8597.3576283532257</v>
      </c>
      <c r="T39" s="22">
        <f t="shared" si="7"/>
        <v>3191.1222902202203</v>
      </c>
    </row>
    <row r="40" spans="1:20" x14ac:dyDescent="0.2">
      <c r="A40" s="5">
        <v>49</v>
      </c>
      <c r="B40" s="1">
        <f t="shared" si="13"/>
        <v>1.8539440983221533</v>
      </c>
      <c r="C40" s="5">
        <f t="shared" si="14"/>
        <v>232580.9550836079</v>
      </c>
      <c r="D40" s="5">
        <f t="shared" si="15"/>
        <v>226071.52643109966</v>
      </c>
      <c r="E40" s="5">
        <f t="shared" si="1"/>
        <v>216571.52643109966</v>
      </c>
      <c r="F40" s="5">
        <f t="shared" si="2"/>
        <v>87922.393498623802</v>
      </c>
      <c r="G40" s="5">
        <f t="shared" si="3"/>
        <v>138149.13293247586</v>
      </c>
      <c r="H40" s="22">
        <f t="shared" si="16"/>
        <v>97056.520340447983</v>
      </c>
      <c r="I40" s="5">
        <f t="shared" si="17"/>
        <v>232293.9576627104</v>
      </c>
      <c r="J40" s="26">
        <f t="shared" si="5"/>
        <v>0.27351006871806283</v>
      </c>
      <c r="L40" s="22">
        <f t="shared" si="18"/>
        <v>303562.6969005104</v>
      </c>
      <c r="M40" s="5">
        <f>scrimecost*Meta!O37</f>
        <v>925.4140000000001</v>
      </c>
      <c r="N40" s="5">
        <f>L40-Grade17!L40</f>
        <v>19827.675858065428</v>
      </c>
      <c r="O40" s="5">
        <f>Grade17!M40-M40</f>
        <v>0</v>
      </c>
      <c r="P40" s="22">
        <f t="shared" si="12"/>
        <v>0</v>
      </c>
      <c r="Q40" s="22"/>
      <c r="R40" s="22"/>
      <c r="S40" s="22">
        <f t="shared" si="6"/>
        <v>8812.2915690620302</v>
      </c>
      <c r="T40" s="22">
        <f t="shared" si="7"/>
        <v>3143.7677258492827</v>
      </c>
    </row>
    <row r="41" spans="1:20" x14ac:dyDescent="0.2">
      <c r="A41" s="5">
        <v>50</v>
      </c>
      <c r="B41" s="1">
        <f t="shared" si="13"/>
        <v>1.9002927007802071</v>
      </c>
      <c r="C41" s="5">
        <f t="shared" si="14"/>
        <v>238395.47896069806</v>
      </c>
      <c r="D41" s="5">
        <f t="shared" si="15"/>
        <v>231711.61459187712</v>
      </c>
      <c r="E41" s="5">
        <f t="shared" si="1"/>
        <v>222211.61459187712</v>
      </c>
      <c r="F41" s="5">
        <f t="shared" si="2"/>
        <v>90429.412686089374</v>
      </c>
      <c r="G41" s="5">
        <f t="shared" si="3"/>
        <v>141282.20190578775</v>
      </c>
      <c r="H41" s="22">
        <f t="shared" si="16"/>
        <v>99482.933348959166</v>
      </c>
      <c r="I41" s="5">
        <f t="shared" si="17"/>
        <v>237780.64725427813</v>
      </c>
      <c r="J41" s="26">
        <f t="shared" si="5"/>
        <v>0.27448845809554567</v>
      </c>
      <c r="L41" s="22">
        <f t="shared" si="18"/>
        <v>311151.76432302315</v>
      </c>
      <c r="M41" s="5">
        <f>scrimecost*Meta!O38</f>
        <v>618.26800000000003</v>
      </c>
      <c r="N41" s="5">
        <f>L41-Grade17!L41</f>
        <v>20323.367754517065</v>
      </c>
      <c r="O41" s="5">
        <f>Grade17!M41-M41</f>
        <v>0</v>
      </c>
      <c r="P41" s="22">
        <f t="shared" si="12"/>
        <v>0</v>
      </c>
      <c r="Q41" s="22"/>
      <c r="R41" s="22"/>
      <c r="S41" s="22">
        <f t="shared" si="6"/>
        <v>9032.5988582885821</v>
      </c>
      <c r="T41" s="22">
        <f t="shared" si="7"/>
        <v>3097.1158781287427</v>
      </c>
    </row>
    <row r="42" spans="1:20" x14ac:dyDescent="0.2">
      <c r="A42" s="5">
        <v>51</v>
      </c>
      <c r="B42" s="1">
        <f t="shared" si="13"/>
        <v>1.9478000182997122</v>
      </c>
      <c r="C42" s="5">
        <f t="shared" si="14"/>
        <v>244355.36593471552</v>
      </c>
      <c r="D42" s="5">
        <f t="shared" si="15"/>
        <v>237492.70495667405</v>
      </c>
      <c r="E42" s="5">
        <f t="shared" si="1"/>
        <v>227992.70495667405</v>
      </c>
      <c r="F42" s="5">
        <f t="shared" si="2"/>
        <v>92999.107353241619</v>
      </c>
      <c r="G42" s="5">
        <f t="shared" si="3"/>
        <v>144493.59760343243</v>
      </c>
      <c r="H42" s="22">
        <f t="shared" si="16"/>
        <v>101970.00668268315</v>
      </c>
      <c r="I42" s="5">
        <f t="shared" si="17"/>
        <v>243404.50408563507</v>
      </c>
      <c r="J42" s="26">
        <f t="shared" si="5"/>
        <v>0.27544298431748016</v>
      </c>
      <c r="L42" s="22">
        <f t="shared" si="18"/>
        <v>318930.55843109876</v>
      </c>
      <c r="M42" s="5">
        <f>scrimecost*Meta!O39</f>
        <v>618.26800000000003</v>
      </c>
      <c r="N42" s="5">
        <f>L42-Grade17!L42</f>
        <v>20831.451948380098</v>
      </c>
      <c r="O42" s="5">
        <f>Grade17!M42-M42</f>
        <v>0</v>
      </c>
      <c r="P42" s="22">
        <f t="shared" si="12"/>
        <v>0</v>
      </c>
      <c r="Q42" s="22"/>
      <c r="R42" s="22"/>
      <c r="S42" s="22">
        <f t="shared" si="6"/>
        <v>9258.413829745843</v>
      </c>
      <c r="T42" s="22">
        <f t="shared" si="7"/>
        <v>3051.1563191157602</v>
      </c>
    </row>
    <row r="43" spans="1:20" x14ac:dyDescent="0.2">
      <c r="A43" s="5">
        <v>52</v>
      </c>
      <c r="B43" s="1">
        <f t="shared" si="13"/>
        <v>1.9964950187572048</v>
      </c>
      <c r="C43" s="5">
        <f t="shared" si="14"/>
        <v>250464.25008308337</v>
      </c>
      <c r="D43" s="5">
        <f t="shared" si="15"/>
        <v>243418.32258059087</v>
      </c>
      <c r="E43" s="5">
        <f t="shared" si="1"/>
        <v>233918.32258059087</v>
      </c>
      <c r="F43" s="5">
        <f t="shared" si="2"/>
        <v>95633.044387072645</v>
      </c>
      <c r="G43" s="5">
        <f t="shared" si="3"/>
        <v>147785.27819351823</v>
      </c>
      <c r="H43" s="22">
        <f t="shared" si="16"/>
        <v>104519.25684975022</v>
      </c>
      <c r="I43" s="5">
        <f t="shared" si="17"/>
        <v>249168.95733777594</v>
      </c>
      <c r="J43" s="26">
        <f t="shared" si="5"/>
        <v>0.27637422941205037</v>
      </c>
      <c r="L43" s="22">
        <f t="shared" si="18"/>
        <v>326903.82239187619</v>
      </c>
      <c r="M43" s="5">
        <f>scrimecost*Meta!O40</f>
        <v>618.26800000000003</v>
      </c>
      <c r="N43" s="5">
        <f>L43-Grade17!L43</f>
        <v>21352.238247089495</v>
      </c>
      <c r="O43" s="5">
        <f>Grade17!M43-M43</f>
        <v>0</v>
      </c>
      <c r="P43" s="22">
        <f t="shared" si="12"/>
        <v>0</v>
      </c>
      <c r="Q43" s="22"/>
      <c r="R43" s="22"/>
      <c r="S43" s="22">
        <f t="shared" si="6"/>
        <v>9489.8741754894436</v>
      </c>
      <c r="T43" s="22">
        <f t="shared" si="7"/>
        <v>3005.8787756125917</v>
      </c>
    </row>
    <row r="44" spans="1:20" x14ac:dyDescent="0.2">
      <c r="A44" s="5">
        <v>53</v>
      </c>
      <c r="B44" s="1">
        <f t="shared" si="13"/>
        <v>2.0464073942261352</v>
      </c>
      <c r="C44" s="5">
        <f t="shared" si="14"/>
        <v>256725.85633516047</v>
      </c>
      <c r="D44" s="5">
        <f t="shared" si="15"/>
        <v>249492.08064510566</v>
      </c>
      <c r="E44" s="5">
        <f t="shared" si="1"/>
        <v>239992.08064510566</v>
      </c>
      <c r="F44" s="5">
        <f t="shared" si="2"/>
        <v>98332.829846749461</v>
      </c>
      <c r="G44" s="5">
        <f t="shared" si="3"/>
        <v>151159.2507983562</v>
      </c>
      <c r="H44" s="22">
        <f t="shared" si="16"/>
        <v>107132.23827099398</v>
      </c>
      <c r="I44" s="5">
        <f t="shared" si="17"/>
        <v>255077.52192122035</v>
      </c>
      <c r="J44" s="26">
        <f t="shared" si="5"/>
        <v>0.27728276121163103</v>
      </c>
      <c r="L44" s="22">
        <f t="shared" si="18"/>
        <v>335076.41795167309</v>
      </c>
      <c r="M44" s="5">
        <f>scrimecost*Meta!O41</f>
        <v>618.26800000000003</v>
      </c>
      <c r="N44" s="5">
        <f>L44-Grade17!L44</f>
        <v>21886.044203266792</v>
      </c>
      <c r="O44" s="5">
        <f>Grade17!M44-M44</f>
        <v>0</v>
      </c>
      <c r="P44" s="22">
        <f t="shared" si="12"/>
        <v>0</v>
      </c>
      <c r="Q44" s="22"/>
      <c r="R44" s="22"/>
      <c r="S44" s="22">
        <f t="shared" si="6"/>
        <v>9727.1210298767055</v>
      </c>
      <c r="T44" s="22">
        <f t="shared" si="7"/>
        <v>2961.2731268704042</v>
      </c>
    </row>
    <row r="45" spans="1:20" x14ac:dyDescent="0.2">
      <c r="A45" s="5">
        <v>54</v>
      </c>
      <c r="B45" s="1">
        <f t="shared" si="13"/>
        <v>2.097567579081788</v>
      </c>
      <c r="C45" s="5">
        <f t="shared" si="14"/>
        <v>263144.0027435394</v>
      </c>
      <c r="D45" s="5">
        <f t="shared" si="15"/>
        <v>255717.68266123321</v>
      </c>
      <c r="E45" s="5">
        <f t="shared" si="1"/>
        <v>246217.68266123321</v>
      </c>
      <c r="F45" s="5">
        <f t="shared" si="2"/>
        <v>101100.10994291816</v>
      </c>
      <c r="G45" s="5">
        <f t="shared" si="3"/>
        <v>154617.57271831506</v>
      </c>
      <c r="H45" s="22">
        <f t="shared" si="16"/>
        <v>109810.54422776881</v>
      </c>
      <c r="I45" s="5">
        <f t="shared" si="17"/>
        <v>261133.8006192508</v>
      </c>
      <c r="J45" s="26">
        <f t="shared" si="5"/>
        <v>0.27816913369902685</v>
      </c>
      <c r="L45" s="22">
        <f t="shared" si="18"/>
        <v>343453.32840046484</v>
      </c>
      <c r="M45" s="5">
        <f>scrimecost*Meta!O42</f>
        <v>618.26800000000003</v>
      </c>
      <c r="N45" s="5">
        <f>L45-Grade17!L45</f>
        <v>22433.19530834828</v>
      </c>
      <c r="O45" s="5">
        <f>Grade17!M45-M45</f>
        <v>0</v>
      </c>
      <c r="P45" s="22">
        <f t="shared" si="12"/>
        <v>0</v>
      </c>
      <c r="Q45" s="22"/>
      <c r="R45" s="22"/>
      <c r="S45" s="22">
        <f t="shared" si="6"/>
        <v>9970.2990556235418</v>
      </c>
      <c r="T45" s="22">
        <f t="shared" si="7"/>
        <v>2917.3294023268109</v>
      </c>
    </row>
    <row r="46" spans="1:20" x14ac:dyDescent="0.2">
      <c r="A46" s="5">
        <v>55</v>
      </c>
      <c r="B46" s="1">
        <f t="shared" si="13"/>
        <v>2.1500067685588333</v>
      </c>
      <c r="C46" s="5">
        <f t="shared" si="14"/>
        <v>269722.60281212803</v>
      </c>
      <c r="D46" s="5">
        <f t="shared" si="15"/>
        <v>262098.92472776418</v>
      </c>
      <c r="E46" s="5">
        <f t="shared" si="1"/>
        <v>252598.92472776418</v>
      </c>
      <c r="F46" s="5">
        <f t="shared" si="2"/>
        <v>103936.57204149118</v>
      </c>
      <c r="G46" s="5">
        <f t="shared" si="3"/>
        <v>158162.35268627299</v>
      </c>
      <c r="H46" s="22">
        <f t="shared" si="16"/>
        <v>112555.80783346306</v>
      </c>
      <c r="I46" s="5">
        <f t="shared" si="17"/>
        <v>267341.48628473212</v>
      </c>
      <c r="J46" s="26">
        <f t="shared" si="5"/>
        <v>0.27903388734526668</v>
      </c>
      <c r="L46" s="22">
        <f t="shared" si="18"/>
        <v>352039.66161047661</v>
      </c>
      <c r="M46" s="5">
        <f>scrimecost*Meta!O43</f>
        <v>342.92999999999995</v>
      </c>
      <c r="N46" s="5">
        <f>L46-Grade17!L46</f>
        <v>22994.025191057241</v>
      </c>
      <c r="O46" s="5">
        <f>Grade17!M46-M46</f>
        <v>0</v>
      </c>
      <c r="P46" s="22">
        <f t="shared" si="12"/>
        <v>0</v>
      </c>
      <c r="Q46" s="22"/>
      <c r="R46" s="22"/>
      <c r="S46" s="22">
        <f t="shared" ref="S46:S69" si="19">IF(A46&lt;startage,1,0)*(N46-Q46-R46)+IF(A46&gt;=startage,1,0)*completionprob*(N46*spart+O46+P46)</f>
        <v>10219.556532014245</v>
      </c>
      <c r="T46" s="22">
        <f t="shared" ref="T46:T69" si="20">S46/sreturn^(A46-startage+1)</f>
        <v>2874.0377793774287</v>
      </c>
    </row>
    <row r="47" spans="1:20" x14ac:dyDescent="0.2">
      <c r="A47" s="5">
        <v>56</v>
      </c>
      <c r="B47" s="1">
        <f t="shared" si="13"/>
        <v>2.2037569377728037</v>
      </c>
      <c r="C47" s="5">
        <f t="shared" si="14"/>
        <v>276465.66788243112</v>
      </c>
      <c r="D47" s="5">
        <f t="shared" si="15"/>
        <v>268639.69784595817</v>
      </c>
      <c r="E47" s="5">
        <f t="shared" si="1"/>
        <v>259139.69784595817</v>
      </c>
      <c r="F47" s="5">
        <f t="shared" si="2"/>
        <v>106843.94569252842</v>
      </c>
      <c r="G47" s="5">
        <f t="shared" si="3"/>
        <v>161795.75215342976</v>
      </c>
      <c r="H47" s="22">
        <f t="shared" si="16"/>
        <v>115369.70302929962</v>
      </c>
      <c r="I47" s="5">
        <f t="shared" si="17"/>
        <v>273704.36409185035</v>
      </c>
      <c r="J47" s="26">
        <f t="shared" si="5"/>
        <v>0.27987754943915921</v>
      </c>
      <c r="L47" s="22">
        <f t="shared" si="18"/>
        <v>360840.65315073845</v>
      </c>
      <c r="M47" s="5">
        <f>scrimecost*Meta!O44</f>
        <v>342.92999999999995</v>
      </c>
      <c r="N47" s="5">
        <f>L47-Grade17!L47</f>
        <v>23568.875820833608</v>
      </c>
      <c r="O47" s="5">
        <f>Grade17!M47-M47</f>
        <v>0</v>
      </c>
      <c r="P47" s="22">
        <f t="shared" si="12"/>
        <v>0</v>
      </c>
      <c r="Q47" s="22"/>
      <c r="R47" s="22"/>
      <c r="S47" s="22">
        <f t="shared" si="19"/>
        <v>10475.045445314572</v>
      </c>
      <c r="T47" s="22">
        <f t="shared" si="20"/>
        <v>2831.3885811799378</v>
      </c>
    </row>
    <row r="48" spans="1:20" x14ac:dyDescent="0.2">
      <c r="A48" s="5">
        <v>57</v>
      </c>
      <c r="B48" s="1">
        <f t="shared" si="13"/>
        <v>2.2588508612171236</v>
      </c>
      <c r="C48" s="5">
        <f t="shared" si="14"/>
        <v>283377.30957949191</v>
      </c>
      <c r="D48" s="5">
        <f t="shared" si="15"/>
        <v>275343.99029210716</v>
      </c>
      <c r="E48" s="5">
        <f t="shared" si="1"/>
        <v>265843.99029210716</v>
      </c>
      <c r="F48" s="5">
        <f t="shared" si="2"/>
        <v>109824.00368484162</v>
      </c>
      <c r="G48" s="5">
        <f t="shared" si="3"/>
        <v>165519.98660726554</v>
      </c>
      <c r="H48" s="22">
        <f t="shared" si="16"/>
        <v>118253.9456050321</v>
      </c>
      <c r="I48" s="5">
        <f t="shared" si="17"/>
        <v>280226.31384414667</v>
      </c>
      <c r="J48" s="26">
        <f t="shared" si="5"/>
        <v>0.28070063440881043</v>
      </c>
      <c r="L48" s="22">
        <f t="shared" si="18"/>
        <v>369861.66947950691</v>
      </c>
      <c r="M48" s="5">
        <f>scrimecost*Meta!O45</f>
        <v>342.92999999999995</v>
      </c>
      <c r="N48" s="5">
        <f>L48-Grade17!L48</f>
        <v>24158.097716354416</v>
      </c>
      <c r="O48" s="5">
        <f>Grade17!M48-M48</f>
        <v>0</v>
      </c>
      <c r="P48" s="22">
        <f t="shared" si="12"/>
        <v>0</v>
      </c>
      <c r="Q48" s="22"/>
      <c r="R48" s="22"/>
      <c r="S48" s="22">
        <f t="shared" si="19"/>
        <v>10736.921581447423</v>
      </c>
      <c r="T48" s="22">
        <f t="shared" si="20"/>
        <v>2789.3722744913734</v>
      </c>
    </row>
    <row r="49" spans="1:20" x14ac:dyDescent="0.2">
      <c r="A49" s="5">
        <v>58</v>
      </c>
      <c r="B49" s="1">
        <f t="shared" si="13"/>
        <v>2.3153221327475517</v>
      </c>
      <c r="C49" s="5">
        <f t="shared" si="14"/>
        <v>290461.74231897917</v>
      </c>
      <c r="D49" s="5">
        <f t="shared" si="15"/>
        <v>282215.89004940976</v>
      </c>
      <c r="E49" s="5">
        <f t="shared" si="1"/>
        <v>272715.89004940976</v>
      </c>
      <c r="F49" s="5">
        <f t="shared" si="2"/>
        <v>112878.56312696265</v>
      </c>
      <c r="G49" s="5">
        <f t="shared" si="3"/>
        <v>169337.32692244713</v>
      </c>
      <c r="H49" s="22">
        <f t="shared" si="16"/>
        <v>121210.2942451579</v>
      </c>
      <c r="I49" s="5">
        <f t="shared" si="17"/>
        <v>286911.3123402503</v>
      </c>
      <c r="J49" s="26">
        <f t="shared" si="5"/>
        <v>0.28150364413529932</v>
      </c>
      <c r="L49" s="22">
        <f t="shared" si="18"/>
        <v>379108.21121649456</v>
      </c>
      <c r="M49" s="5">
        <f>scrimecost*Meta!O46</f>
        <v>342.92999999999995</v>
      </c>
      <c r="N49" s="5">
        <f>L49-Grade17!L49</f>
        <v>24762.050159263308</v>
      </c>
      <c r="O49" s="5">
        <f>Grade17!M49-M49</f>
        <v>0</v>
      </c>
      <c r="P49" s="22">
        <f t="shared" si="12"/>
        <v>0</v>
      </c>
      <c r="Q49" s="22"/>
      <c r="R49" s="22"/>
      <c r="S49" s="22">
        <f t="shared" si="19"/>
        <v>11005.34462098362</v>
      </c>
      <c r="T49" s="22">
        <f t="shared" si="20"/>
        <v>2747.9794675370031</v>
      </c>
    </row>
    <row r="50" spans="1:20" x14ac:dyDescent="0.2">
      <c r="A50" s="5">
        <v>59</v>
      </c>
      <c r="B50" s="1">
        <f t="shared" si="13"/>
        <v>2.3732051860662402</v>
      </c>
      <c r="C50" s="5">
        <f t="shared" si="14"/>
        <v>297723.28587695363</v>
      </c>
      <c r="D50" s="5">
        <f t="shared" si="15"/>
        <v>289259.58730064501</v>
      </c>
      <c r="E50" s="5">
        <f t="shared" si="1"/>
        <v>279759.58730064501</v>
      </c>
      <c r="F50" s="5">
        <f t="shared" si="2"/>
        <v>116009.48655513671</v>
      </c>
      <c r="G50" s="5">
        <f t="shared" si="3"/>
        <v>173250.1007455083</v>
      </c>
      <c r="H50" s="22">
        <f t="shared" si="16"/>
        <v>124240.55160128682</v>
      </c>
      <c r="I50" s="5">
        <f t="shared" si="17"/>
        <v>293763.43579875655</v>
      </c>
      <c r="J50" s="26">
        <f t="shared" si="5"/>
        <v>0.28228706825870331</v>
      </c>
      <c r="L50" s="22">
        <f t="shared" si="18"/>
        <v>388585.91649690684</v>
      </c>
      <c r="M50" s="5">
        <f>scrimecost*Meta!O47</f>
        <v>342.92999999999995</v>
      </c>
      <c r="N50" s="5">
        <f>L50-Grade17!L50</f>
        <v>25381.101413244789</v>
      </c>
      <c r="O50" s="5">
        <f>Grade17!M50-M50</f>
        <v>0</v>
      </c>
      <c r="P50" s="22">
        <f t="shared" si="12"/>
        <v>0</v>
      </c>
      <c r="Q50" s="22"/>
      <c r="R50" s="22"/>
      <c r="S50" s="22">
        <f t="shared" si="19"/>
        <v>11280.478236508166</v>
      </c>
      <c r="T50" s="22">
        <f t="shared" si="20"/>
        <v>2707.2009079110348</v>
      </c>
    </row>
    <row r="51" spans="1:20" x14ac:dyDescent="0.2">
      <c r="A51" s="5">
        <v>60</v>
      </c>
      <c r="B51" s="1">
        <f t="shared" si="13"/>
        <v>2.4325353157178964</v>
      </c>
      <c r="C51" s="5">
        <f t="shared" si="14"/>
        <v>305166.36802387744</v>
      </c>
      <c r="D51" s="5">
        <f t="shared" si="15"/>
        <v>296479.37698316108</v>
      </c>
      <c r="E51" s="5">
        <f t="shared" si="1"/>
        <v>286979.37698316108</v>
      </c>
      <c r="F51" s="5">
        <f t="shared" si="2"/>
        <v>119218.6830690151</v>
      </c>
      <c r="G51" s="5">
        <f t="shared" si="3"/>
        <v>177260.69391414599</v>
      </c>
      <c r="H51" s="22">
        <f t="shared" si="16"/>
        <v>127346.56539131902</v>
      </c>
      <c r="I51" s="5">
        <f t="shared" si="17"/>
        <v>300786.8623437254</v>
      </c>
      <c r="J51" s="26">
        <f t="shared" si="5"/>
        <v>0.28305138447665823</v>
      </c>
      <c r="L51" s="22">
        <f t="shared" si="18"/>
        <v>398300.56440932956</v>
      </c>
      <c r="M51" s="5">
        <f>scrimecost*Meta!O48</f>
        <v>180.90799999999999</v>
      </c>
      <c r="N51" s="5">
        <f>L51-Grade17!L51</f>
        <v>26015.628948575992</v>
      </c>
      <c r="O51" s="5">
        <f>Grade17!M51-M51</f>
        <v>0</v>
      </c>
      <c r="P51" s="22">
        <f t="shared" si="12"/>
        <v>0</v>
      </c>
      <c r="Q51" s="22"/>
      <c r="R51" s="22"/>
      <c r="S51" s="22">
        <f t="shared" si="19"/>
        <v>11562.490192420906</v>
      </c>
      <c r="T51" s="22">
        <f t="shared" si="20"/>
        <v>2667.0274805085287</v>
      </c>
    </row>
    <row r="52" spans="1:20" x14ac:dyDescent="0.2">
      <c r="A52" s="5">
        <v>61</v>
      </c>
      <c r="B52" s="1">
        <f t="shared" si="13"/>
        <v>2.4933486986108435</v>
      </c>
      <c r="C52" s="5">
        <f t="shared" si="14"/>
        <v>312795.52722447441</v>
      </c>
      <c r="D52" s="5">
        <f t="shared" si="15"/>
        <v>303879.66140774015</v>
      </c>
      <c r="E52" s="5">
        <f t="shared" si="1"/>
        <v>294379.66140774015</v>
      </c>
      <c r="F52" s="5">
        <f t="shared" si="2"/>
        <v>122508.1094957405</v>
      </c>
      <c r="G52" s="5">
        <f t="shared" si="3"/>
        <v>181371.55191199965</v>
      </c>
      <c r="H52" s="22">
        <f t="shared" si="16"/>
        <v>130530.22952610198</v>
      </c>
      <c r="I52" s="5">
        <f t="shared" si="17"/>
        <v>307985.87455231859</v>
      </c>
      <c r="J52" s="26">
        <f t="shared" si="5"/>
        <v>0.28379705883563883</v>
      </c>
      <c r="L52" s="22">
        <f t="shared" si="18"/>
        <v>408258.07851956272</v>
      </c>
      <c r="M52" s="5">
        <f>scrimecost*Meta!O49</f>
        <v>180.90799999999999</v>
      </c>
      <c r="N52" s="5">
        <f>L52-Grade17!L52</f>
        <v>26666.019672290422</v>
      </c>
      <c r="O52" s="5">
        <f>Grade17!M52-M52</f>
        <v>0</v>
      </c>
      <c r="P52" s="22">
        <f t="shared" si="12"/>
        <v>0</v>
      </c>
      <c r="Q52" s="22"/>
      <c r="R52" s="22"/>
      <c r="S52" s="22">
        <f t="shared" si="19"/>
        <v>11851.552447231445</v>
      </c>
      <c r="T52" s="22">
        <f t="shared" si="20"/>
        <v>2627.4502054878185</v>
      </c>
    </row>
    <row r="53" spans="1:20" x14ac:dyDescent="0.2">
      <c r="A53" s="5">
        <v>62</v>
      </c>
      <c r="B53" s="1">
        <f t="shared" si="13"/>
        <v>2.555682416076114</v>
      </c>
      <c r="C53" s="5">
        <f t="shared" si="14"/>
        <v>320615.41540508618</v>
      </c>
      <c r="D53" s="5">
        <f t="shared" si="15"/>
        <v>311464.9529429336</v>
      </c>
      <c r="E53" s="5">
        <f t="shared" si="1"/>
        <v>301964.9529429336</v>
      </c>
      <c r="F53" s="5">
        <f t="shared" si="2"/>
        <v>125879.77158313399</v>
      </c>
      <c r="G53" s="5">
        <f t="shared" si="3"/>
        <v>185585.18135979961</v>
      </c>
      <c r="H53" s="22">
        <f t="shared" si="16"/>
        <v>133793.4852642545</v>
      </c>
      <c r="I53" s="5">
        <f t="shared" si="17"/>
        <v>315364.86206612649</v>
      </c>
      <c r="J53" s="26">
        <f t="shared" si="5"/>
        <v>0.284524546015132</v>
      </c>
      <c r="L53" s="22">
        <f t="shared" si="18"/>
        <v>418464.53048255172</v>
      </c>
      <c r="M53" s="5">
        <f>scrimecost*Meta!O50</f>
        <v>180.90799999999999</v>
      </c>
      <c r="N53" s="5">
        <f>L53-Grade17!L53</f>
        <v>27332.670164097566</v>
      </c>
      <c r="O53" s="5">
        <f>Grade17!M53-M53</f>
        <v>0</v>
      </c>
      <c r="P53" s="22">
        <f t="shared" si="12"/>
        <v>0</v>
      </c>
      <c r="Q53" s="22"/>
      <c r="R53" s="22"/>
      <c r="S53" s="22">
        <f t="shared" si="19"/>
        <v>12147.841258412178</v>
      </c>
      <c r="T53" s="22">
        <f t="shared" si="20"/>
        <v>2588.4602362633455</v>
      </c>
    </row>
    <row r="54" spans="1:20" x14ac:dyDescent="0.2">
      <c r="A54" s="5">
        <v>63</v>
      </c>
      <c r="B54" s="1">
        <f t="shared" si="13"/>
        <v>2.6195744764780171</v>
      </c>
      <c r="C54" s="5">
        <f t="shared" si="14"/>
        <v>328630.8007902134</v>
      </c>
      <c r="D54" s="5">
        <f t="shared" si="15"/>
        <v>319239.87676650699</v>
      </c>
      <c r="E54" s="5">
        <f t="shared" si="1"/>
        <v>309739.87676650699</v>
      </c>
      <c r="F54" s="5">
        <f t="shared" si="2"/>
        <v>129335.72522271235</v>
      </c>
      <c r="G54" s="5">
        <f t="shared" si="3"/>
        <v>189904.15154379464</v>
      </c>
      <c r="H54" s="22">
        <f t="shared" si="16"/>
        <v>137138.32239586086</v>
      </c>
      <c r="I54" s="5">
        <f t="shared" si="17"/>
        <v>322928.32426777965</v>
      </c>
      <c r="J54" s="26">
        <f t="shared" si="5"/>
        <v>0.28523428960488145</v>
      </c>
      <c r="L54" s="22">
        <f t="shared" si="18"/>
        <v>428926.14374461555</v>
      </c>
      <c r="M54" s="5">
        <f>scrimecost*Meta!O51</f>
        <v>180.90799999999999</v>
      </c>
      <c r="N54" s="5">
        <f>L54-Grade17!L54</f>
        <v>28015.986918200098</v>
      </c>
      <c r="O54" s="5">
        <f>Grade17!M54-M54</f>
        <v>0</v>
      </c>
      <c r="P54" s="22">
        <f t="shared" si="12"/>
        <v>0</v>
      </c>
      <c r="Q54" s="22"/>
      <c r="R54" s="22"/>
      <c r="S54" s="22">
        <f t="shared" si="19"/>
        <v>12451.537289872524</v>
      </c>
      <c r="T54" s="22">
        <f t="shared" si="20"/>
        <v>2550.0488575282379</v>
      </c>
    </row>
    <row r="55" spans="1:20" x14ac:dyDescent="0.2">
      <c r="A55" s="5">
        <v>64</v>
      </c>
      <c r="B55" s="1">
        <f t="shared" si="13"/>
        <v>2.6850638383899672</v>
      </c>
      <c r="C55" s="5">
        <f t="shared" si="14"/>
        <v>336846.57080996863</v>
      </c>
      <c r="D55" s="5">
        <f t="shared" si="15"/>
        <v>327209.17368566955</v>
      </c>
      <c r="E55" s="5">
        <f t="shared" si="1"/>
        <v>317709.17368566955</v>
      </c>
      <c r="F55" s="5">
        <f t="shared" si="2"/>
        <v>132878.07770328011</v>
      </c>
      <c r="G55" s="5">
        <f t="shared" si="3"/>
        <v>194331.09598238944</v>
      </c>
      <c r="H55" s="22">
        <f t="shared" si="16"/>
        <v>140566.78045575737</v>
      </c>
      <c r="I55" s="5">
        <f t="shared" si="17"/>
        <v>330680.87302447407</v>
      </c>
      <c r="J55" s="26">
        <f t="shared" si="5"/>
        <v>0.28592672237536865</v>
      </c>
      <c r="L55" s="22">
        <f t="shared" si="18"/>
        <v>439649.29733823088</v>
      </c>
      <c r="M55" s="5">
        <f>scrimecost*Meta!O52</f>
        <v>180.90799999999999</v>
      </c>
      <c r="N55" s="5">
        <f>L55-Grade17!L55</f>
        <v>28716.386591155024</v>
      </c>
      <c r="O55" s="5">
        <f>Grade17!M55-M55</f>
        <v>0</v>
      </c>
      <c r="P55" s="22">
        <f t="shared" si="12"/>
        <v>0</v>
      </c>
      <c r="Q55" s="22"/>
      <c r="R55" s="22"/>
      <c r="S55" s="22">
        <f t="shared" si="19"/>
        <v>12762.825722119303</v>
      </c>
      <c r="T55" s="22">
        <f t="shared" si="20"/>
        <v>2512.2074833060924</v>
      </c>
    </row>
    <row r="56" spans="1:20" x14ac:dyDescent="0.2">
      <c r="A56" s="5">
        <v>65</v>
      </c>
      <c r="B56" s="1">
        <f t="shared" si="13"/>
        <v>2.7521904343497163</v>
      </c>
      <c r="C56" s="5">
        <f t="shared" si="14"/>
        <v>345267.73508021788</v>
      </c>
      <c r="D56" s="5">
        <f t="shared" si="15"/>
        <v>335377.70302781137</v>
      </c>
      <c r="E56" s="5">
        <f t="shared" si="1"/>
        <v>325877.70302781137</v>
      </c>
      <c r="F56" s="5">
        <f t="shared" si="2"/>
        <v>136508.98899586216</v>
      </c>
      <c r="G56" s="5">
        <f t="shared" si="3"/>
        <v>198868.7140319492</v>
      </c>
      <c r="H56" s="22">
        <f t="shared" si="16"/>
        <v>144080.9499671513</v>
      </c>
      <c r="I56" s="5">
        <f t="shared" si="17"/>
        <v>338627.23550008598</v>
      </c>
      <c r="J56" s="26">
        <f t="shared" si="5"/>
        <v>0.28660226654169779</v>
      </c>
      <c r="L56" s="22">
        <f t="shared" si="18"/>
        <v>450640.52977168665</v>
      </c>
      <c r="M56" s="5">
        <f>scrimecost*Meta!O53</f>
        <v>54.67</v>
      </c>
      <c r="N56" s="5">
        <f>L56-Grade17!L56</f>
        <v>29434.296255933936</v>
      </c>
      <c r="O56" s="5">
        <f>Grade17!M56-M56</f>
        <v>0</v>
      </c>
      <c r="P56" s="22">
        <f t="shared" si="12"/>
        <v>0</v>
      </c>
      <c r="Q56" s="22"/>
      <c r="R56" s="22"/>
      <c r="S56" s="22">
        <f t="shared" si="19"/>
        <v>13081.896365172301</v>
      </c>
      <c r="T56" s="22">
        <f t="shared" si="20"/>
        <v>2474.9276550319064</v>
      </c>
    </row>
    <row r="57" spans="1:20" x14ac:dyDescent="0.2">
      <c r="A57" s="5">
        <v>66</v>
      </c>
      <c r="C57" s="5"/>
      <c r="H57" s="21"/>
      <c r="I57" s="5"/>
      <c r="M57" s="5">
        <f>scrimecost*Meta!O54</f>
        <v>54.67</v>
      </c>
      <c r="N57" s="5">
        <f>L57-Grade17!L57</f>
        <v>0</v>
      </c>
      <c r="O57" s="5">
        <f>Grade17!M57-M57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54.67</v>
      </c>
      <c r="N58" s="5">
        <f>L58-Grade17!L58</f>
        <v>0</v>
      </c>
      <c r="O58" s="5">
        <f>Grade17!M58-M58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54.67</v>
      </c>
      <c r="N59" s="5">
        <f>L59-Grade17!L59</f>
        <v>0</v>
      </c>
      <c r="O59" s="5">
        <f>Grade17!M59-M59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54.67</v>
      </c>
      <c r="N60" s="5">
        <f>L60-Grade17!L60</f>
        <v>0</v>
      </c>
      <c r="O60" s="5">
        <f>Grade17!M60-M60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54.67</v>
      </c>
      <c r="N61" s="5">
        <f>L61-Grade17!L61</f>
        <v>0</v>
      </c>
      <c r="O61" s="5">
        <f>Grade17!M61-M61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54.67</v>
      </c>
      <c r="N62" s="5">
        <f>L62-Grade17!L62</f>
        <v>0</v>
      </c>
      <c r="O62" s="5">
        <f>Grade17!M62-M62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54.67</v>
      </c>
      <c r="N63" s="5">
        <f>L63-Grade17!L63</f>
        <v>0</v>
      </c>
      <c r="O63" s="5">
        <f>Grade17!M63-M63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54.67</v>
      </c>
      <c r="N64" s="5">
        <f>L64-Grade17!L64</f>
        <v>0</v>
      </c>
      <c r="O64" s="5">
        <f>Grade17!M64-M64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54.67</v>
      </c>
      <c r="N65" s="5">
        <f>L65-Grade17!L65</f>
        <v>0</v>
      </c>
      <c r="O65" s="5">
        <f>Grade17!M65-M65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54.67</v>
      </c>
      <c r="N66" s="5">
        <f>L66-Grade17!L66</f>
        <v>0</v>
      </c>
      <c r="O66" s="5">
        <f>Grade17!M66-M66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54.67</v>
      </c>
      <c r="N67" s="5">
        <f>L67-Grade17!L67</f>
        <v>0</v>
      </c>
      <c r="O67" s="5">
        <f>Grade17!M67-M67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54.67</v>
      </c>
      <c r="N68" s="5">
        <f>L68-Grade17!L68</f>
        <v>0</v>
      </c>
      <c r="O68" s="5">
        <f>Grade17!M68-M68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54.67</v>
      </c>
      <c r="N69" s="5">
        <f>L69-Grade17!L69</f>
        <v>0</v>
      </c>
      <c r="O69" s="5">
        <f>Grade17!M69-M69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-4.7839421313256025E-10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workbookViewId="0">
      <selection activeCell="G1" sqref="G1:G12"/>
    </sheetView>
  </sheetViews>
  <sheetFormatPr defaultRowHeight="12.75" x14ac:dyDescent="0.2"/>
  <cols>
    <col min="1" max="16384" width="9.140625" style="8"/>
  </cols>
  <sheetData>
    <row r="1" spans="1:22" x14ac:dyDescent="0.2">
      <c r="A1" s="18" t="s">
        <v>5</v>
      </c>
      <c r="B1" s="8" t="s">
        <v>8</v>
      </c>
      <c r="D1" s="8" t="s">
        <v>13</v>
      </c>
      <c r="F1" s="8" t="s">
        <v>21</v>
      </c>
      <c r="G1" s="8" t="s">
        <v>34</v>
      </c>
      <c r="K1" s="8" t="s">
        <v>22</v>
      </c>
      <c r="L1" s="8" t="s">
        <v>26</v>
      </c>
      <c r="M1" s="8" t="s">
        <v>30</v>
      </c>
      <c r="N1" s="8" t="s">
        <v>23</v>
      </c>
      <c r="O1" s="8" t="s">
        <v>27</v>
      </c>
      <c r="P1" s="8" t="s">
        <v>31</v>
      </c>
      <c r="Q1" s="8" t="s">
        <v>24</v>
      </c>
      <c r="R1" s="8" t="s">
        <v>28</v>
      </c>
      <c r="S1" s="8" t="s">
        <v>32</v>
      </c>
      <c r="T1" s="8" t="s">
        <v>25</v>
      </c>
      <c r="U1" s="8" t="s">
        <v>29</v>
      </c>
      <c r="V1" s="8" t="s">
        <v>33</v>
      </c>
    </row>
    <row r="2" spans="1:22" x14ac:dyDescent="0.2">
      <c r="A2" s="18">
        <v>8</v>
      </c>
      <c r="B2" s="11">
        <f>Meta!E2</f>
        <v>1</v>
      </c>
    </row>
    <row r="3" spans="1:22" x14ac:dyDescent="0.2">
      <c r="A3" s="18">
        <v>9</v>
      </c>
      <c r="B3" s="11">
        <f>Meta!E3</f>
        <v>0.98</v>
      </c>
      <c r="D3" s="8">
        <f>Grade9!T2</f>
        <v>1.0398083397938833</v>
      </c>
      <c r="F3" s="15">
        <f t="shared" ref="F3:F12" si="0">(D3-1)*100</f>
        <v>3.9808339793883318</v>
      </c>
      <c r="G3" s="15">
        <f>K3*M3+K4*M4+K5*M5+K6*M6</f>
        <v>3.9961997458809466</v>
      </c>
      <c r="H3" s="15"/>
      <c r="I3" s="15"/>
      <c r="K3" s="8">
        <f>1-B3</f>
        <v>2.0000000000000018E-2</v>
      </c>
      <c r="L3" s="8">
        <f>D3</f>
        <v>1.0398083397938833</v>
      </c>
      <c r="M3" s="8">
        <f t="shared" ref="M3:M12" si="1">(L3-1)*100</f>
        <v>3.9808339793883318</v>
      </c>
    </row>
    <row r="4" spans="1:22" x14ac:dyDescent="0.2">
      <c r="A4" s="18">
        <v>10</v>
      </c>
      <c r="B4" s="11">
        <f>Meta!E4</f>
        <v>0.98</v>
      </c>
      <c r="D4" s="8">
        <f>Grade10!T2</f>
        <v>1.0404151930928205</v>
      </c>
      <c r="F4" s="15">
        <f t="shared" si="0"/>
        <v>4.0415193092820489</v>
      </c>
      <c r="G4" s="15">
        <f>N4*P4+N5*P5+N6*P6</f>
        <v>4.0021583292651872</v>
      </c>
      <c r="H4" s="15"/>
      <c r="I4" s="15"/>
      <c r="K4" s="8">
        <f>B3*(1-B4)</f>
        <v>1.9600000000000017E-2</v>
      </c>
      <c r="L4" s="8">
        <f>(D3*D4)^0.5</f>
        <v>1.0401117221847749</v>
      </c>
      <c r="M4" s="8">
        <f t="shared" si="1"/>
        <v>4.0111722184774878</v>
      </c>
      <c r="N4" s="8">
        <f>1-B4</f>
        <v>2.0000000000000018E-2</v>
      </c>
      <c r="O4" s="8">
        <f>D4</f>
        <v>1.0404151930928205</v>
      </c>
      <c r="P4" s="8">
        <f>(O4-1)*100</f>
        <v>4.0415193092820489</v>
      </c>
    </row>
    <row r="5" spans="1:22" x14ac:dyDescent="0.2">
      <c r="A5" s="18">
        <v>11</v>
      </c>
      <c r="B5" s="11">
        <f>Meta!E5</f>
        <v>0.98</v>
      </c>
      <c r="D5" s="8">
        <f>Grade11!T2</f>
        <v>1.0393244390511744</v>
      </c>
      <c r="F5" s="15">
        <f t="shared" si="0"/>
        <v>3.9324439051174442</v>
      </c>
      <c r="G5" s="15">
        <f>Q5*S5+Q6*S6</f>
        <v>3.9807335787770053</v>
      </c>
      <c r="H5" s="15"/>
      <c r="I5" s="15"/>
      <c r="K5" s="8">
        <f>B3*B4*(1-B5)</f>
        <v>1.9208000000000017E-2</v>
      </c>
      <c r="L5" s="8">
        <f>(D3*D4*D5)^(1/3)</f>
        <v>1.0398492282333078</v>
      </c>
      <c r="M5" s="8">
        <f t="shared" si="1"/>
        <v>3.9849228233307832</v>
      </c>
      <c r="N5" s="8">
        <f>B4*(1-B5)</f>
        <v>1.9600000000000017E-2</v>
      </c>
      <c r="O5" s="8">
        <f>(D4*D5)^0.5</f>
        <v>1.0398696730559629</v>
      </c>
      <c r="P5" s="8">
        <f>(O5-1)*100</f>
        <v>3.9869673055962895</v>
      </c>
      <c r="Q5" s="8">
        <f>1-B5</f>
        <v>2.0000000000000018E-2</v>
      </c>
      <c r="R5" s="8">
        <f>D5</f>
        <v>1.0393244390511744</v>
      </c>
      <c r="S5" s="8">
        <f>(R5-1)*100</f>
        <v>3.9324439051174442</v>
      </c>
    </row>
    <row r="6" spans="1:22" x14ac:dyDescent="0.2">
      <c r="A6" s="18">
        <v>12</v>
      </c>
      <c r="B6" s="11">
        <f>Meta!E6</f>
        <v>0.98</v>
      </c>
      <c r="D6" s="8">
        <f>Grade12!T2</f>
        <v>1.0403101762126814</v>
      </c>
      <c r="F6" s="15">
        <f t="shared" si="0"/>
        <v>4.0310176212681403</v>
      </c>
      <c r="G6" s="15">
        <f>T6*V6</f>
        <v>4.0310176212681403</v>
      </c>
      <c r="H6" s="15"/>
      <c r="I6" s="15"/>
      <c r="K6" s="8">
        <f>B3*B4*B5</f>
        <v>0.94119199999999992</v>
      </c>
      <c r="L6" s="8">
        <f>(D3*D4*D5*D6)^0.25</f>
        <v>1.0399644460771074</v>
      </c>
      <c r="M6" s="8">
        <f t="shared" si="1"/>
        <v>3.9964446077107363</v>
      </c>
      <c r="N6" s="8">
        <f>B4*B5</f>
        <v>0.96039999999999992</v>
      </c>
      <c r="O6" s="8">
        <f>(D4*D5*D6)^(1/3)</f>
        <v>1.0400164867127224</v>
      </c>
      <c r="P6" s="8">
        <f>(O6-1)*100</f>
        <v>4.0016486712722399</v>
      </c>
      <c r="Q6" s="8">
        <f>B5</f>
        <v>0.98</v>
      </c>
      <c r="R6" s="8">
        <f>(D5*D6)^0.5</f>
        <v>1.0398171908232108</v>
      </c>
      <c r="S6" s="8">
        <f>(R6-1)*100</f>
        <v>3.981719082321078</v>
      </c>
      <c r="T6" s="8">
        <v>1</v>
      </c>
      <c r="U6" s="8">
        <f>D6</f>
        <v>1.0403101762126814</v>
      </c>
      <c r="V6" s="8">
        <f>(U6-1)*100</f>
        <v>4.0310176212681403</v>
      </c>
    </row>
    <row r="7" spans="1:22" x14ac:dyDescent="0.2">
      <c r="A7" s="18">
        <v>13</v>
      </c>
      <c r="B7" s="11">
        <f>Meta!E7</f>
        <v>0.81200000000000006</v>
      </c>
      <c r="D7" s="8">
        <f>Grade13!T2</f>
        <v>1.0409558115823683</v>
      </c>
      <c r="F7" s="15">
        <f t="shared" si="0"/>
        <v>4.0955811582368273</v>
      </c>
      <c r="G7" s="15">
        <f>K7*M7+K8*M8+K9*M9+K10*M10</f>
        <v>4.0139126887980643</v>
      </c>
      <c r="H7" s="15"/>
      <c r="I7" s="15"/>
      <c r="K7" s="8">
        <f>1-B7</f>
        <v>0.18799999999999994</v>
      </c>
      <c r="L7" s="8">
        <f>D7</f>
        <v>1.0409558115823683</v>
      </c>
      <c r="M7" s="8">
        <f t="shared" si="1"/>
        <v>4.0955811582368273</v>
      </c>
    </row>
    <row r="8" spans="1:22" x14ac:dyDescent="0.2">
      <c r="A8" s="18">
        <v>14</v>
      </c>
      <c r="B8" s="11">
        <f>Meta!E8</f>
        <v>0.81200000000000006</v>
      </c>
      <c r="D8" s="8">
        <f>Grade14!T2</f>
        <v>1.0395611869335188</v>
      </c>
      <c r="F8" s="15">
        <f t="shared" si="0"/>
        <v>3.9561186933518844</v>
      </c>
      <c r="G8" s="15">
        <f>N8*P8+N9*P9+N10*P10</f>
        <v>3.9507028672597539</v>
      </c>
      <c r="H8" s="15"/>
      <c r="I8" s="15"/>
      <c r="K8" s="8">
        <f>B7*(1-B8)</f>
        <v>0.15265599999999996</v>
      </c>
      <c r="L8" s="8">
        <f>(D7*D8)^0.5</f>
        <v>1.0402582655446249</v>
      </c>
      <c r="M8" s="8">
        <f t="shared" si="1"/>
        <v>4.0258265544624861</v>
      </c>
      <c r="N8" s="8">
        <f>1-B8</f>
        <v>0.18799999999999994</v>
      </c>
      <c r="O8" s="8">
        <f>D8</f>
        <v>1.0395611869335188</v>
      </c>
      <c r="P8" s="8">
        <f>(O8-1)*100</f>
        <v>3.9561186933518844</v>
      </c>
    </row>
    <row r="9" spans="1:22" x14ac:dyDescent="0.2">
      <c r="A9" s="18">
        <v>15</v>
      </c>
      <c r="B9" s="11">
        <f>Meta!E9</f>
        <v>0.81200000000000006</v>
      </c>
      <c r="D9" s="8">
        <f>Grade15!T2</f>
        <v>1.0399174704696361</v>
      </c>
      <c r="F9" s="15">
        <f t="shared" si="0"/>
        <v>3.9917470469636118</v>
      </c>
      <c r="G9" s="15">
        <f>Q9*S9+Q10*S10</f>
        <v>3.9477894973790333</v>
      </c>
      <c r="H9" s="15"/>
      <c r="I9" s="15"/>
      <c r="K9" s="8">
        <f>B7*B8*(1-B9)</f>
        <v>0.12395667199999998</v>
      </c>
      <c r="L9" s="8">
        <f>(D7*D8*D9)^(1/3)</f>
        <v>1.0401446547788609</v>
      </c>
      <c r="M9" s="8">
        <f t="shared" si="1"/>
        <v>4.0144654778860867</v>
      </c>
      <c r="N9" s="8">
        <f>B8*(1-B9)</f>
        <v>0.15265599999999996</v>
      </c>
      <c r="O9" s="8">
        <f>(D8*D9)^0.5</f>
        <v>1.0397393134407862</v>
      </c>
      <c r="P9" s="8">
        <f>(O9-1)*100</f>
        <v>3.9739313440786184</v>
      </c>
      <c r="Q9" s="8">
        <f>1-B9</f>
        <v>0.18799999999999994</v>
      </c>
      <c r="R9" s="8">
        <f>D9</f>
        <v>1.0399174704696361</v>
      </c>
      <c r="S9" s="8">
        <f>(R9-1)*100</f>
        <v>3.9917470469636118</v>
      </c>
    </row>
    <row r="10" spans="1:22" x14ac:dyDescent="0.2">
      <c r="A10" s="18">
        <v>16</v>
      </c>
      <c r="B10" s="11">
        <f>Meta!E10</f>
        <v>0.81200000000000006</v>
      </c>
      <c r="D10" s="8">
        <f>Grade16!T2</f>
        <v>1.0388350540137572</v>
      </c>
      <c r="F10" s="15">
        <f t="shared" si="0"/>
        <v>3.8835054013757198</v>
      </c>
      <c r="G10" s="15">
        <f>T10*V10</f>
        <v>3.8835054013757198</v>
      </c>
      <c r="H10" s="15"/>
      <c r="I10" s="15"/>
      <c r="K10" s="8">
        <f>B7*B8*B9</f>
        <v>0.53538732800000011</v>
      </c>
      <c r="L10" s="8">
        <f>(D7*D8*D9*D10)^0.25</f>
        <v>1.0398170998932172</v>
      </c>
      <c r="M10" s="8">
        <f t="shared" si="1"/>
        <v>3.9817099893217245</v>
      </c>
      <c r="N10" s="8">
        <f>B8*B9</f>
        <v>0.65934400000000004</v>
      </c>
      <c r="O10" s="8">
        <f>(D8*D9*D10)^(1/3)</f>
        <v>1.0394378062081089</v>
      </c>
      <c r="P10" s="8">
        <f>(O10-1)*100</f>
        <v>3.9437806208108883</v>
      </c>
      <c r="Q10" s="8">
        <f>B9</f>
        <v>0.81200000000000006</v>
      </c>
      <c r="R10" s="8">
        <f>(D9*D10)^0.5</f>
        <v>1.0393761213368211</v>
      </c>
      <c r="S10" s="8">
        <f>(R10-1)*100</f>
        <v>3.9376121336821113</v>
      </c>
      <c r="T10" s="8">
        <v>1</v>
      </c>
      <c r="U10" s="8">
        <f>D10</f>
        <v>1.0388350540137572</v>
      </c>
      <c r="V10" s="8">
        <f>(U10-1)*100</f>
        <v>3.8835054013757198</v>
      </c>
    </row>
    <row r="11" spans="1:22" x14ac:dyDescent="0.2">
      <c r="A11" s="18">
        <v>17</v>
      </c>
      <c r="B11" s="11">
        <f>Meta!E11</f>
        <v>0.57199999999999995</v>
      </c>
      <c r="D11" s="8">
        <f>Grade17!T2</f>
        <v>1.0402123199553839</v>
      </c>
      <c r="F11" s="15">
        <f t="shared" si="0"/>
        <v>4.0212319955383879</v>
      </c>
      <c r="G11" s="15">
        <f>K11*M11+K12*M12</f>
        <v>4.0277310520391003</v>
      </c>
      <c r="H11" s="15"/>
      <c r="I11" s="15"/>
      <c r="K11" s="8">
        <f>1-B11</f>
        <v>0.42800000000000005</v>
      </c>
      <c r="L11" s="8">
        <f>D11</f>
        <v>1.0402123199553839</v>
      </c>
      <c r="M11" s="8">
        <f t="shared" si="1"/>
        <v>4.0212319955383879</v>
      </c>
    </row>
    <row r="12" spans="1:22" x14ac:dyDescent="0.2">
      <c r="A12" s="18">
        <v>18</v>
      </c>
      <c r="B12" s="11">
        <f>Meta!E12</f>
        <v>0.57199999999999995</v>
      </c>
      <c r="D12" s="8">
        <f>Grade18!T2</f>
        <v>1.0404395721035937</v>
      </c>
      <c r="F12" s="15">
        <f t="shared" si="0"/>
        <v>4.0439572103593724</v>
      </c>
      <c r="G12" s="15">
        <f>N12*P12</f>
        <v>4.0439572103593724</v>
      </c>
      <c r="H12" s="15"/>
      <c r="I12" s="15"/>
      <c r="K12" s="8">
        <f>B11</f>
        <v>0.57199999999999995</v>
      </c>
      <c r="L12" s="8">
        <f>(D11*D12)^0.5</f>
        <v>1.0403259398242775</v>
      </c>
      <c r="M12" s="8">
        <f t="shared" si="1"/>
        <v>4.0325939824277457</v>
      </c>
      <c r="N12" s="8">
        <v>1</v>
      </c>
      <c r="O12" s="8">
        <f>D12</f>
        <v>1.0404395721035937</v>
      </c>
      <c r="P12" s="8">
        <f>(O12-1)*100</f>
        <v>4.0439572103593724</v>
      </c>
    </row>
    <row r="14" spans="1:22" x14ac:dyDescent="0.2">
      <c r="B14" s="16"/>
    </row>
    <row r="15" spans="1:22" x14ac:dyDescent="0.2">
      <c r="B15" s="16"/>
    </row>
    <row r="16" spans="1:22" x14ac:dyDescent="0.2">
      <c r="B16" s="16"/>
    </row>
    <row r="17" spans="2:4" x14ac:dyDescent="0.2">
      <c r="B17" s="16"/>
    </row>
    <row r="18" spans="2:4" x14ac:dyDescent="0.2">
      <c r="B18" s="16"/>
    </row>
    <row r="19" spans="2:4" x14ac:dyDescent="0.2">
      <c r="B19" s="16"/>
      <c r="D19" s="30"/>
    </row>
    <row r="20" spans="2:4" x14ac:dyDescent="0.2">
      <c r="B20" s="16"/>
    </row>
    <row r="21" spans="2:4" x14ac:dyDescent="0.2">
      <c r="B21" s="16"/>
    </row>
    <row r="22" spans="2:4" x14ac:dyDescent="0.2">
      <c r="B22" s="16"/>
    </row>
    <row r="23" spans="2:4" x14ac:dyDescent="0.2">
      <c r="B23" s="16"/>
    </row>
    <row r="24" spans="2:4" x14ac:dyDescent="0.2">
      <c r="B24" s="16"/>
    </row>
    <row r="25" spans="2:4" x14ac:dyDescent="0.2">
      <c r="B25" s="16"/>
    </row>
    <row r="26" spans="2:4" x14ac:dyDescent="0.2">
      <c r="B26" s="16"/>
    </row>
    <row r="27" spans="2:4" x14ac:dyDescent="0.2">
      <c r="B27" s="2"/>
    </row>
    <row r="28" spans="2:4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>
      <selection activeCell="R2" sqref="R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8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</row>
    <row r="2" spans="1:18" x14ac:dyDescent="0.2">
      <c r="B2" s="5">
        <f>Meta!A2+6</f>
        <v>14</v>
      </c>
      <c r="C2" s="7">
        <f>Meta!B2</f>
        <v>81819</v>
      </c>
      <c r="D2" s="7">
        <f>Meta!C2</f>
        <v>36875</v>
      </c>
      <c r="E2" s="1">
        <f>Meta!D2</f>
        <v>6.3E-2</v>
      </c>
      <c r="F2" s="1">
        <f>Meta!F2</f>
        <v>0.60199999999999998</v>
      </c>
      <c r="G2" s="1">
        <f>Meta!I2</f>
        <v>2.0085479604911836</v>
      </c>
      <c r="H2" s="1">
        <f>Meta!E2</f>
        <v>1</v>
      </c>
      <c r="I2" s="13"/>
      <c r="K2" s="1">
        <f>Meta!D2</f>
        <v>6.3E-2</v>
      </c>
      <c r="L2" s="13"/>
      <c r="N2" s="22">
        <f>Meta!T2</f>
        <v>117810</v>
      </c>
      <c r="O2" s="22">
        <f>Meta!U2</f>
        <v>51625</v>
      </c>
      <c r="P2" s="1">
        <f>Meta!V2</f>
        <v>3.9E-2</v>
      </c>
      <c r="Q2" s="1">
        <f>Meta!X2</f>
        <v>0.72799999999999998</v>
      </c>
      <c r="R2" s="22">
        <f>Meta!W2</f>
        <v>1113</v>
      </c>
    </row>
    <row r="3" spans="1:18" ht="14.25" x14ac:dyDescent="0.2">
      <c r="C3" s="3"/>
      <c r="G3" s="4"/>
      <c r="L3" s="1" t="s">
        <v>10</v>
      </c>
    </row>
    <row r="4" spans="1:18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</row>
    <row r="5" spans="1:18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40735.39771487032</v>
      </c>
      <c r="D5" s="5">
        <f>IF(A5&lt;startage,1,0)*(C5*(1-initialunempprob))+IF(A5=startage,1,0)*(C5*(1-unempprob))+IF(A5&gt;startage,1,0)*(C5*(1-unempprob)+unempprob*300*52)</f>
        <v>38169.06765883349</v>
      </c>
      <c r="E5" s="5">
        <f>IF(D5-9500&gt;0,1,0)*(D5-9500)</f>
        <v>28669.06765883349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9662.2005906091345</v>
      </c>
      <c r="G5" s="5">
        <f>D5-F5</f>
        <v>28506.867068224354</v>
      </c>
      <c r="H5" s="22">
        <f t="shared" ref="H5:H36" si="1">benefits*B5/expnorm</f>
        <v>18359.03385198845</v>
      </c>
      <c r="I5" s="5">
        <f>G5+IF(A5&lt;startage,1,0)*(H5*(1-initialunempprob))+IF(A5&gt;=startage,1,0)*(H5*(1-unempprob))</f>
        <v>45709.281787537533</v>
      </c>
      <c r="J5" s="26">
        <f t="shared" ref="J5:J36" si="2">(F5-(IF(A5&gt;startage,1,0)*(unempprob*300*52)))/(IF(A5&lt;startage,1,0)*((C5+H5)*(1-initialunempprob))+IF(A5&gt;=startage,1,0)*((C5+H5)*(1-unempprob)))</f>
        <v>0.17449777711608624</v>
      </c>
      <c r="L5" s="22">
        <f t="shared" ref="L5:L36" si="3">(sincome+sbenefits)*(1-sunemp)*B5/expnorm</f>
        <v>81067.038578546664</v>
      </c>
      <c r="M5" s="5">
        <f>scrimecost*Meta!O2</f>
        <v>1217.6220000000001</v>
      </c>
      <c r="N5" s="22"/>
    </row>
    <row r="6" spans="1:18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41753.782657742071</v>
      </c>
      <c r="D6" s="5">
        <f t="shared" ref="D6:D36" si="5">IF(A6&lt;startage,1,0)*(C6*(1-initialunempprob))+IF(A6=startage,1,0)*(C6*(1-unempprob))+IF(A6&gt;startage,1,0)*(C6*(1-unempprob)+unempprob*300*52)</f>
        <v>40106.094350304324</v>
      </c>
      <c r="E6" s="5">
        <f t="shared" ref="E6:E56" si="6">IF(D6-9500&gt;0,1,0)*(D6-9500)</f>
        <v>30606.094350304324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10294.639805374361</v>
      </c>
      <c r="G6" s="5">
        <f t="shared" ref="G6:G56" si="8">D6-F6</f>
        <v>29811.454544929962</v>
      </c>
      <c r="H6" s="22">
        <f t="shared" si="1"/>
        <v>18818.009698288162</v>
      </c>
      <c r="I6" s="5">
        <f t="shared" ref="I6:I36" si="9">G6+IF(A6&lt;startage,1,0)*(H6*(1-initialunempprob))+IF(A6&gt;=startage,1,0)*(H6*(1-unempprob))</f>
        <v>47443.929632225976</v>
      </c>
      <c r="J6" s="26">
        <f t="shared" si="2"/>
        <v>0.16406860302743653</v>
      </c>
      <c r="L6" s="22">
        <f t="shared" si="3"/>
        <v>83093.714543010326</v>
      </c>
      <c r="M6" s="5">
        <f>scrimecost*Meta!O3</f>
        <v>2065.7280000000001</v>
      </c>
      <c r="N6" s="22"/>
    </row>
    <row r="7" spans="1:18" x14ac:dyDescent="0.2">
      <c r="A7" s="5">
        <v>16</v>
      </c>
      <c r="B7" s="1">
        <f t="shared" si="0"/>
        <v>1.0506249999999999</v>
      </c>
      <c r="C7" s="5">
        <f t="shared" si="4"/>
        <v>42797.627224185628</v>
      </c>
      <c r="D7" s="5">
        <f t="shared" si="5"/>
        <v>41084.17670906194</v>
      </c>
      <c r="E7" s="5">
        <f t="shared" si="6"/>
        <v>31584.17670906194</v>
      </c>
      <c r="F7" s="5">
        <f t="shared" si="7"/>
        <v>10613.983695508723</v>
      </c>
      <c r="G7" s="5">
        <f t="shared" si="8"/>
        <v>30470.193013553217</v>
      </c>
      <c r="H7" s="22">
        <f t="shared" si="1"/>
        <v>19288.459940745364</v>
      </c>
      <c r="I7" s="5">
        <f t="shared" si="9"/>
        <v>48543.479978031624</v>
      </c>
      <c r="J7" s="26">
        <f t="shared" si="2"/>
        <v>0.16555632791546823</v>
      </c>
      <c r="L7" s="22">
        <f t="shared" si="3"/>
        <v>85171.057406585591</v>
      </c>
      <c r="M7" s="5">
        <f>scrimecost*Meta!O4</f>
        <v>2613.3240000000001</v>
      </c>
      <c r="N7" s="22"/>
    </row>
    <row r="8" spans="1:18" x14ac:dyDescent="0.2">
      <c r="A8" s="5">
        <v>17</v>
      </c>
      <c r="B8" s="1">
        <f t="shared" si="0"/>
        <v>1.0768906249999999</v>
      </c>
      <c r="C8" s="5">
        <f t="shared" si="4"/>
        <v>43867.567904790267</v>
      </c>
      <c r="D8" s="5">
        <f t="shared" si="5"/>
        <v>42086.711126788483</v>
      </c>
      <c r="E8" s="5">
        <f t="shared" si="6"/>
        <v>32586.711126788483</v>
      </c>
      <c r="F8" s="5">
        <f t="shared" si="7"/>
        <v>10941.311182896439</v>
      </c>
      <c r="G8" s="5">
        <f t="shared" si="8"/>
        <v>31145.399943892044</v>
      </c>
      <c r="H8" s="22">
        <f t="shared" si="1"/>
        <v>19770.671439263995</v>
      </c>
      <c r="I8" s="5">
        <f t="shared" si="9"/>
        <v>49670.519082482409</v>
      </c>
      <c r="J8" s="26">
        <f t="shared" si="2"/>
        <v>0.1670077668306211</v>
      </c>
      <c r="L8" s="22">
        <f t="shared" si="3"/>
        <v>87300.333841750224</v>
      </c>
      <c r="M8" s="5">
        <f>scrimecost*Meta!O5</f>
        <v>3018.4560000000001</v>
      </c>
      <c r="N8" s="22"/>
    </row>
    <row r="9" spans="1:18" x14ac:dyDescent="0.2">
      <c r="A9" s="5">
        <v>18</v>
      </c>
      <c r="B9" s="1">
        <f t="shared" si="0"/>
        <v>1.1038128906249998</v>
      </c>
      <c r="C9" s="5">
        <f t="shared" si="4"/>
        <v>44964.257102410018</v>
      </c>
      <c r="D9" s="5">
        <f t="shared" si="5"/>
        <v>43114.30890495819</v>
      </c>
      <c r="E9" s="5">
        <f t="shared" si="6"/>
        <v>33614.30890495819</v>
      </c>
      <c r="F9" s="5">
        <f t="shared" si="7"/>
        <v>11276.821857468849</v>
      </c>
      <c r="G9" s="5">
        <f t="shared" si="8"/>
        <v>31837.48704748934</v>
      </c>
      <c r="H9" s="22">
        <f t="shared" si="1"/>
        <v>20264.938225245598</v>
      </c>
      <c r="I9" s="5">
        <f t="shared" si="9"/>
        <v>50825.734164544469</v>
      </c>
      <c r="J9" s="26">
        <f t="shared" si="2"/>
        <v>0.16842380479662392</v>
      </c>
      <c r="L9" s="22">
        <f t="shared" si="3"/>
        <v>89482.842187793969</v>
      </c>
      <c r="M9" s="5">
        <f>scrimecost*Meta!O6</f>
        <v>3668.4479999999999</v>
      </c>
      <c r="N9" s="22"/>
    </row>
    <row r="10" spans="1:18" x14ac:dyDescent="0.2">
      <c r="A10" s="5">
        <v>19</v>
      </c>
      <c r="B10" s="1">
        <f t="shared" si="0"/>
        <v>1.1314082128906247</v>
      </c>
      <c r="C10" s="5">
        <f t="shared" si="4"/>
        <v>46088.363529970266</v>
      </c>
      <c r="D10" s="5">
        <f t="shared" si="5"/>
        <v>44167.596627582141</v>
      </c>
      <c r="E10" s="5">
        <f t="shared" si="6"/>
        <v>34667.596627582141</v>
      </c>
      <c r="F10" s="5">
        <f t="shared" si="7"/>
        <v>11637.479961663783</v>
      </c>
      <c r="G10" s="5">
        <f t="shared" si="8"/>
        <v>32530.116665918358</v>
      </c>
      <c r="H10" s="22">
        <f t="shared" si="1"/>
        <v>20771.561680876734</v>
      </c>
      <c r="I10" s="5">
        <f t="shared" si="9"/>
        <v>51993.069960899855</v>
      </c>
      <c r="J10" s="26">
        <f t="shared" si="2"/>
        <v>0.17007282743328539</v>
      </c>
      <c r="L10" s="22">
        <f t="shared" si="3"/>
        <v>91719.913242488808</v>
      </c>
      <c r="M10" s="5">
        <f>scrimecost*Meta!O7</f>
        <v>3921.0990000000002</v>
      </c>
      <c r="N10" s="22"/>
    </row>
    <row r="11" spans="1:18" x14ac:dyDescent="0.2">
      <c r="A11" s="5">
        <v>20</v>
      </c>
      <c r="B11" s="1">
        <f t="shared" si="0"/>
        <v>1.1596934182128902</v>
      </c>
      <c r="C11" s="5">
        <f t="shared" si="4"/>
        <v>47240.572618219514</v>
      </c>
      <c r="D11" s="5">
        <f t="shared" si="5"/>
        <v>45247.216543271687</v>
      </c>
      <c r="E11" s="5">
        <f t="shared" si="6"/>
        <v>35747.216543271687</v>
      </c>
      <c r="F11" s="5">
        <f t="shared" si="7"/>
        <v>12097.937855705373</v>
      </c>
      <c r="G11" s="5">
        <f t="shared" si="8"/>
        <v>33149.278687566315</v>
      </c>
      <c r="H11" s="22">
        <f t="shared" si="1"/>
        <v>21290.850722898653</v>
      </c>
      <c r="I11" s="5">
        <f t="shared" si="9"/>
        <v>53098.805814922351</v>
      </c>
      <c r="J11" s="26">
        <f t="shared" si="2"/>
        <v>0.17309539362226681</v>
      </c>
      <c r="L11" s="22">
        <f t="shared" si="3"/>
        <v>94012.911073551033</v>
      </c>
      <c r="M11" s="5">
        <f>scrimecost*Meta!O8</f>
        <v>3755.2620000000002</v>
      </c>
      <c r="N11" s="22"/>
    </row>
    <row r="12" spans="1:18" x14ac:dyDescent="0.2">
      <c r="A12" s="5">
        <v>21</v>
      </c>
      <c r="B12" s="1">
        <f t="shared" si="0"/>
        <v>1.1886857536682125</v>
      </c>
      <c r="C12" s="5">
        <f t="shared" si="4"/>
        <v>48421.586933675004</v>
      </c>
      <c r="D12" s="5">
        <f t="shared" si="5"/>
        <v>46353.826956853482</v>
      </c>
      <c r="E12" s="5">
        <f t="shared" si="6"/>
        <v>36853.826956853482</v>
      </c>
      <c r="F12" s="5">
        <f t="shared" si="7"/>
        <v>12569.907197098009</v>
      </c>
      <c r="G12" s="5">
        <f t="shared" si="8"/>
        <v>33783.919759755474</v>
      </c>
      <c r="H12" s="22">
        <f t="shared" si="1"/>
        <v>21823.121990971118</v>
      </c>
      <c r="I12" s="5">
        <f t="shared" si="9"/>
        <v>54232.185065295416</v>
      </c>
      <c r="J12" s="26">
        <f t="shared" si="2"/>
        <v>0.17604423868468774</v>
      </c>
      <c r="L12" s="22">
        <f t="shared" si="3"/>
        <v>96363.233850389806</v>
      </c>
      <c r="M12" s="5">
        <f>scrimecost*Meta!O9</f>
        <v>3410.232</v>
      </c>
      <c r="N12" s="22"/>
    </row>
    <row r="13" spans="1:18" x14ac:dyDescent="0.2">
      <c r="A13" s="5">
        <v>22</v>
      </c>
      <c r="B13" s="1">
        <f t="shared" si="0"/>
        <v>1.2184028975099177</v>
      </c>
      <c r="C13" s="5">
        <f t="shared" si="4"/>
        <v>49632.126607016879</v>
      </c>
      <c r="D13" s="5">
        <f t="shared" si="5"/>
        <v>47488.102630774818</v>
      </c>
      <c r="E13" s="5">
        <f t="shared" si="6"/>
        <v>37988.102630774818</v>
      </c>
      <c r="F13" s="5">
        <f t="shared" si="7"/>
        <v>13053.675772025461</v>
      </c>
      <c r="G13" s="5">
        <f t="shared" si="8"/>
        <v>34434.426858749357</v>
      </c>
      <c r="H13" s="22">
        <f t="shared" si="1"/>
        <v>22368.700040745392</v>
      </c>
      <c r="I13" s="5">
        <f t="shared" si="9"/>
        <v>55393.898796927795</v>
      </c>
      <c r="J13" s="26">
        <f t="shared" si="2"/>
        <v>0.1789211606968058</v>
      </c>
      <c r="L13" s="22">
        <f t="shared" si="3"/>
        <v>98772.314696649541</v>
      </c>
      <c r="M13" s="5">
        <f>scrimecost*Meta!O10</f>
        <v>3125.3039999999996</v>
      </c>
      <c r="N13" s="22"/>
    </row>
    <row r="14" spans="1:18" x14ac:dyDescent="0.2">
      <c r="A14" s="5">
        <v>23</v>
      </c>
      <c r="B14" s="1">
        <f t="shared" si="0"/>
        <v>1.2488629699476654</v>
      </c>
      <c r="C14" s="5">
        <f t="shared" si="4"/>
        <v>50872.929772192285</v>
      </c>
      <c r="D14" s="5">
        <f t="shared" si="5"/>
        <v>48650.735196544178</v>
      </c>
      <c r="E14" s="5">
        <f t="shared" si="6"/>
        <v>39150.735196544178</v>
      </c>
      <c r="F14" s="5">
        <f t="shared" si="7"/>
        <v>13549.538561326091</v>
      </c>
      <c r="G14" s="5">
        <f t="shared" si="8"/>
        <v>35101.19663521809</v>
      </c>
      <c r="H14" s="22">
        <f t="shared" si="1"/>
        <v>22927.917541764025</v>
      </c>
      <c r="I14" s="5">
        <f t="shared" si="9"/>
        <v>56584.655371850982</v>
      </c>
      <c r="J14" s="26">
        <f t="shared" si="2"/>
        <v>0.18172791387935988</v>
      </c>
      <c r="L14" s="22">
        <f t="shared" si="3"/>
        <v>101241.62256406575</v>
      </c>
      <c r="M14" s="5">
        <f>scrimecost*Meta!O11</f>
        <v>2920.5120000000002</v>
      </c>
      <c r="N14" s="22"/>
    </row>
    <row r="15" spans="1:18" x14ac:dyDescent="0.2">
      <c r="A15" s="5">
        <v>24</v>
      </c>
      <c r="B15" s="1">
        <f t="shared" si="0"/>
        <v>1.2800845441963571</v>
      </c>
      <c r="C15" s="5">
        <f t="shared" si="4"/>
        <v>52144.753016497103</v>
      </c>
      <c r="D15" s="5">
        <f t="shared" si="5"/>
        <v>49842.433576457792</v>
      </c>
      <c r="E15" s="5">
        <f t="shared" si="6"/>
        <v>40342.433576457792</v>
      </c>
      <c r="F15" s="5">
        <f t="shared" si="7"/>
        <v>14057.797920359248</v>
      </c>
      <c r="G15" s="5">
        <f t="shared" si="8"/>
        <v>35784.635656098544</v>
      </c>
      <c r="H15" s="22">
        <f t="shared" si="1"/>
        <v>23501.115480308126</v>
      </c>
      <c r="I15" s="5">
        <f t="shared" si="9"/>
        <v>57805.180861147259</v>
      </c>
      <c r="J15" s="26">
        <f t="shared" si="2"/>
        <v>0.18446620966721763</v>
      </c>
      <c r="L15" s="22">
        <f t="shared" si="3"/>
        <v>103772.66312816741</v>
      </c>
      <c r="M15" s="5">
        <f>scrimecost*Meta!O12</f>
        <v>2790.2910000000002</v>
      </c>
      <c r="N15" s="22"/>
    </row>
    <row r="16" spans="1:18" x14ac:dyDescent="0.2">
      <c r="A16" s="5">
        <v>25</v>
      </c>
      <c r="B16" s="1">
        <f t="shared" si="0"/>
        <v>1.312086657801266</v>
      </c>
      <c r="C16" s="5">
        <f t="shared" si="4"/>
        <v>53448.371841909524</v>
      </c>
      <c r="D16" s="5">
        <f t="shared" si="5"/>
        <v>51063.924415869231</v>
      </c>
      <c r="E16" s="5">
        <f t="shared" si="6"/>
        <v>41563.924415869231</v>
      </c>
      <c r="F16" s="5">
        <f t="shared" si="7"/>
        <v>14578.763763368226</v>
      </c>
      <c r="G16" s="5">
        <f t="shared" si="8"/>
        <v>36485.160652501007</v>
      </c>
      <c r="H16" s="22">
        <f t="shared" si="1"/>
        <v>24088.643367315828</v>
      </c>
      <c r="I16" s="5">
        <f t="shared" si="9"/>
        <v>59056.219487675939</v>
      </c>
      <c r="J16" s="26">
        <f t="shared" si="2"/>
        <v>0.18713771775293242</v>
      </c>
      <c r="L16" s="22">
        <f t="shared" si="3"/>
        <v>106366.9797063716</v>
      </c>
      <c r="M16" s="5">
        <f>scrimecost*Meta!O13</f>
        <v>2342.8649999999998</v>
      </c>
      <c r="N16" s="22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54784.581137957255</v>
      </c>
      <c r="D17" s="5">
        <f t="shared" si="5"/>
        <v>52315.952526265952</v>
      </c>
      <c r="E17" s="5">
        <f t="shared" si="6"/>
        <v>42815.952526265952</v>
      </c>
      <c r="F17" s="5">
        <f t="shared" si="7"/>
        <v>15112.753752452429</v>
      </c>
      <c r="G17" s="5">
        <f t="shared" si="8"/>
        <v>37203.198773813521</v>
      </c>
      <c r="H17" s="22">
        <f t="shared" si="1"/>
        <v>24690.859451498724</v>
      </c>
      <c r="I17" s="5">
        <f t="shared" si="9"/>
        <v>60338.534079867823</v>
      </c>
      <c r="J17" s="26">
        <f t="shared" si="2"/>
        <v>0.18974406710484931</v>
      </c>
      <c r="L17" s="22">
        <f t="shared" si="3"/>
        <v>109026.15419903088</v>
      </c>
      <c r="M17" s="5">
        <f>scrimecost*Meta!O14</f>
        <v>2342.8649999999998</v>
      </c>
      <c r="N17" s="22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56154.195666406187</v>
      </c>
      <c r="D18" s="5">
        <f t="shared" si="5"/>
        <v>53599.281339422603</v>
      </c>
      <c r="E18" s="5">
        <f t="shared" si="6"/>
        <v>44099.281339422603</v>
      </c>
      <c r="F18" s="5">
        <f t="shared" si="7"/>
        <v>15660.093491263742</v>
      </c>
      <c r="G18" s="5">
        <f t="shared" si="8"/>
        <v>37939.187848158865</v>
      </c>
      <c r="H18" s="22">
        <f t="shared" si="1"/>
        <v>25308.130937786191</v>
      </c>
      <c r="I18" s="5">
        <f t="shared" si="9"/>
        <v>61652.906536864524</v>
      </c>
      <c r="J18" s="26">
        <f t="shared" si="2"/>
        <v>0.19228684696037804</v>
      </c>
      <c r="L18" s="22">
        <f t="shared" si="3"/>
        <v>111751.80805400663</v>
      </c>
      <c r="M18" s="5">
        <f>scrimecost*Meta!O15</f>
        <v>2342.8649999999998</v>
      </c>
      <c r="N18" s="22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57558.05055806633</v>
      </c>
      <c r="D19" s="5">
        <f t="shared" si="5"/>
        <v>54914.693372908157</v>
      </c>
      <c r="E19" s="5">
        <f t="shared" si="6"/>
        <v>45414.693372908157</v>
      </c>
      <c r="F19" s="5">
        <f t="shared" si="7"/>
        <v>16221.11672354533</v>
      </c>
      <c r="G19" s="5">
        <f t="shared" si="8"/>
        <v>38693.576649362825</v>
      </c>
      <c r="H19" s="22">
        <f t="shared" si="1"/>
        <v>25940.834211230842</v>
      </c>
      <c r="I19" s="5">
        <f t="shared" si="9"/>
        <v>63000.13830528612</v>
      </c>
      <c r="J19" s="26">
        <f t="shared" si="2"/>
        <v>0.19476760779504013</v>
      </c>
      <c r="L19" s="22">
        <f t="shared" si="3"/>
        <v>114545.60325535679</v>
      </c>
      <c r="M19" s="5">
        <f>scrimecost*Meta!O16</f>
        <v>2342.8649999999998</v>
      </c>
      <c r="N19" s="22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58997.001822017999</v>
      </c>
      <c r="D20" s="5">
        <f t="shared" si="5"/>
        <v>56262.990707230871</v>
      </c>
      <c r="E20" s="5">
        <f t="shared" si="6"/>
        <v>46762.990707230871</v>
      </c>
      <c r="F20" s="5">
        <f t="shared" si="7"/>
        <v>16796.165536633966</v>
      </c>
      <c r="G20" s="5">
        <f t="shared" si="8"/>
        <v>39466.825170596901</v>
      </c>
      <c r="H20" s="22">
        <f t="shared" si="1"/>
        <v>26589.355066511616</v>
      </c>
      <c r="I20" s="5">
        <f t="shared" si="9"/>
        <v>64381.050867918282</v>
      </c>
      <c r="J20" s="26">
        <f t="shared" si="2"/>
        <v>0.19718786226788126</v>
      </c>
      <c r="L20" s="22">
        <f t="shared" si="3"/>
        <v>117409.24333674072</v>
      </c>
      <c r="M20" s="5">
        <f>scrimecost*Meta!O17</f>
        <v>2342.8649999999998</v>
      </c>
      <c r="N20" s="22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60471.926867568451</v>
      </c>
      <c r="D21" s="5">
        <f t="shared" si="5"/>
        <v>57644.995474911644</v>
      </c>
      <c r="E21" s="5">
        <f t="shared" si="6"/>
        <v>48144.995474911644</v>
      </c>
      <c r="F21" s="5">
        <f t="shared" si="7"/>
        <v>17385.590570049815</v>
      </c>
      <c r="G21" s="5">
        <f t="shared" si="8"/>
        <v>40259.404904861833</v>
      </c>
      <c r="H21" s="22">
        <f t="shared" si="1"/>
        <v>27254.088943174404</v>
      </c>
      <c r="I21" s="5">
        <f t="shared" si="9"/>
        <v>65796.486244616244</v>
      </c>
      <c r="J21" s="26">
        <f t="shared" si="2"/>
        <v>0.19954908614382377</v>
      </c>
      <c r="L21" s="22">
        <f t="shared" si="3"/>
        <v>120344.47442015924</v>
      </c>
      <c r="M21" s="5">
        <f>scrimecost*Meta!O18</f>
        <v>1888.761</v>
      </c>
      <c r="N21" s="22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61983.725039257646</v>
      </c>
      <c r="D22" s="5">
        <f t="shared" si="5"/>
        <v>59061.550361784422</v>
      </c>
      <c r="E22" s="5">
        <f t="shared" si="6"/>
        <v>49561.550361784422</v>
      </c>
      <c r="F22" s="5">
        <f t="shared" si="7"/>
        <v>17989.751229301059</v>
      </c>
      <c r="G22" s="5">
        <f t="shared" si="8"/>
        <v>41071.799132483364</v>
      </c>
      <c r="H22" s="22">
        <f t="shared" si="1"/>
        <v>27935.441166753761</v>
      </c>
      <c r="I22" s="5">
        <f t="shared" si="9"/>
        <v>67247.307505731646</v>
      </c>
      <c r="J22" s="26">
        <f t="shared" si="2"/>
        <v>0.20185271919352385</v>
      </c>
      <c r="L22" s="22">
        <f t="shared" si="3"/>
        <v>123353.08628066319</v>
      </c>
      <c r="M22" s="5">
        <f>scrimecost*Meta!O19</f>
        <v>1888.761</v>
      </c>
      <c r="N22" s="22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63533.318165239099</v>
      </c>
      <c r="D23" s="5">
        <f t="shared" si="5"/>
        <v>60513.519120829042</v>
      </c>
      <c r="E23" s="5">
        <f t="shared" si="6"/>
        <v>51013.519120829042</v>
      </c>
      <c r="F23" s="5">
        <f t="shared" si="7"/>
        <v>18609.015905033586</v>
      </c>
      <c r="G23" s="5">
        <f t="shared" si="8"/>
        <v>41904.503215795456</v>
      </c>
      <c r="H23" s="22">
        <f t="shared" si="1"/>
        <v>28633.827195922604</v>
      </c>
      <c r="I23" s="5">
        <f t="shared" si="9"/>
        <v>68734.399298374934</v>
      </c>
      <c r="J23" s="26">
        <f t="shared" si="2"/>
        <v>0.20410016607127998</v>
      </c>
      <c r="L23" s="22">
        <f t="shared" si="3"/>
        <v>126436.91343767979</v>
      </c>
      <c r="M23" s="5">
        <f>scrimecost*Meta!O20</f>
        <v>1888.761</v>
      </c>
      <c r="N23" s="22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65121.651119370079</v>
      </c>
      <c r="D24" s="5">
        <f t="shared" si="5"/>
        <v>62001.787098849767</v>
      </c>
      <c r="E24" s="5">
        <f t="shared" si="6"/>
        <v>52501.787098849767</v>
      </c>
      <c r="F24" s="5">
        <f t="shared" si="7"/>
        <v>19243.762197659424</v>
      </c>
      <c r="G24" s="5">
        <f t="shared" si="8"/>
        <v>42758.024901190343</v>
      </c>
      <c r="H24" s="22">
        <f t="shared" si="1"/>
        <v>29349.67287582067</v>
      </c>
      <c r="I24" s="5">
        <f t="shared" si="9"/>
        <v>70258.668385834317</v>
      </c>
      <c r="J24" s="26">
        <f t="shared" si="2"/>
        <v>0.20629279717152985</v>
      </c>
      <c r="L24" s="22">
        <f t="shared" si="3"/>
        <v>129597.83627362177</v>
      </c>
      <c r="M24" s="5">
        <f>scrimecost*Meta!O21</f>
        <v>1888.761</v>
      </c>
      <c r="N24" s="22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66749.692397354316</v>
      </c>
      <c r="D25" s="5">
        <f t="shared" si="5"/>
        <v>63527.261776321</v>
      </c>
      <c r="E25" s="5">
        <f t="shared" si="6"/>
        <v>54027.261776321</v>
      </c>
      <c r="F25" s="5">
        <f t="shared" si="7"/>
        <v>19894.377147600906</v>
      </c>
      <c r="G25" s="5">
        <f t="shared" si="8"/>
        <v>43632.884628720094</v>
      </c>
      <c r="H25" s="22">
        <f t="shared" si="1"/>
        <v>30083.414697716184</v>
      </c>
      <c r="I25" s="5">
        <f t="shared" si="9"/>
        <v>71821.044200480159</v>
      </c>
      <c r="J25" s="26">
        <f t="shared" si="2"/>
        <v>0.20843194946445656</v>
      </c>
      <c r="L25" s="22">
        <f t="shared" si="3"/>
        <v>132837.78218046229</v>
      </c>
      <c r="M25" s="5">
        <f>scrimecost*Meta!O22</f>
        <v>1888.761</v>
      </c>
      <c r="N25" s="22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68418.434707288165</v>
      </c>
      <c r="D26" s="5">
        <f t="shared" si="5"/>
        <v>65090.873320729013</v>
      </c>
      <c r="E26" s="5">
        <f t="shared" si="6"/>
        <v>55590.873320729013</v>
      </c>
      <c r="F26" s="5">
        <f t="shared" si="7"/>
        <v>20561.257471290926</v>
      </c>
      <c r="G26" s="5">
        <f t="shared" si="8"/>
        <v>44529.615849438087</v>
      </c>
      <c r="H26" s="22">
        <f t="shared" si="1"/>
        <v>30835.500065159085</v>
      </c>
      <c r="I26" s="5">
        <f t="shared" si="9"/>
        <v>73422.479410492146</v>
      </c>
      <c r="J26" s="26">
        <f t="shared" si="2"/>
        <v>0.21051892731121438</v>
      </c>
      <c r="L26" s="22">
        <f t="shared" si="3"/>
        <v>136158.72673497384</v>
      </c>
      <c r="M26" s="5">
        <f>scrimecost*Meta!O23</f>
        <v>1465.8209999999999</v>
      </c>
      <c r="N26" s="22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70128.895574970375</v>
      </c>
      <c r="D27" s="5">
        <f t="shared" si="5"/>
        <v>66693.575153747253</v>
      </c>
      <c r="E27" s="5">
        <f t="shared" si="6"/>
        <v>57193.575153747253</v>
      </c>
      <c r="F27" s="5">
        <f t="shared" si="7"/>
        <v>21244.809803073204</v>
      </c>
      <c r="G27" s="5">
        <f t="shared" si="8"/>
        <v>45448.765350674046</v>
      </c>
      <c r="H27" s="22">
        <f t="shared" si="1"/>
        <v>31606.38756678806</v>
      </c>
      <c r="I27" s="5">
        <f t="shared" si="9"/>
        <v>75063.950500754465</v>
      </c>
      <c r="J27" s="26">
        <f t="shared" si="2"/>
        <v>0.21255500325927074</v>
      </c>
      <c r="L27" s="22">
        <f t="shared" si="3"/>
        <v>139562.69490334817</v>
      </c>
      <c r="M27" s="5">
        <f>scrimecost*Meta!O24</f>
        <v>1465.8209999999999</v>
      </c>
      <c r="N27" s="22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71882.117964344623</v>
      </c>
      <c r="D28" s="5">
        <f t="shared" si="5"/>
        <v>68336.344532590912</v>
      </c>
      <c r="E28" s="5">
        <f t="shared" si="6"/>
        <v>58836.344532590912</v>
      </c>
      <c r="F28" s="5">
        <f t="shared" si="7"/>
        <v>21945.450943150026</v>
      </c>
      <c r="G28" s="5">
        <f t="shared" si="8"/>
        <v>46390.893589440886</v>
      </c>
      <c r="H28" s="22">
        <f t="shared" si="1"/>
        <v>32396.547255957765</v>
      </c>
      <c r="I28" s="5">
        <f t="shared" si="9"/>
        <v>76746.458368273306</v>
      </c>
      <c r="J28" s="26">
        <f t="shared" si="2"/>
        <v>0.21454141881835012</v>
      </c>
      <c r="L28" s="22">
        <f t="shared" si="3"/>
        <v>143051.76227593189</v>
      </c>
      <c r="M28" s="5">
        <f>scrimecost*Meta!O25</f>
        <v>1465.8209999999999</v>
      </c>
      <c r="N28" s="22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73679.170913453243</v>
      </c>
      <c r="D29" s="5">
        <f t="shared" si="5"/>
        <v>70020.183145905699</v>
      </c>
      <c r="E29" s="5">
        <f t="shared" si="6"/>
        <v>60520.183145905699</v>
      </c>
      <c r="F29" s="5">
        <f t="shared" si="7"/>
        <v>22663.608111728779</v>
      </c>
      <c r="G29" s="5">
        <f t="shared" si="8"/>
        <v>47356.575034176916</v>
      </c>
      <c r="H29" s="22">
        <f t="shared" si="1"/>
        <v>33206.460937356707</v>
      </c>
      <c r="I29" s="5">
        <f t="shared" si="9"/>
        <v>78471.028932480156</v>
      </c>
      <c r="J29" s="26">
        <f t="shared" si="2"/>
        <v>0.21647938521745194</v>
      </c>
      <c r="L29" s="22">
        <f t="shared" si="3"/>
        <v>146628.05633283019</v>
      </c>
      <c r="M29" s="5">
        <f>scrimecost*Meta!O26</f>
        <v>1465.8209999999999</v>
      </c>
      <c r="N29" s="22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75521.150186289568</v>
      </c>
      <c r="D30" s="5">
        <f t="shared" si="5"/>
        <v>71746.117724553333</v>
      </c>
      <c r="E30" s="5">
        <f t="shared" si="6"/>
        <v>62246.117724553333</v>
      </c>
      <c r="F30" s="5">
        <f t="shared" si="7"/>
        <v>23399.719209521994</v>
      </c>
      <c r="G30" s="5">
        <f t="shared" si="8"/>
        <v>48346.398515031338</v>
      </c>
      <c r="H30" s="22">
        <f t="shared" si="1"/>
        <v>34036.622460790619</v>
      </c>
      <c r="I30" s="5">
        <f t="shared" si="9"/>
        <v>80238.713760792147</v>
      </c>
      <c r="J30" s="26">
        <f t="shared" si="2"/>
        <v>0.21837008414340497</v>
      </c>
      <c r="L30" s="22">
        <f t="shared" si="3"/>
        <v>150293.75774115091</v>
      </c>
      <c r="M30" s="5">
        <f>scrimecost*Meta!O27</f>
        <v>1465.8209999999999</v>
      </c>
      <c r="N30" s="22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77409.178940946804</v>
      </c>
      <c r="D31" s="5">
        <f t="shared" si="5"/>
        <v>73515.200667667159</v>
      </c>
      <c r="E31" s="5">
        <f t="shared" si="6"/>
        <v>64015.200667667159</v>
      </c>
      <c r="F31" s="5">
        <f t="shared" si="7"/>
        <v>24154.233084760042</v>
      </c>
      <c r="G31" s="5">
        <f t="shared" si="8"/>
        <v>49360.96758290712</v>
      </c>
      <c r="H31" s="22">
        <f t="shared" si="1"/>
        <v>34887.538022310386</v>
      </c>
      <c r="I31" s="5">
        <f t="shared" si="9"/>
        <v>82050.59070981195</v>
      </c>
      <c r="J31" s="26">
        <f t="shared" si="2"/>
        <v>0.22021466846140791</v>
      </c>
      <c r="L31" s="22">
        <f t="shared" si="3"/>
        <v>154051.10168467968</v>
      </c>
      <c r="M31" s="5">
        <f>scrimecost*Meta!O28</f>
        <v>1282.1759999999999</v>
      </c>
      <c r="N31" s="22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79344.408414470468</v>
      </c>
      <c r="D32" s="5">
        <f t="shared" si="5"/>
        <v>75328.510684358829</v>
      </c>
      <c r="E32" s="5">
        <f t="shared" si="6"/>
        <v>65828.510684358829</v>
      </c>
      <c r="F32" s="5">
        <f t="shared" si="7"/>
        <v>24927.609806879042</v>
      </c>
      <c r="G32" s="5">
        <f t="shared" si="8"/>
        <v>50400.900877479784</v>
      </c>
      <c r="H32" s="22">
        <f t="shared" si="1"/>
        <v>35759.72647286814</v>
      </c>
      <c r="I32" s="5">
        <f t="shared" si="9"/>
        <v>83907.764582557225</v>
      </c>
      <c r="J32" s="26">
        <f t="shared" si="2"/>
        <v>0.22201426291799611</v>
      </c>
      <c r="L32" s="22">
        <f t="shared" si="3"/>
        <v>157902.37922679668</v>
      </c>
      <c r="M32" s="5">
        <f>scrimecost*Meta!O29</f>
        <v>1282.1759999999999</v>
      </c>
      <c r="N32" s="22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81328.018624832228</v>
      </c>
      <c r="D33" s="5">
        <f t="shared" si="5"/>
        <v>77187.153451467806</v>
      </c>
      <c r="E33" s="5">
        <f t="shared" si="6"/>
        <v>67687.153451467806</v>
      </c>
      <c r="F33" s="5">
        <f t="shared" si="7"/>
        <v>25720.320947051019</v>
      </c>
      <c r="G33" s="5">
        <f t="shared" si="8"/>
        <v>51466.832504416787</v>
      </c>
      <c r="H33" s="22">
        <f t="shared" si="1"/>
        <v>36653.719634689842</v>
      </c>
      <c r="I33" s="5">
        <f t="shared" si="9"/>
        <v>85811.367802121167</v>
      </c>
      <c r="J33" s="26">
        <f t="shared" si="2"/>
        <v>0.22376996482686273</v>
      </c>
      <c r="L33" s="22">
        <f t="shared" si="3"/>
        <v>161849.93870746659</v>
      </c>
      <c r="M33" s="5">
        <f>scrimecost*Meta!O30</f>
        <v>1282.1759999999999</v>
      </c>
      <c r="N33" s="22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83361.219090453029</v>
      </c>
      <c r="D34" s="5">
        <f t="shared" si="5"/>
        <v>79092.262287754493</v>
      </c>
      <c r="E34" s="5">
        <f t="shared" si="6"/>
        <v>69592.262287754493</v>
      </c>
      <c r="F34" s="5">
        <f t="shared" si="7"/>
        <v>26532.84986572729</v>
      </c>
      <c r="G34" s="5">
        <f t="shared" si="8"/>
        <v>52559.412422027206</v>
      </c>
      <c r="H34" s="22">
        <f t="shared" si="1"/>
        <v>37570.06262555709</v>
      </c>
      <c r="I34" s="5">
        <f t="shared" si="9"/>
        <v>87762.561102174193</v>
      </c>
      <c r="J34" s="26">
        <f t="shared" si="2"/>
        <v>0.22548284473795202</v>
      </c>
      <c r="L34" s="22">
        <f t="shared" si="3"/>
        <v>165896.18717515326</v>
      </c>
      <c r="M34" s="5">
        <f>scrimecost*Meta!O31</f>
        <v>1282.1759999999999</v>
      </c>
      <c r="N34" s="22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85445.249567714331</v>
      </c>
      <c r="D35" s="5">
        <f t="shared" si="5"/>
        <v>81044.998844948335</v>
      </c>
      <c r="E35" s="5">
        <f t="shared" si="6"/>
        <v>71544.998844948335</v>
      </c>
      <c r="F35" s="5">
        <f t="shared" si="7"/>
        <v>27365.692007370468</v>
      </c>
      <c r="G35" s="5">
        <f t="shared" si="8"/>
        <v>53679.306837577868</v>
      </c>
      <c r="H35" s="22">
        <f t="shared" si="1"/>
        <v>38509.314191196005</v>
      </c>
      <c r="I35" s="5">
        <f t="shared" si="9"/>
        <v>89762.534234728519</v>
      </c>
      <c r="J35" s="26">
        <f t="shared" si="2"/>
        <v>0.22715394709023431</v>
      </c>
      <c r="L35" s="22">
        <f t="shared" si="3"/>
        <v>170043.59185453205</v>
      </c>
      <c r="M35" s="5">
        <f>scrimecost*Meta!O32</f>
        <v>1282.1759999999999</v>
      </c>
      <c r="N35" s="22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87581.380806907226</v>
      </c>
      <c r="D36" s="5">
        <f t="shared" si="5"/>
        <v>83046.553816072075</v>
      </c>
      <c r="E36" s="5">
        <f t="shared" si="6"/>
        <v>73546.553816072075</v>
      </c>
      <c r="F36" s="5">
        <f t="shared" si="7"/>
        <v>28219.35520255474</v>
      </c>
      <c r="G36" s="5">
        <f t="shared" si="8"/>
        <v>54827.198613517336</v>
      </c>
      <c r="H36" s="22">
        <f t="shared" si="1"/>
        <v>39472.047045975924</v>
      </c>
      <c r="I36" s="5">
        <f t="shared" si="9"/>
        <v>91812.506695596778</v>
      </c>
      <c r="J36" s="26">
        <f t="shared" si="2"/>
        <v>0.2287842908485585</v>
      </c>
      <c r="L36" s="22">
        <f t="shared" si="3"/>
        <v>174294.68165089539</v>
      </c>
      <c r="M36" s="5">
        <f>scrimecost*Meta!O33</f>
        <v>1036.203</v>
      </c>
      <c r="N36" s="22"/>
    </row>
    <row r="37" spans="1:14" x14ac:dyDescent="0.2">
      <c r="A37" s="5">
        <v>46</v>
      </c>
      <c r="B37" s="1">
        <f t="shared" ref="B37:B56" si="10">(1+experiencepremium)^(A37-startage)</f>
        <v>2.2037569377728037</v>
      </c>
      <c r="C37" s="5">
        <f t="shared" ref="C37:C56" si="11">pretaxincome*B37/expnorm</f>
        <v>89770.915327079885</v>
      </c>
      <c r="D37" s="5">
        <f t="shared" ref="D37:D56" si="12">IF(A37&lt;startage,1,0)*(C37*(1-initialunempprob))+IF(A37=startage,1,0)*(C37*(1-unempprob))+IF(A37&gt;startage,1,0)*(C37*(1-unempprob)+unempprob*300*52)</f>
        <v>85098.147661473864</v>
      </c>
      <c r="E37" s="5">
        <f t="shared" si="6"/>
        <v>75598.147661473864</v>
      </c>
      <c r="F37" s="5">
        <f t="shared" si="7"/>
        <v>29094.359977618602</v>
      </c>
      <c r="G37" s="5">
        <f t="shared" si="8"/>
        <v>56003.787683855262</v>
      </c>
      <c r="H37" s="22">
        <f t="shared" ref="H37:H56" si="13">benefits*B37/expnorm</f>
        <v>40458.848222125307</v>
      </c>
      <c r="I37" s="5">
        <f t="shared" ref="I37:I56" si="14">G37+IF(A37&lt;startage,1,0)*(H37*(1-initialunempprob))+IF(A37&gt;=startage,1,0)*(H37*(1-unempprob))</f>
        <v>93913.728467986686</v>
      </c>
      <c r="J37" s="26">
        <f t="shared" ref="J37:J56" si="15">(F37-(IF(A37&gt;startage,1,0)*(unempprob*300*52)))/(IF(A37&lt;startage,1,0)*((C37+H37)*(1-initialunempprob))+IF(A37&gt;=startage,1,0)*((C37+H37)*(1-unempprob)))</f>
        <v>0.23037487012497235</v>
      </c>
      <c r="L37" s="22">
        <f t="shared" ref="L37:L56" si="16">(sincome+sbenefits)*(1-sunemp)*B37/expnorm</f>
        <v>178652.04869216774</v>
      </c>
      <c r="M37" s="5">
        <f>scrimecost*Meta!O34</f>
        <v>1036.203</v>
      </c>
      <c r="N37" s="22"/>
    </row>
    <row r="38" spans="1:14" x14ac:dyDescent="0.2">
      <c r="A38" s="5">
        <v>47</v>
      </c>
      <c r="B38" s="1">
        <f t="shared" si="10"/>
        <v>2.2588508612171236</v>
      </c>
      <c r="C38" s="5">
        <f t="shared" si="11"/>
        <v>92015.188210256863</v>
      </c>
      <c r="D38" s="5">
        <f t="shared" si="12"/>
        <v>87201.031353010694</v>
      </c>
      <c r="E38" s="5">
        <f t="shared" si="6"/>
        <v>77701.031353010694</v>
      </c>
      <c r="F38" s="5">
        <f t="shared" si="7"/>
        <v>29991.239872059061</v>
      </c>
      <c r="G38" s="5">
        <f t="shared" si="8"/>
        <v>57209.791480951637</v>
      </c>
      <c r="H38" s="22">
        <f t="shared" si="13"/>
        <v>41470.319427678442</v>
      </c>
      <c r="I38" s="5">
        <f t="shared" si="14"/>
        <v>96067.48078468634</v>
      </c>
      <c r="J38" s="26">
        <f t="shared" si="15"/>
        <v>0.23192665478488825</v>
      </c>
      <c r="L38" s="22">
        <f t="shared" si="16"/>
        <v>183118.34990947193</v>
      </c>
      <c r="M38" s="5">
        <f>scrimecost*Meta!O35</f>
        <v>1036.203</v>
      </c>
      <c r="N38" s="22"/>
    </row>
    <row r="39" spans="1:14" x14ac:dyDescent="0.2">
      <c r="A39" s="5">
        <v>48</v>
      </c>
      <c r="B39" s="1">
        <f t="shared" si="10"/>
        <v>2.3153221327475517</v>
      </c>
      <c r="C39" s="5">
        <f t="shared" si="11"/>
        <v>94315.567915513297</v>
      </c>
      <c r="D39" s="5">
        <f t="shared" si="12"/>
        <v>89356.48713683596</v>
      </c>
      <c r="E39" s="5">
        <f t="shared" si="6"/>
        <v>79856.48713683596</v>
      </c>
      <c r="F39" s="5">
        <f t="shared" si="7"/>
        <v>30910.541763860536</v>
      </c>
      <c r="G39" s="5">
        <f t="shared" si="8"/>
        <v>58445.945372975424</v>
      </c>
      <c r="H39" s="22">
        <f t="shared" si="13"/>
        <v>42507.077413370396</v>
      </c>
      <c r="I39" s="5">
        <f t="shared" si="14"/>
        <v>98275.076909303491</v>
      </c>
      <c r="J39" s="26">
        <f t="shared" si="15"/>
        <v>0.23344059103846476</v>
      </c>
      <c r="L39" s="22">
        <f t="shared" si="16"/>
        <v>187696.30865720872</v>
      </c>
      <c r="M39" s="5">
        <f>scrimecost*Meta!O36</f>
        <v>1036.203</v>
      </c>
      <c r="N39" s="22"/>
    </row>
    <row r="40" spans="1:14" x14ac:dyDescent="0.2">
      <c r="A40" s="5">
        <v>49</v>
      </c>
      <c r="B40" s="1">
        <f t="shared" si="10"/>
        <v>2.3732051860662402</v>
      </c>
      <c r="C40" s="5">
        <f t="shared" si="11"/>
        <v>96673.45711340112</v>
      </c>
      <c r="D40" s="5">
        <f t="shared" si="12"/>
        <v>91565.829315256851</v>
      </c>
      <c r="E40" s="5">
        <f t="shared" si="6"/>
        <v>82065.829315256851</v>
      </c>
      <c r="F40" s="5">
        <f t="shared" si="7"/>
        <v>31852.826202957047</v>
      </c>
      <c r="G40" s="5">
        <f t="shared" si="8"/>
        <v>59713.003112299804</v>
      </c>
      <c r="H40" s="22">
        <f t="shared" si="13"/>
        <v>43569.754348704657</v>
      </c>
      <c r="I40" s="5">
        <f t="shared" si="14"/>
        <v>100537.86293703607</v>
      </c>
      <c r="J40" s="26">
        <f t="shared" si="15"/>
        <v>0.23491760201756381</v>
      </c>
      <c r="L40" s="22">
        <f t="shared" si="16"/>
        <v>192388.71637363892</v>
      </c>
      <c r="M40" s="5">
        <f>scrimecost*Meta!O37</f>
        <v>1036.203</v>
      </c>
      <c r="N40" s="22"/>
    </row>
    <row r="41" spans="1:14" x14ac:dyDescent="0.2">
      <c r="A41" s="5">
        <v>50</v>
      </c>
      <c r="B41" s="1">
        <f t="shared" si="10"/>
        <v>2.4325353157178964</v>
      </c>
      <c r="C41" s="5">
        <f t="shared" si="11"/>
        <v>99090.293541236155</v>
      </c>
      <c r="D41" s="5">
        <f t="shared" si="12"/>
        <v>93830.405048138287</v>
      </c>
      <c r="E41" s="5">
        <f t="shared" si="6"/>
        <v>84330.405048138287</v>
      </c>
      <c r="F41" s="5">
        <f t="shared" si="7"/>
        <v>32840.579904475126</v>
      </c>
      <c r="G41" s="5">
        <f t="shared" si="8"/>
        <v>60989.825143663162</v>
      </c>
      <c r="H41" s="22">
        <f t="shared" si="13"/>
        <v>44658.998207422272</v>
      </c>
      <c r="I41" s="5">
        <f t="shared" si="14"/>
        <v>102835.30646401783</v>
      </c>
      <c r="J41" s="26">
        <f t="shared" si="15"/>
        <v>0.23652127041857743</v>
      </c>
      <c r="L41" s="22">
        <f t="shared" si="16"/>
        <v>197198.4342829799</v>
      </c>
      <c r="M41" s="5">
        <f>scrimecost*Meta!O38</f>
        <v>692.28599999999994</v>
      </c>
      <c r="N41" s="22"/>
    </row>
    <row r="42" spans="1:14" x14ac:dyDescent="0.2">
      <c r="A42" s="5">
        <v>51</v>
      </c>
      <c r="B42" s="1">
        <f t="shared" si="10"/>
        <v>2.4933486986108435</v>
      </c>
      <c r="C42" s="5">
        <f t="shared" si="11"/>
        <v>101567.55087976705</v>
      </c>
      <c r="D42" s="5">
        <f t="shared" si="12"/>
        <v>96151.595174341739</v>
      </c>
      <c r="E42" s="5">
        <f t="shared" si="6"/>
        <v>86651.595174341739</v>
      </c>
      <c r="F42" s="5">
        <f t="shared" si="7"/>
        <v>33900.203197087001</v>
      </c>
      <c r="G42" s="5">
        <f t="shared" si="8"/>
        <v>62251.391977254738</v>
      </c>
      <c r="H42" s="22">
        <f t="shared" si="13"/>
        <v>45775.473162607828</v>
      </c>
      <c r="I42" s="5">
        <f t="shared" si="14"/>
        <v>105143.01033061827</v>
      </c>
      <c r="J42" s="26">
        <f t="shared" si="15"/>
        <v>0.23842752861580635</v>
      </c>
      <c r="L42" s="22">
        <f t="shared" si="16"/>
        <v>202128.39514005437</v>
      </c>
      <c r="M42" s="5">
        <f>scrimecost*Meta!O39</f>
        <v>692.28599999999994</v>
      </c>
      <c r="N42" s="22"/>
    </row>
    <row r="43" spans="1:14" x14ac:dyDescent="0.2">
      <c r="A43" s="5">
        <v>52</v>
      </c>
      <c r="B43" s="1">
        <f t="shared" si="10"/>
        <v>2.555682416076114</v>
      </c>
      <c r="C43" s="5">
        <f t="shared" si="11"/>
        <v>104106.73965176119</v>
      </c>
      <c r="D43" s="5">
        <f t="shared" si="12"/>
        <v>98530.815053700251</v>
      </c>
      <c r="E43" s="5">
        <f t="shared" si="6"/>
        <v>89030.815053700251</v>
      </c>
      <c r="F43" s="5">
        <f t="shared" si="7"/>
        <v>34986.317072014164</v>
      </c>
      <c r="G43" s="5">
        <f t="shared" si="8"/>
        <v>63544.497981686087</v>
      </c>
      <c r="H43" s="22">
        <f t="shared" si="13"/>
        <v>46919.859991673009</v>
      </c>
      <c r="I43" s="5">
        <f t="shared" si="14"/>
        <v>107508.4067938837</v>
      </c>
      <c r="J43" s="26">
        <f t="shared" si="15"/>
        <v>0.24028729271066376</v>
      </c>
      <c r="L43" s="22">
        <f t="shared" si="16"/>
        <v>207181.60501855568</v>
      </c>
      <c r="M43" s="5">
        <f>scrimecost*Meta!O40</f>
        <v>692.28599999999994</v>
      </c>
      <c r="N43" s="22"/>
    </row>
    <row r="44" spans="1:14" x14ac:dyDescent="0.2">
      <c r="A44" s="5">
        <v>53</v>
      </c>
      <c r="B44" s="1">
        <f t="shared" si="10"/>
        <v>2.6195744764780171</v>
      </c>
      <c r="C44" s="5">
        <f t="shared" si="11"/>
        <v>106709.40814305523</v>
      </c>
      <c r="D44" s="5">
        <f t="shared" si="12"/>
        <v>100969.51543004277</v>
      </c>
      <c r="E44" s="5">
        <f t="shared" si="6"/>
        <v>91469.515430042768</v>
      </c>
      <c r="F44" s="5">
        <f t="shared" si="7"/>
        <v>36099.583793814527</v>
      </c>
      <c r="G44" s="5">
        <f t="shared" si="8"/>
        <v>64869.931636228241</v>
      </c>
      <c r="H44" s="22">
        <f t="shared" si="13"/>
        <v>48092.856491464838</v>
      </c>
      <c r="I44" s="5">
        <f t="shared" si="14"/>
        <v>109932.93816873079</v>
      </c>
      <c r="J44" s="26">
        <f t="shared" si="15"/>
        <v>0.24210169670564666</v>
      </c>
      <c r="L44" s="22">
        <f t="shared" si="16"/>
        <v>212361.14514401963</v>
      </c>
      <c r="M44" s="5">
        <f>scrimecost*Meta!O41</f>
        <v>692.28599999999994</v>
      </c>
      <c r="N44" s="22"/>
    </row>
    <row r="45" spans="1:14" x14ac:dyDescent="0.2">
      <c r="A45" s="5">
        <v>54</v>
      </c>
      <c r="B45" s="1">
        <f t="shared" si="10"/>
        <v>2.6850638383899672</v>
      </c>
      <c r="C45" s="5">
        <f t="shared" si="11"/>
        <v>109377.14334663159</v>
      </c>
      <c r="D45" s="5">
        <f t="shared" si="12"/>
        <v>103469.18331579381</v>
      </c>
      <c r="E45" s="5">
        <f t="shared" si="6"/>
        <v>93969.183315793809</v>
      </c>
      <c r="F45" s="5">
        <f t="shared" si="7"/>
        <v>37240.682183659876</v>
      </c>
      <c r="G45" s="5">
        <f t="shared" si="8"/>
        <v>66228.501132133941</v>
      </c>
      <c r="H45" s="22">
        <f t="shared" si="13"/>
        <v>49295.177903751457</v>
      </c>
      <c r="I45" s="5">
        <f t="shared" si="14"/>
        <v>112418.08282794905</v>
      </c>
      <c r="J45" s="26">
        <f t="shared" si="15"/>
        <v>0.2438718469446543</v>
      </c>
      <c r="L45" s="22">
        <f t="shared" si="16"/>
        <v>217670.17377262007</v>
      </c>
      <c r="M45" s="5">
        <f>scrimecost*Meta!O42</f>
        <v>692.28599999999994</v>
      </c>
      <c r="N45" s="22"/>
    </row>
    <row r="46" spans="1:14" x14ac:dyDescent="0.2">
      <c r="A46" s="5">
        <v>55</v>
      </c>
      <c r="B46" s="1">
        <f t="shared" si="10"/>
        <v>2.7521904343497163</v>
      </c>
      <c r="C46" s="5">
        <f t="shared" si="11"/>
        <v>112111.57193029739</v>
      </c>
      <c r="D46" s="5">
        <f t="shared" si="12"/>
        <v>106031.34289868866</v>
      </c>
      <c r="E46" s="5">
        <f t="shared" si="6"/>
        <v>96531.342898688657</v>
      </c>
      <c r="F46" s="5">
        <f t="shared" si="7"/>
        <v>38410.308033251371</v>
      </c>
      <c r="G46" s="5">
        <f t="shared" si="8"/>
        <v>67621.034865437279</v>
      </c>
      <c r="H46" s="22">
        <f t="shared" si="13"/>
        <v>50527.55735134524</v>
      </c>
      <c r="I46" s="5">
        <f t="shared" si="14"/>
        <v>114965.35610364776</v>
      </c>
      <c r="J46" s="26">
        <f t="shared" si="15"/>
        <v>0.24559882278758866</v>
      </c>
      <c r="L46" s="22">
        <f t="shared" si="16"/>
        <v>223111.92811693557</v>
      </c>
      <c r="M46" s="5">
        <f>scrimecost*Meta!O43</f>
        <v>383.98499999999996</v>
      </c>
      <c r="N46" s="22"/>
    </row>
    <row r="47" spans="1:14" x14ac:dyDescent="0.2">
      <c r="A47" s="5">
        <v>56</v>
      </c>
      <c r="B47" s="1">
        <f t="shared" si="10"/>
        <v>2.8209951952084591</v>
      </c>
      <c r="C47" s="5">
        <f t="shared" si="11"/>
        <v>114914.36122855482</v>
      </c>
      <c r="D47" s="5">
        <f t="shared" si="12"/>
        <v>108657.55647115587</v>
      </c>
      <c r="E47" s="5">
        <f t="shared" si="6"/>
        <v>99157.556471155869</v>
      </c>
      <c r="F47" s="5">
        <f t="shared" si="7"/>
        <v>39494.006027870993</v>
      </c>
      <c r="G47" s="5">
        <f t="shared" si="8"/>
        <v>69163.550443284883</v>
      </c>
      <c r="H47" s="22">
        <f t="shared" si="13"/>
        <v>51790.746285128866</v>
      </c>
      <c r="I47" s="5">
        <f t="shared" si="14"/>
        <v>117691.47971245063</v>
      </c>
      <c r="J47" s="26">
        <f t="shared" si="15"/>
        <v>0.24654637559749618</v>
      </c>
      <c r="L47" s="22">
        <f t="shared" si="16"/>
        <v>228689.72631985892</v>
      </c>
      <c r="M47" s="5">
        <f>scrimecost*Meta!O44</f>
        <v>383.98499999999996</v>
      </c>
      <c r="N47" s="22"/>
    </row>
    <row r="48" spans="1:14" x14ac:dyDescent="0.2">
      <c r="A48" s="5">
        <v>57</v>
      </c>
      <c r="B48" s="1">
        <f t="shared" si="10"/>
        <v>2.8915200750886707</v>
      </c>
      <c r="C48" s="5">
        <f t="shared" si="11"/>
        <v>117787.2202592687</v>
      </c>
      <c r="D48" s="5">
        <f t="shared" si="12"/>
        <v>111349.42538293477</v>
      </c>
      <c r="E48" s="5">
        <f t="shared" si="6"/>
        <v>101849.42538293477</v>
      </c>
      <c r="F48" s="5">
        <f t="shared" si="7"/>
        <v>40555.948313567766</v>
      </c>
      <c r="G48" s="5">
        <f t="shared" si="8"/>
        <v>70793.477069367014</v>
      </c>
      <c r="H48" s="22">
        <f t="shared" si="13"/>
        <v>53085.51494225709</v>
      </c>
      <c r="I48" s="5">
        <f t="shared" si="14"/>
        <v>120534.6045702619</v>
      </c>
      <c r="J48" s="26">
        <f t="shared" si="15"/>
        <v>0.24716572183909849</v>
      </c>
      <c r="L48" s="22">
        <f t="shared" si="16"/>
        <v>234406.96947785543</v>
      </c>
      <c r="M48" s="5">
        <f>scrimecost*Meta!O45</f>
        <v>383.98499999999996</v>
      </c>
      <c r="N48" s="22"/>
    </row>
    <row r="49" spans="1:14" x14ac:dyDescent="0.2">
      <c r="A49" s="5">
        <v>58</v>
      </c>
      <c r="B49" s="1">
        <f t="shared" si="10"/>
        <v>2.9638080769658868</v>
      </c>
      <c r="C49" s="5">
        <f t="shared" si="11"/>
        <v>120731.90076575037</v>
      </c>
      <c r="D49" s="5">
        <f t="shared" si="12"/>
        <v>114108.59101750811</v>
      </c>
      <c r="E49" s="5">
        <f t="shared" si="6"/>
        <v>104608.59101750811</v>
      </c>
      <c r="F49" s="5">
        <f t="shared" si="7"/>
        <v>41644.439156406945</v>
      </c>
      <c r="G49" s="5">
        <f t="shared" si="8"/>
        <v>72464.151861101156</v>
      </c>
      <c r="H49" s="22">
        <f t="shared" si="13"/>
        <v>54412.652815813504</v>
      </c>
      <c r="I49" s="5">
        <f t="shared" si="14"/>
        <v>123448.80754951842</v>
      </c>
      <c r="J49" s="26">
        <f t="shared" si="15"/>
        <v>0.24776996207480809</v>
      </c>
      <c r="L49" s="22">
        <f t="shared" si="16"/>
        <v>240267.14371480176</v>
      </c>
      <c r="M49" s="5">
        <f>scrimecost*Meta!O46</f>
        <v>383.98499999999996</v>
      </c>
      <c r="N49" s="22"/>
    </row>
    <row r="50" spans="1:14" x14ac:dyDescent="0.2">
      <c r="A50" s="5">
        <v>59</v>
      </c>
      <c r="B50" s="1">
        <f t="shared" si="10"/>
        <v>3.0379032788900342</v>
      </c>
      <c r="C50" s="5">
        <f t="shared" si="11"/>
        <v>123750.19828489416</v>
      </c>
      <c r="D50" s="5">
        <f t="shared" si="12"/>
        <v>116936.73579294584</v>
      </c>
      <c r="E50" s="5">
        <f t="shared" si="6"/>
        <v>107436.73579294584</v>
      </c>
      <c r="F50" s="5">
        <f t="shared" si="7"/>
        <v>42760.142270317127</v>
      </c>
      <c r="G50" s="5">
        <f t="shared" si="8"/>
        <v>74176.593522628711</v>
      </c>
      <c r="H50" s="22">
        <f t="shared" si="13"/>
        <v>55772.969136208849</v>
      </c>
      <c r="I50" s="5">
        <f t="shared" si="14"/>
        <v>126435.8656032564</v>
      </c>
      <c r="J50" s="26">
        <f t="shared" si="15"/>
        <v>0.24835946474379314</v>
      </c>
      <c r="L50" s="22">
        <f t="shared" si="16"/>
        <v>246273.8223076718</v>
      </c>
      <c r="M50" s="5">
        <f>scrimecost*Meta!O47</f>
        <v>383.98499999999996</v>
      </c>
      <c r="N50" s="22"/>
    </row>
    <row r="51" spans="1:14" x14ac:dyDescent="0.2">
      <c r="A51" s="5">
        <v>60</v>
      </c>
      <c r="B51" s="1">
        <f t="shared" si="10"/>
        <v>3.1138508608622844</v>
      </c>
      <c r="C51" s="5">
        <f t="shared" si="11"/>
        <v>126843.95324201648</v>
      </c>
      <c r="D51" s="5">
        <f t="shared" si="12"/>
        <v>119835.58418776945</v>
      </c>
      <c r="E51" s="5">
        <f t="shared" si="6"/>
        <v>110335.58418776945</v>
      </c>
      <c r="F51" s="5">
        <f t="shared" si="7"/>
        <v>43903.737962075043</v>
      </c>
      <c r="G51" s="5">
        <f t="shared" si="8"/>
        <v>75931.846225694404</v>
      </c>
      <c r="H51" s="22">
        <f t="shared" si="13"/>
        <v>57167.293364614059</v>
      </c>
      <c r="I51" s="5">
        <f t="shared" si="14"/>
        <v>129497.60010833778</v>
      </c>
      <c r="J51" s="26">
        <f t="shared" si="15"/>
        <v>0.24893458929890042</v>
      </c>
      <c r="L51" s="22">
        <f t="shared" si="16"/>
        <v>252430.66786536356</v>
      </c>
      <c r="M51" s="5">
        <f>scrimecost*Meta!O48</f>
        <v>202.566</v>
      </c>
      <c r="N51" s="22"/>
    </row>
    <row r="52" spans="1:14" x14ac:dyDescent="0.2">
      <c r="A52" s="5">
        <v>61</v>
      </c>
      <c r="B52" s="1">
        <f t="shared" si="10"/>
        <v>3.1916971323838421</v>
      </c>
      <c r="C52" s="5">
        <f t="shared" si="11"/>
        <v>130015.05207306691</v>
      </c>
      <c r="D52" s="5">
        <f t="shared" si="12"/>
        <v>122806.90379246371</v>
      </c>
      <c r="E52" s="5">
        <f t="shared" si="6"/>
        <v>113306.90379246371</v>
      </c>
      <c r="F52" s="5">
        <f t="shared" si="7"/>
        <v>45075.923546126927</v>
      </c>
      <c r="G52" s="5">
        <f t="shared" si="8"/>
        <v>77730.980246336781</v>
      </c>
      <c r="H52" s="22">
        <f t="shared" si="13"/>
        <v>58596.475698729424</v>
      </c>
      <c r="I52" s="5">
        <f t="shared" si="14"/>
        <v>132635.87797604626</v>
      </c>
      <c r="J52" s="26">
        <f t="shared" si="15"/>
        <v>0.24949568642583439</v>
      </c>
      <c r="L52" s="22">
        <f t="shared" si="16"/>
        <v>258741.43456199768</v>
      </c>
      <c r="M52" s="5">
        <f>scrimecost*Meta!O49</f>
        <v>202.566</v>
      </c>
      <c r="N52" s="22"/>
    </row>
    <row r="53" spans="1:14" x14ac:dyDescent="0.2">
      <c r="A53" s="5">
        <v>62</v>
      </c>
      <c r="B53" s="1">
        <f t="shared" si="10"/>
        <v>3.2714895606934378</v>
      </c>
      <c r="C53" s="5">
        <f t="shared" si="11"/>
        <v>133265.42837489356</v>
      </c>
      <c r="D53" s="5">
        <f t="shared" si="12"/>
        <v>125852.50638727527</v>
      </c>
      <c r="E53" s="5">
        <f t="shared" si="6"/>
        <v>116352.50638727527</v>
      </c>
      <c r="F53" s="5">
        <f t="shared" si="7"/>
        <v>46277.413769780091</v>
      </c>
      <c r="G53" s="5">
        <f t="shared" si="8"/>
        <v>79575.092617495175</v>
      </c>
      <c r="H53" s="22">
        <f t="shared" si="13"/>
        <v>60061.38759119765</v>
      </c>
      <c r="I53" s="5">
        <f t="shared" si="14"/>
        <v>135852.61279044737</v>
      </c>
      <c r="J53" s="26">
        <f t="shared" si="15"/>
        <v>0.25004309825698945</v>
      </c>
      <c r="L53" s="22">
        <f t="shared" si="16"/>
        <v>265209.97042604763</v>
      </c>
      <c r="M53" s="5">
        <f>scrimecost*Meta!O50</f>
        <v>202.566</v>
      </c>
      <c r="N53" s="22"/>
    </row>
    <row r="54" spans="1:14" x14ac:dyDescent="0.2">
      <c r="A54" s="5">
        <v>63</v>
      </c>
      <c r="B54" s="1">
        <f t="shared" si="10"/>
        <v>3.3532767997107733</v>
      </c>
      <c r="C54" s="5">
        <f t="shared" si="11"/>
        <v>136597.0640842659</v>
      </c>
      <c r="D54" s="5">
        <f t="shared" si="12"/>
        <v>128974.24904695716</v>
      </c>
      <c r="E54" s="5">
        <f t="shared" si="6"/>
        <v>119474.24904695716</v>
      </c>
      <c r="F54" s="5">
        <f t="shared" si="7"/>
        <v>47508.941249024603</v>
      </c>
      <c r="G54" s="5">
        <f t="shared" si="8"/>
        <v>81465.307797932561</v>
      </c>
      <c r="H54" s="22">
        <f t="shared" si="13"/>
        <v>61562.922280977582</v>
      </c>
      <c r="I54" s="5">
        <f t="shared" si="14"/>
        <v>139149.76597520855</v>
      </c>
      <c r="J54" s="26">
        <f t="shared" si="15"/>
        <v>0.25057715858006763</v>
      </c>
      <c r="L54" s="22">
        <f t="shared" si="16"/>
        <v>271840.21968669881</v>
      </c>
      <c r="M54" s="5">
        <f>scrimecost*Meta!O51</f>
        <v>202.566</v>
      </c>
      <c r="N54" s="22"/>
    </row>
    <row r="55" spans="1:14" x14ac:dyDescent="0.2">
      <c r="A55" s="5">
        <v>64</v>
      </c>
      <c r="B55" s="1">
        <f t="shared" si="10"/>
        <v>3.4371087197035428</v>
      </c>
      <c r="C55" s="5">
        <f t="shared" si="11"/>
        <v>140011.99068637256</v>
      </c>
      <c r="D55" s="5">
        <f t="shared" si="12"/>
        <v>132174.0352731311</v>
      </c>
      <c r="E55" s="5">
        <f t="shared" si="6"/>
        <v>122674.0352731311</v>
      </c>
      <c r="F55" s="5">
        <f t="shared" si="7"/>
        <v>48771.256915250218</v>
      </c>
      <c r="G55" s="5">
        <f t="shared" si="8"/>
        <v>83402.778357880889</v>
      </c>
      <c r="H55" s="22">
        <f t="shared" si="13"/>
        <v>63101.995338002023</v>
      </c>
      <c r="I55" s="5">
        <f t="shared" si="14"/>
        <v>142529.3479895888</v>
      </c>
      <c r="J55" s="26">
        <f t="shared" si="15"/>
        <v>0.2510981930416073</v>
      </c>
      <c r="L55" s="22">
        <f t="shared" si="16"/>
        <v>278636.22517886624</v>
      </c>
      <c r="M55" s="5">
        <f>scrimecost*Meta!O52</f>
        <v>202.566</v>
      </c>
      <c r="N55" s="22"/>
    </row>
    <row r="56" spans="1:14" x14ac:dyDescent="0.2">
      <c r="A56" s="5">
        <v>65</v>
      </c>
      <c r="B56" s="1">
        <f t="shared" si="10"/>
        <v>3.5230364376961316</v>
      </c>
      <c r="C56" s="5">
        <f t="shared" si="11"/>
        <v>143512.29045353187</v>
      </c>
      <c r="D56" s="5">
        <f t="shared" si="12"/>
        <v>135453.81615495935</v>
      </c>
      <c r="E56" s="5">
        <f t="shared" si="6"/>
        <v>125953.81615495935</v>
      </c>
      <c r="F56" s="5">
        <f t="shared" si="7"/>
        <v>50065.130473131459</v>
      </c>
      <c r="G56" s="5">
        <f t="shared" si="8"/>
        <v>85388.68568182789</v>
      </c>
      <c r="H56" s="22">
        <f t="shared" si="13"/>
        <v>64679.545221452085</v>
      </c>
      <c r="I56" s="5">
        <f t="shared" si="14"/>
        <v>145993.41955432849</v>
      </c>
      <c r="J56" s="26">
        <f t="shared" si="15"/>
        <v>0.25160651934554834</v>
      </c>
      <c r="L56" s="22">
        <f t="shared" si="16"/>
        <v>285602.13080833794</v>
      </c>
      <c r="M56" s="5">
        <f>scrimecost*Meta!O53</f>
        <v>61.215000000000003</v>
      </c>
      <c r="N56" s="22"/>
    </row>
    <row r="57" spans="1:14" x14ac:dyDescent="0.2">
      <c r="A57" s="5">
        <v>66</v>
      </c>
      <c r="C57" s="5"/>
      <c r="H57" s="21"/>
      <c r="I57" s="5"/>
      <c r="M57" s="5">
        <f>scrimecost*Meta!O54</f>
        <v>61.215000000000003</v>
      </c>
      <c r="N57" s="5"/>
    </row>
    <row r="58" spans="1:14" x14ac:dyDescent="0.2">
      <c r="A58" s="5">
        <v>67</v>
      </c>
      <c r="C58" s="5"/>
      <c r="H58" s="21"/>
      <c r="I58" s="5"/>
      <c r="M58" s="5">
        <f>scrimecost*Meta!O55</f>
        <v>61.215000000000003</v>
      </c>
      <c r="N58" s="5"/>
    </row>
    <row r="59" spans="1:14" x14ac:dyDescent="0.2">
      <c r="A59" s="5">
        <v>68</v>
      </c>
      <c r="H59" s="21"/>
      <c r="I59" s="5"/>
      <c r="M59" s="5">
        <f>scrimecost*Meta!O56</f>
        <v>61.215000000000003</v>
      </c>
      <c r="N59" s="5"/>
    </row>
    <row r="60" spans="1:14" x14ac:dyDescent="0.2">
      <c r="A60" s="5">
        <v>69</v>
      </c>
      <c r="H60" s="21"/>
      <c r="I60" s="5"/>
      <c r="M60" s="5">
        <f>scrimecost*Meta!O57</f>
        <v>61.215000000000003</v>
      </c>
      <c r="N60" s="5"/>
    </row>
    <row r="61" spans="1:14" x14ac:dyDescent="0.2">
      <c r="A61" s="5">
        <v>70</v>
      </c>
      <c r="H61" s="21"/>
      <c r="I61" s="5"/>
      <c r="M61" s="5">
        <f>scrimecost*Meta!O58</f>
        <v>61.215000000000003</v>
      </c>
      <c r="N61" s="5"/>
    </row>
    <row r="62" spans="1:14" x14ac:dyDescent="0.2">
      <c r="A62" s="5">
        <v>71</v>
      </c>
      <c r="H62" s="21"/>
      <c r="I62" s="5"/>
      <c r="M62" s="5">
        <f>scrimecost*Meta!O59</f>
        <v>61.215000000000003</v>
      </c>
      <c r="N62" s="5"/>
    </row>
    <row r="63" spans="1:14" x14ac:dyDescent="0.2">
      <c r="A63" s="5">
        <v>72</v>
      </c>
      <c r="H63" s="21"/>
      <c r="M63" s="5">
        <f>scrimecost*Meta!O60</f>
        <v>61.215000000000003</v>
      </c>
      <c r="N63" s="5"/>
    </row>
    <row r="64" spans="1:14" x14ac:dyDescent="0.2">
      <c r="A64" s="5">
        <v>73</v>
      </c>
      <c r="H64" s="21"/>
      <c r="M64" s="5">
        <f>scrimecost*Meta!O61</f>
        <v>61.215000000000003</v>
      </c>
      <c r="N64" s="5"/>
    </row>
    <row r="65" spans="1:14" x14ac:dyDescent="0.2">
      <c r="A65" s="5">
        <v>74</v>
      </c>
      <c r="H65" s="21"/>
      <c r="M65" s="5">
        <f>scrimecost*Meta!O62</f>
        <v>61.215000000000003</v>
      </c>
      <c r="N65" s="5"/>
    </row>
    <row r="66" spans="1:14" x14ac:dyDescent="0.2">
      <c r="A66" s="5">
        <v>75</v>
      </c>
      <c r="H66" s="21"/>
      <c r="M66" s="5">
        <f>scrimecost*Meta!O63</f>
        <v>61.215000000000003</v>
      </c>
      <c r="N66" s="5"/>
    </row>
    <row r="67" spans="1:14" x14ac:dyDescent="0.2">
      <c r="A67" s="5">
        <v>76</v>
      </c>
      <c r="H67" s="21"/>
      <c r="M67" s="5">
        <f>scrimecost*Meta!O64</f>
        <v>61.215000000000003</v>
      </c>
      <c r="N67" s="5"/>
    </row>
    <row r="68" spans="1:14" x14ac:dyDescent="0.2">
      <c r="A68" s="5">
        <v>77</v>
      </c>
      <c r="H68" s="21"/>
      <c r="M68" s="5">
        <f>scrimecost*Meta!O65</f>
        <v>61.215000000000003</v>
      </c>
      <c r="N68" s="5"/>
    </row>
    <row r="69" spans="1:14" x14ac:dyDescent="0.2">
      <c r="A69" s="5">
        <v>78</v>
      </c>
      <c r="H69" s="21"/>
      <c r="M69" s="5">
        <f>scrimecost*Meta!O66</f>
        <v>61.215000000000003</v>
      </c>
      <c r="N69" s="5"/>
    </row>
    <row r="70" spans="1:14" x14ac:dyDescent="0.2">
      <c r="A70" s="5">
        <v>79</v>
      </c>
      <c r="H70" s="21"/>
      <c r="M70" s="5"/>
    </row>
    <row r="71" spans="1:14" x14ac:dyDescent="0.2">
      <c r="A71" s="5">
        <v>80</v>
      </c>
      <c r="H71" s="21"/>
      <c r="M71" s="5"/>
    </row>
    <row r="72" spans="1:14" x14ac:dyDescent="0.2">
      <c r="A72" s="5">
        <v>81</v>
      </c>
      <c r="H72" s="21"/>
      <c r="M72" s="5"/>
    </row>
    <row r="73" spans="1:14" x14ac:dyDescent="0.2">
      <c r="A73" s="5">
        <v>82</v>
      </c>
      <c r="H73" s="21"/>
      <c r="M73" s="5"/>
    </row>
    <row r="74" spans="1:14" x14ac:dyDescent="0.2">
      <c r="A74" s="5">
        <v>83</v>
      </c>
      <c r="H74" s="21"/>
      <c r="M74" s="5"/>
    </row>
    <row r="75" spans="1:14" x14ac:dyDescent="0.2">
      <c r="A75" s="5">
        <v>84</v>
      </c>
      <c r="H75" s="21"/>
      <c r="M75" s="5"/>
    </row>
    <row r="76" spans="1:14" x14ac:dyDescent="0.2">
      <c r="A76" s="5">
        <v>85</v>
      </c>
      <c r="H76" s="21"/>
    </row>
    <row r="77" spans="1:14" x14ac:dyDescent="0.2">
      <c r="A77" s="5">
        <v>86</v>
      </c>
      <c r="H77" s="21"/>
    </row>
    <row r="78" spans="1:14" x14ac:dyDescent="0.2">
      <c r="A78" s="5">
        <v>87</v>
      </c>
      <c r="H78" s="21"/>
    </row>
    <row r="79" spans="1:14" x14ac:dyDescent="0.2">
      <c r="A79" s="5">
        <v>88</v>
      </c>
      <c r="H79" s="21"/>
    </row>
    <row r="80" spans="1:14" x14ac:dyDescent="0.2">
      <c r="A80" s="5">
        <v>89</v>
      </c>
      <c r="H80" s="21"/>
    </row>
    <row r="81" spans="1:8" x14ac:dyDescent="0.2">
      <c r="A81" s="5">
        <v>90</v>
      </c>
      <c r="H81" s="2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A5" sqref="A5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Meta!A3+6</f>
        <v>15</v>
      </c>
      <c r="C2" s="7">
        <f>Meta!B3</f>
        <v>86521</v>
      </c>
      <c r="D2" s="7">
        <f>Meta!C3</f>
        <v>38994</v>
      </c>
      <c r="E2" s="1">
        <f>Meta!D3</f>
        <v>0.06</v>
      </c>
      <c r="F2" s="1">
        <f>Meta!F3</f>
        <v>0.61799999999999999</v>
      </c>
      <c r="G2" s="1">
        <f>Meta!I3</f>
        <v>1.978852107996969</v>
      </c>
      <c r="H2" s="1">
        <f>Meta!E3</f>
        <v>0.98</v>
      </c>
      <c r="I2" s="13"/>
      <c r="J2" s="1">
        <f>Meta!X2</f>
        <v>0.72799999999999998</v>
      </c>
      <c r="K2" s="1">
        <f>Meta!D2</f>
        <v>6.3E-2</v>
      </c>
      <c r="L2" s="29"/>
      <c r="N2" s="22">
        <f>Meta!T3</f>
        <v>123236</v>
      </c>
      <c r="O2" s="22">
        <f>Meta!U3</f>
        <v>54003</v>
      </c>
      <c r="P2" s="1">
        <f>Meta!V3</f>
        <v>3.7999999999999999E-2</v>
      </c>
      <c r="Q2" s="1">
        <f>Meta!X3</f>
        <v>0.73599999999999999</v>
      </c>
      <c r="R2" s="22">
        <f>Meta!W3</f>
        <v>1090</v>
      </c>
      <c r="T2" s="12">
        <f>IRR(S5:S69)+1</f>
        <v>1.0398083397938833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B5" s="1">
        <v>1</v>
      </c>
      <c r="C5" s="5">
        <f>0.1*Grade8!C5</f>
        <v>4073.5397714870323</v>
      </c>
      <c r="D5" s="5">
        <f>IF(A5&lt;startage,1,0)*(C5*(1-initialunempprob))+IF(A5=startage,1,0)*(C5*(1-unempprob))+IF(A5&gt;startage,1,0)*(C5*(1-unempprob)+unempprob*300*52)</f>
        <v>3816.9067658833496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291.99336759007622</v>
      </c>
      <c r="G5" s="5">
        <f>D5-F5</f>
        <v>3524.9133982932735</v>
      </c>
      <c r="H5" s="22">
        <f>0.1*Grade8!H5</f>
        <v>1835.9033851988452</v>
      </c>
      <c r="I5" s="5">
        <f>G5+IF(A5&lt;startage,1,0)*(H5*(1-initialunempprob))+IF(A5&gt;=startage,1,0)*(H5*(1-unempprob))</f>
        <v>5245.1548702245918</v>
      </c>
      <c r="J5" s="26">
        <f t="shared" ref="J5:J36" si="0">(F5-(IF(A5&gt;startage,1,0)*(unempprob*300*52)))/(IF(A5&lt;startage,1,0)*((C5+H5)*(1-initialunempprob))+IF(A5&gt;=startage,1,0)*((C5+H5)*(1-unempprob)))</f>
        <v>5.2733529074763676E-2</v>
      </c>
      <c r="L5" s="22">
        <f>0.1*Grade8!L5</f>
        <v>8106.7038578546671</v>
      </c>
      <c r="M5" s="5"/>
      <c r="N5" s="5">
        <f>L5-Grade8!L5</f>
        <v>-72960.334720692001</v>
      </c>
      <c r="O5" s="5"/>
      <c r="P5" s="22"/>
      <c r="Q5" s="22">
        <f>0.05*feel*Grade8!G5</f>
        <v>399.09613895514099</v>
      </c>
      <c r="R5" s="22">
        <f>hstuition</f>
        <v>11298</v>
      </c>
      <c r="S5" s="22">
        <f t="shared" ref="S5:S36" si="1">IF(A5&lt;startage,1,0)*(N5-Q5-R5)+IF(A5&gt;=startage,1,0)*completionprob*(N5*spart+O5+P5)</f>
        <v>-84657.430859647138</v>
      </c>
      <c r="T5" s="22">
        <f t="shared" ref="T5:T36" si="2">S5/sreturn^(A5-startage+1)</f>
        <v>-84657.430859647138</v>
      </c>
    </row>
    <row r="6" spans="1:20" x14ac:dyDescent="0.2">
      <c r="A6" s="5">
        <v>15</v>
      </c>
      <c r="B6" s="1">
        <f t="shared" ref="B6:B36" si="3">(1+experiencepremium)^(A6-startage)</f>
        <v>1</v>
      </c>
      <c r="C6" s="5">
        <f t="shared" ref="C6:C36" si="4">pretaxincome*B6/expnorm</f>
        <v>43722.822766971796</v>
      </c>
      <c r="D6" s="5">
        <f t="shared" ref="D6:D36" si="5">IF(A6&lt;startage,1,0)*(C6*(1-initialunempprob))+IF(A6=startage,1,0)*(C6*(1-unempprob))+IF(A6&gt;startage,1,0)*(C6*(1-unempprob)+unempprob*300*52)</f>
        <v>41099.453400953484</v>
      </c>
      <c r="E6" s="5">
        <f t="shared" ref="E6:E56" si="6">IF(D6-9500&gt;0,1,0)*(D6-9500)</f>
        <v>31599.453400953484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10618.971535411312</v>
      </c>
      <c r="G6" s="5">
        <f t="shared" ref="G6:G56" si="8">D6-F6</f>
        <v>30480.48186554217</v>
      </c>
      <c r="H6" s="22">
        <f t="shared" ref="H6:H36" si="9">benefits*B6/expnorm</f>
        <v>19705.363449050499</v>
      </c>
      <c r="I6" s="5">
        <f t="shared" ref="I6:I36" si="10">G6+IF(A6&lt;startage,1,0)*(H6*(1-initialunempprob))+IF(A6&gt;=startage,1,0)*(H6*(1-unempprob))</f>
        <v>49003.523507649639</v>
      </c>
      <c r="J6" s="26">
        <f t="shared" si="0"/>
        <v>0.17810344112137555</v>
      </c>
      <c r="L6" s="22">
        <f t="shared" ref="L6:L36" si="11">(sincome+sbenefits)*(1-sunemp)*B6/expnorm</f>
        <v>86163.042357211452</v>
      </c>
      <c r="M6" s="5">
        <f>scrimecost*Meta!O3</f>
        <v>2023.0400000000002</v>
      </c>
      <c r="N6" s="5">
        <f>L6-Grade8!L6</f>
        <v>3069.3278142011259</v>
      </c>
      <c r="O6" s="5">
        <f>Grade8!M6-M6</f>
        <v>42.687999999999874</v>
      </c>
      <c r="P6" s="22">
        <f t="shared" ref="P6:P37" si="12">(spart-initialspart)*(L6*J6+nptrans)</f>
        <v>175.19947473044974</v>
      </c>
      <c r="S6" s="22">
        <f t="shared" si="1"/>
        <v>2427.3744910628288</v>
      </c>
      <c r="T6" s="22">
        <f t="shared" si="2"/>
        <v>2334.4441452970041</v>
      </c>
    </row>
    <row r="7" spans="1:20" x14ac:dyDescent="0.2">
      <c r="A7" s="5">
        <v>16</v>
      </c>
      <c r="B7" s="1">
        <f t="shared" si="3"/>
        <v>1.0249999999999999</v>
      </c>
      <c r="C7" s="5">
        <f t="shared" si="4"/>
        <v>44815.893336146088</v>
      </c>
      <c r="D7" s="5">
        <f t="shared" si="5"/>
        <v>43062.939735977321</v>
      </c>
      <c r="E7" s="5">
        <f t="shared" si="6"/>
        <v>33562.939735977321</v>
      </c>
      <c r="F7" s="5">
        <f t="shared" si="7"/>
        <v>11260.049823796595</v>
      </c>
      <c r="G7" s="5">
        <f t="shared" si="8"/>
        <v>31802.889912180726</v>
      </c>
      <c r="H7" s="22">
        <f t="shared" si="9"/>
        <v>20197.997535276758</v>
      </c>
      <c r="I7" s="5">
        <f t="shared" si="10"/>
        <v>50789.007595340881</v>
      </c>
      <c r="J7" s="26">
        <f t="shared" si="0"/>
        <v>0.16893361680451013</v>
      </c>
      <c r="L7" s="22">
        <f t="shared" si="11"/>
        <v>88317.118416141733</v>
      </c>
      <c r="M7" s="5">
        <f>scrimecost*Meta!O4</f>
        <v>2559.3199999999997</v>
      </c>
      <c r="N7" s="5">
        <f>L7-Grade8!L7</f>
        <v>3146.0610095561424</v>
      </c>
      <c r="O7" s="5">
        <f>Grade8!M7-M7</f>
        <v>54.00400000000036</v>
      </c>
      <c r="P7" s="22">
        <f t="shared" si="12"/>
        <v>171.78984191832839</v>
      </c>
      <c r="S7" s="22">
        <f t="shared" si="1"/>
        <v>2490.4688500526167</v>
      </c>
      <c r="T7" s="22">
        <f t="shared" si="2"/>
        <v>2303.4273614960671</v>
      </c>
    </row>
    <row r="8" spans="1:20" x14ac:dyDescent="0.2">
      <c r="A8" s="5">
        <v>17</v>
      </c>
      <c r="B8" s="1">
        <f t="shared" si="3"/>
        <v>1.0506249999999999</v>
      </c>
      <c r="C8" s="5">
        <f t="shared" si="4"/>
        <v>45936.29066954973</v>
      </c>
      <c r="D8" s="5">
        <f t="shared" si="5"/>
        <v>44116.113229376744</v>
      </c>
      <c r="E8" s="5">
        <f t="shared" si="6"/>
        <v>34616.113229376744</v>
      </c>
      <c r="F8" s="5">
        <f t="shared" si="7"/>
        <v>11615.522292329182</v>
      </c>
      <c r="G8" s="5">
        <f t="shared" si="8"/>
        <v>32500.590937047564</v>
      </c>
      <c r="H8" s="22">
        <f t="shared" si="9"/>
        <v>20702.947473658674</v>
      </c>
      <c r="I8" s="5">
        <f t="shared" si="10"/>
        <v>51961.361562286722</v>
      </c>
      <c r="J8" s="26">
        <f t="shared" si="0"/>
        <v>0.17048805245333756</v>
      </c>
      <c r="L8" s="22">
        <f t="shared" si="11"/>
        <v>90525.046376545273</v>
      </c>
      <c r="M8" s="5">
        <f>scrimecost*Meta!O5</f>
        <v>2956.0800000000004</v>
      </c>
      <c r="N8" s="5">
        <f>L8-Grade8!L8</f>
        <v>3224.7125347950496</v>
      </c>
      <c r="O8" s="5">
        <f>Grade8!M8-M8</f>
        <v>62.375999999999749</v>
      </c>
      <c r="P8" s="22">
        <f t="shared" si="12"/>
        <v>175.89951083988228</v>
      </c>
      <c r="S8" s="22">
        <f t="shared" si="1"/>
        <v>2559.4306577200578</v>
      </c>
      <c r="T8" s="22">
        <f t="shared" si="2"/>
        <v>2276.582948304942</v>
      </c>
    </row>
    <row r="9" spans="1:20" x14ac:dyDescent="0.2">
      <c r="A9" s="5">
        <v>18</v>
      </c>
      <c r="B9" s="1">
        <f t="shared" si="3"/>
        <v>1.0768906249999999</v>
      </c>
      <c r="C9" s="5">
        <f t="shared" si="4"/>
        <v>47084.697936288474</v>
      </c>
      <c r="D9" s="5">
        <f t="shared" si="5"/>
        <v>45195.616060111162</v>
      </c>
      <c r="E9" s="5">
        <f t="shared" si="6"/>
        <v>35695.616060111162</v>
      </c>
      <c r="F9" s="5">
        <f t="shared" si="7"/>
        <v>12075.930249637411</v>
      </c>
      <c r="G9" s="5">
        <f t="shared" si="8"/>
        <v>33119.685810473748</v>
      </c>
      <c r="H9" s="22">
        <f t="shared" si="9"/>
        <v>21220.521160500146</v>
      </c>
      <c r="I9" s="5">
        <f t="shared" si="10"/>
        <v>53066.975701343879</v>
      </c>
      <c r="J9" s="26">
        <f t="shared" si="0"/>
        <v>0.17350049943447177</v>
      </c>
      <c r="L9" s="22">
        <f t="shared" si="11"/>
        <v>92788.172535958904</v>
      </c>
      <c r="M9" s="5">
        <f>scrimecost*Meta!O6</f>
        <v>3592.64</v>
      </c>
      <c r="N9" s="5">
        <f>L9-Grade8!L9</f>
        <v>3305.3303481649345</v>
      </c>
      <c r="O9" s="5">
        <f>Grade8!M9-M9</f>
        <v>75.807999999999993</v>
      </c>
      <c r="P9" s="22">
        <f t="shared" si="12"/>
        <v>181.22235421280661</v>
      </c>
      <c r="S9" s="22">
        <f t="shared" si="1"/>
        <v>2635.9584206529544</v>
      </c>
      <c r="T9" s="22">
        <f t="shared" si="2"/>
        <v>2254.890048582587</v>
      </c>
    </row>
    <row r="10" spans="1:20" x14ac:dyDescent="0.2">
      <c r="A10" s="5">
        <v>19</v>
      </c>
      <c r="B10" s="1">
        <f t="shared" si="3"/>
        <v>1.1038128906249998</v>
      </c>
      <c r="C10" s="5">
        <f t="shared" si="4"/>
        <v>48261.815384695685</v>
      </c>
      <c r="D10" s="5">
        <f t="shared" si="5"/>
        <v>46302.106461613941</v>
      </c>
      <c r="E10" s="5">
        <f t="shared" si="6"/>
        <v>36802.106461613941</v>
      </c>
      <c r="F10" s="5">
        <f t="shared" si="7"/>
        <v>12547.848405878347</v>
      </c>
      <c r="G10" s="5">
        <f t="shared" si="8"/>
        <v>33754.258055735598</v>
      </c>
      <c r="H10" s="22">
        <f t="shared" si="9"/>
        <v>21751.034189512644</v>
      </c>
      <c r="I10" s="5">
        <f t="shared" si="10"/>
        <v>54200.230193877484</v>
      </c>
      <c r="J10" s="26">
        <f t="shared" si="0"/>
        <v>0.17643947209899291</v>
      </c>
      <c r="L10" s="22">
        <f t="shared" si="11"/>
        <v>95107.876849357868</v>
      </c>
      <c r="M10" s="5">
        <f>scrimecost*Meta!O7</f>
        <v>3840.07</v>
      </c>
      <c r="N10" s="5">
        <f>L10-Grade8!L10</f>
        <v>3387.9636068690597</v>
      </c>
      <c r="O10" s="5">
        <f>Grade8!M10-M10</f>
        <v>81.028999999999996</v>
      </c>
      <c r="P10" s="22">
        <f t="shared" si="12"/>
        <v>186.67826867005402</v>
      </c>
      <c r="S10" s="22">
        <f t="shared" si="1"/>
        <v>2706.0235136591682</v>
      </c>
      <c r="T10" s="22">
        <f t="shared" si="2"/>
        <v>2226.2046428229796</v>
      </c>
    </row>
    <row r="11" spans="1:20" x14ac:dyDescent="0.2">
      <c r="A11" s="5">
        <v>20</v>
      </c>
      <c r="B11" s="1">
        <f t="shared" si="3"/>
        <v>1.1314082128906247</v>
      </c>
      <c r="C11" s="5">
        <f t="shared" si="4"/>
        <v>49468.360769313069</v>
      </c>
      <c r="D11" s="5">
        <f t="shared" si="5"/>
        <v>47436.259123154283</v>
      </c>
      <c r="E11" s="5">
        <f t="shared" si="6"/>
        <v>37936.259123154283</v>
      </c>
      <c r="F11" s="5">
        <f t="shared" si="7"/>
        <v>13031.564516025303</v>
      </c>
      <c r="G11" s="5">
        <f t="shared" si="8"/>
        <v>34404.694607128979</v>
      </c>
      <c r="H11" s="22">
        <f t="shared" si="9"/>
        <v>22294.810044250458</v>
      </c>
      <c r="I11" s="5">
        <f t="shared" si="10"/>
        <v>55361.816048724409</v>
      </c>
      <c r="J11" s="26">
        <f t="shared" si="0"/>
        <v>0.1793067625034038</v>
      </c>
      <c r="L11" s="22">
        <f t="shared" si="11"/>
        <v>97485.5737705918</v>
      </c>
      <c r="M11" s="5">
        <f>scrimecost*Meta!O8</f>
        <v>3677.6600000000003</v>
      </c>
      <c r="N11" s="5">
        <f>L11-Grade8!L11</f>
        <v>3472.6626970407669</v>
      </c>
      <c r="O11" s="5">
        <f>Grade8!M11-M11</f>
        <v>77.601999999999862</v>
      </c>
      <c r="P11" s="22">
        <f t="shared" si="12"/>
        <v>192.2705809887326</v>
      </c>
      <c r="S11" s="22">
        <f t="shared" si="1"/>
        <v>2769.2372794905223</v>
      </c>
      <c r="T11" s="22">
        <f t="shared" si="2"/>
        <v>2190.9899789229535</v>
      </c>
    </row>
    <row r="12" spans="1:20" x14ac:dyDescent="0.2">
      <c r="A12" s="5">
        <v>21</v>
      </c>
      <c r="B12" s="1">
        <f t="shared" si="3"/>
        <v>1.1596934182128902</v>
      </c>
      <c r="C12" s="5">
        <f t="shared" si="4"/>
        <v>50705.069788545894</v>
      </c>
      <c r="D12" s="5">
        <f t="shared" si="5"/>
        <v>48598.765601233135</v>
      </c>
      <c r="E12" s="5">
        <f t="shared" si="6"/>
        <v>39098.765601233135</v>
      </c>
      <c r="F12" s="5">
        <f t="shared" si="7"/>
        <v>13527.373528925931</v>
      </c>
      <c r="G12" s="5">
        <f t="shared" si="8"/>
        <v>35071.392072307208</v>
      </c>
      <c r="H12" s="22">
        <f t="shared" si="9"/>
        <v>22852.18029535672</v>
      </c>
      <c r="I12" s="5">
        <f t="shared" si="10"/>
        <v>56552.441549942523</v>
      </c>
      <c r="J12" s="26">
        <f t="shared" si="0"/>
        <v>0.1821041189955119</v>
      </c>
      <c r="L12" s="22">
        <f t="shared" si="11"/>
        <v>99922.713114856582</v>
      </c>
      <c r="M12" s="5">
        <f>scrimecost*Meta!O9</f>
        <v>3339.76</v>
      </c>
      <c r="N12" s="5">
        <f>L12-Grade8!L12</f>
        <v>3559.4792644667759</v>
      </c>
      <c r="O12" s="5">
        <f>Grade8!M12-M12</f>
        <v>70.471999999999753</v>
      </c>
      <c r="P12" s="22">
        <f t="shared" si="12"/>
        <v>198.0027011153781</v>
      </c>
      <c r="S12" s="22">
        <f t="shared" si="1"/>
        <v>2830.4864109676664</v>
      </c>
      <c r="T12" s="22">
        <f t="shared" si="2"/>
        <v>2153.7138434088365</v>
      </c>
    </row>
    <row r="13" spans="1:20" x14ac:dyDescent="0.2">
      <c r="A13" s="5">
        <v>22</v>
      </c>
      <c r="B13" s="1">
        <f t="shared" si="3"/>
        <v>1.1886857536682125</v>
      </c>
      <c r="C13" s="5">
        <f t="shared" si="4"/>
        <v>51972.696533259543</v>
      </c>
      <c r="D13" s="5">
        <f t="shared" si="5"/>
        <v>49790.33474126397</v>
      </c>
      <c r="E13" s="5">
        <f t="shared" si="6"/>
        <v>40290.33474126397</v>
      </c>
      <c r="F13" s="5">
        <f t="shared" si="7"/>
        <v>14035.577767149083</v>
      </c>
      <c r="G13" s="5">
        <f t="shared" si="8"/>
        <v>35754.756974114891</v>
      </c>
      <c r="H13" s="22">
        <f t="shared" si="9"/>
        <v>23423.484802740637</v>
      </c>
      <c r="I13" s="5">
        <f t="shared" si="10"/>
        <v>57772.832688691087</v>
      </c>
      <c r="J13" s="26">
        <f t="shared" si="0"/>
        <v>0.18483324728049552</v>
      </c>
      <c r="L13" s="22">
        <f t="shared" si="11"/>
        <v>102420.780942728</v>
      </c>
      <c r="M13" s="5">
        <f>scrimecost*Meta!O10</f>
        <v>3060.72</v>
      </c>
      <c r="N13" s="5">
        <f>L13-Grade8!L13</f>
        <v>3648.4662460784602</v>
      </c>
      <c r="O13" s="5">
        <f>Grade8!M13-M13</f>
        <v>64.583999999999833</v>
      </c>
      <c r="P13" s="22">
        <f t="shared" si="12"/>
        <v>203.87812424518984</v>
      </c>
      <c r="S13" s="22">
        <f t="shared" si="1"/>
        <v>2894.6586157317574</v>
      </c>
      <c r="T13" s="22">
        <f t="shared" si="2"/>
        <v>2118.2195945731351</v>
      </c>
    </row>
    <row r="14" spans="1:20" x14ac:dyDescent="0.2">
      <c r="A14" s="5">
        <v>23</v>
      </c>
      <c r="B14" s="1">
        <f t="shared" si="3"/>
        <v>1.2184028975099177</v>
      </c>
      <c r="C14" s="5">
        <f t="shared" si="4"/>
        <v>53272.013946591032</v>
      </c>
      <c r="D14" s="5">
        <f t="shared" si="5"/>
        <v>51011.693109795568</v>
      </c>
      <c r="E14" s="5">
        <f t="shared" si="6"/>
        <v>41511.693109795568</v>
      </c>
      <c r="F14" s="5">
        <f t="shared" si="7"/>
        <v>14556.48711132781</v>
      </c>
      <c r="G14" s="5">
        <f t="shared" si="8"/>
        <v>36455.205998467762</v>
      </c>
      <c r="H14" s="22">
        <f t="shared" si="9"/>
        <v>24009.071922809151</v>
      </c>
      <c r="I14" s="5">
        <f t="shared" si="10"/>
        <v>59023.733605908361</v>
      </c>
      <c r="J14" s="26">
        <f t="shared" si="0"/>
        <v>0.18749581146096733</v>
      </c>
      <c r="L14" s="22">
        <f t="shared" si="11"/>
        <v>104981.30046629619</v>
      </c>
      <c r="M14" s="5">
        <f>scrimecost*Meta!O11</f>
        <v>2860.1600000000003</v>
      </c>
      <c r="N14" s="5">
        <f>L14-Grade8!L14</f>
        <v>3739.6779022304399</v>
      </c>
      <c r="O14" s="5">
        <f>Grade8!M14-M14</f>
        <v>60.351999999999862</v>
      </c>
      <c r="P14" s="22">
        <f t="shared" si="12"/>
        <v>209.90043295324685</v>
      </c>
      <c r="S14" s="22">
        <f t="shared" si="1"/>
        <v>2962.2022616149534</v>
      </c>
      <c r="T14" s="22">
        <f t="shared" si="2"/>
        <v>2084.6590806654854</v>
      </c>
    </row>
    <row r="15" spans="1:20" x14ac:dyDescent="0.2">
      <c r="A15" s="5">
        <v>24</v>
      </c>
      <c r="B15" s="1">
        <f t="shared" si="3"/>
        <v>1.2488629699476654</v>
      </c>
      <c r="C15" s="5">
        <f t="shared" si="4"/>
        <v>54603.814295255797</v>
      </c>
      <c r="D15" s="5">
        <f t="shared" si="5"/>
        <v>52263.585437540445</v>
      </c>
      <c r="E15" s="5">
        <f t="shared" si="6"/>
        <v>42763.585437540445</v>
      </c>
      <c r="F15" s="5">
        <f t="shared" si="7"/>
        <v>15090.419189111002</v>
      </c>
      <c r="G15" s="5">
        <f t="shared" si="8"/>
        <v>37173.166248429443</v>
      </c>
      <c r="H15" s="22">
        <f t="shared" si="9"/>
        <v>24609.298720879378</v>
      </c>
      <c r="I15" s="5">
        <f t="shared" si="10"/>
        <v>60305.907046056062</v>
      </c>
      <c r="J15" s="26">
        <f t="shared" si="0"/>
        <v>0.19009343505167153</v>
      </c>
      <c r="L15" s="22">
        <f t="shared" si="11"/>
        <v>107605.83297795359</v>
      </c>
      <c r="M15" s="5">
        <f>scrimecost*Meta!O12</f>
        <v>2732.63</v>
      </c>
      <c r="N15" s="5">
        <f>L15-Grade8!L15</f>
        <v>3833.1698497861798</v>
      </c>
      <c r="O15" s="5">
        <f>Grade8!M15-M15</f>
        <v>57.661000000000058</v>
      </c>
      <c r="P15" s="22">
        <f t="shared" si="12"/>
        <v>216.07329937900525</v>
      </c>
      <c r="S15" s="22">
        <f t="shared" si="1"/>
        <v>3033.048362645201</v>
      </c>
      <c r="T15" s="22">
        <f t="shared" si="2"/>
        <v>2052.7987356365252</v>
      </c>
    </row>
    <row r="16" spans="1:20" x14ac:dyDescent="0.2">
      <c r="A16" s="5">
        <v>25</v>
      </c>
      <c r="B16" s="1">
        <f t="shared" si="3"/>
        <v>1.2800845441963571</v>
      </c>
      <c r="C16" s="5">
        <f t="shared" si="4"/>
        <v>55968.909652637194</v>
      </c>
      <c r="D16" s="5">
        <f t="shared" si="5"/>
        <v>53546.775073478959</v>
      </c>
      <c r="E16" s="5">
        <f t="shared" si="6"/>
        <v>44046.775073478959</v>
      </c>
      <c r="F16" s="5">
        <f t="shared" si="7"/>
        <v>15637.699568838776</v>
      </c>
      <c r="G16" s="5">
        <f t="shared" si="8"/>
        <v>37909.075504640183</v>
      </c>
      <c r="H16" s="22">
        <f t="shared" si="9"/>
        <v>25224.531188901361</v>
      </c>
      <c r="I16" s="5">
        <f t="shared" si="10"/>
        <v>61620.134822207459</v>
      </c>
      <c r="J16" s="26">
        <f t="shared" si="0"/>
        <v>0.19262770196943166</v>
      </c>
      <c r="L16" s="22">
        <f t="shared" si="11"/>
        <v>110295.97880240243</v>
      </c>
      <c r="M16" s="5">
        <f>scrimecost*Meta!O13</f>
        <v>2294.4499999999998</v>
      </c>
      <c r="N16" s="5">
        <f>L16-Grade8!L16</f>
        <v>3928.9990960308351</v>
      </c>
      <c r="O16" s="5">
        <f>Grade8!M16-M16</f>
        <v>48.414999999999964</v>
      </c>
      <c r="P16" s="22">
        <f t="shared" si="12"/>
        <v>222.40048746540759</v>
      </c>
      <c r="S16" s="22">
        <f t="shared" si="1"/>
        <v>3099.3076457012198</v>
      </c>
      <c r="T16" s="22">
        <f t="shared" si="2"/>
        <v>2017.3368769421654</v>
      </c>
    </row>
    <row r="17" spans="1:20" x14ac:dyDescent="0.2">
      <c r="A17" s="5">
        <v>26</v>
      </c>
      <c r="B17" s="1">
        <f t="shared" si="3"/>
        <v>1.312086657801266</v>
      </c>
      <c r="C17" s="5">
        <f t="shared" si="4"/>
        <v>57368.132393953121</v>
      </c>
      <c r="D17" s="5">
        <f t="shared" si="5"/>
        <v>54862.044450315931</v>
      </c>
      <c r="E17" s="5">
        <f t="shared" si="6"/>
        <v>45362.044450315931</v>
      </c>
      <c r="F17" s="5">
        <f t="shared" si="7"/>
        <v>16198.661958059743</v>
      </c>
      <c r="G17" s="5">
        <f t="shared" si="8"/>
        <v>38663.382492256191</v>
      </c>
      <c r="H17" s="22">
        <f t="shared" si="9"/>
        <v>25855.144468623894</v>
      </c>
      <c r="I17" s="5">
        <f t="shared" si="10"/>
        <v>62967.218292762649</v>
      </c>
      <c r="J17" s="26">
        <f t="shared" si="0"/>
        <v>0.19510015749895379</v>
      </c>
      <c r="L17" s="22">
        <f t="shared" si="11"/>
        <v>113053.37827246248</v>
      </c>
      <c r="M17" s="5">
        <f>scrimecost*Meta!O14</f>
        <v>2294.4499999999998</v>
      </c>
      <c r="N17" s="5">
        <f>L17-Grade8!L17</f>
        <v>4027.2240734316001</v>
      </c>
      <c r="O17" s="5">
        <f>Grade8!M17-M17</f>
        <v>48.414999999999964</v>
      </c>
      <c r="P17" s="22">
        <f t="shared" si="12"/>
        <v>228.88585525397005</v>
      </c>
      <c r="S17" s="22">
        <f t="shared" si="1"/>
        <v>3176.5110178336354</v>
      </c>
      <c r="T17" s="22">
        <f t="shared" si="2"/>
        <v>1988.4323016244098</v>
      </c>
    </row>
    <row r="18" spans="1:20" x14ac:dyDescent="0.2">
      <c r="A18" s="5">
        <v>27</v>
      </c>
      <c r="B18" s="1">
        <f t="shared" si="3"/>
        <v>1.3448888242462975</v>
      </c>
      <c r="C18" s="5">
        <f t="shared" si="4"/>
        <v>58802.335703801946</v>
      </c>
      <c r="D18" s="5">
        <f t="shared" si="5"/>
        <v>56210.195561573826</v>
      </c>
      <c r="E18" s="5">
        <f t="shared" si="6"/>
        <v>46710.195561573826</v>
      </c>
      <c r="F18" s="5">
        <f t="shared" si="7"/>
        <v>16773.648407011235</v>
      </c>
      <c r="G18" s="5">
        <f t="shared" si="8"/>
        <v>39436.547154562591</v>
      </c>
      <c r="H18" s="22">
        <f t="shared" si="9"/>
        <v>26501.523080339492</v>
      </c>
      <c r="I18" s="5">
        <f t="shared" si="10"/>
        <v>64347.978850081709</v>
      </c>
      <c r="J18" s="26">
        <f t="shared" si="0"/>
        <v>0.19751230923507293</v>
      </c>
      <c r="L18" s="22">
        <f t="shared" si="11"/>
        <v>115879.71272927405</v>
      </c>
      <c r="M18" s="5">
        <f>scrimecost*Meta!O15</f>
        <v>2294.4499999999998</v>
      </c>
      <c r="N18" s="5">
        <f>L18-Grade8!L18</f>
        <v>4127.9046752674185</v>
      </c>
      <c r="O18" s="5">
        <f>Grade8!M18-M18</f>
        <v>48.414999999999964</v>
      </c>
      <c r="P18" s="22">
        <f t="shared" si="12"/>
        <v>235.53335723724655</v>
      </c>
      <c r="S18" s="22">
        <f t="shared" si="1"/>
        <v>3255.6444742693852</v>
      </c>
      <c r="T18" s="22">
        <f t="shared" si="2"/>
        <v>1959.9460622337426</v>
      </c>
    </row>
    <row r="19" spans="1:20" x14ac:dyDescent="0.2">
      <c r="A19" s="5">
        <v>28</v>
      </c>
      <c r="B19" s="1">
        <f t="shared" si="3"/>
        <v>1.3785110448524549</v>
      </c>
      <c r="C19" s="5">
        <f t="shared" si="4"/>
        <v>60272.394096396987</v>
      </c>
      <c r="D19" s="5">
        <f t="shared" si="5"/>
        <v>57592.050450613162</v>
      </c>
      <c r="E19" s="5">
        <f t="shared" si="6"/>
        <v>48092.050450613162</v>
      </c>
      <c r="F19" s="5">
        <f t="shared" si="7"/>
        <v>17363.00951718651</v>
      </c>
      <c r="G19" s="5">
        <f t="shared" si="8"/>
        <v>40229.040933426651</v>
      </c>
      <c r="H19" s="22">
        <f t="shared" si="9"/>
        <v>27164.061157347976</v>
      </c>
      <c r="I19" s="5">
        <f t="shared" si="10"/>
        <v>65763.25842133374</v>
      </c>
      <c r="J19" s="26">
        <f t="shared" si="0"/>
        <v>0.1998656280020184</v>
      </c>
      <c r="L19" s="22">
        <f t="shared" si="11"/>
        <v>118776.70554750589</v>
      </c>
      <c r="M19" s="5">
        <f>scrimecost*Meta!O16</f>
        <v>2294.4499999999998</v>
      </c>
      <c r="N19" s="5">
        <f>L19-Grade8!L19</f>
        <v>4231.1022921490949</v>
      </c>
      <c r="O19" s="5">
        <f>Grade8!M19-M19</f>
        <v>48.414999999999964</v>
      </c>
      <c r="P19" s="22">
        <f t="shared" si="12"/>
        <v>242.34704677010492</v>
      </c>
      <c r="S19" s="22">
        <f t="shared" si="1"/>
        <v>3336.7562671160022</v>
      </c>
      <c r="T19" s="22">
        <f t="shared" si="2"/>
        <v>1931.8719448027314</v>
      </c>
    </row>
    <row r="20" spans="1:20" x14ac:dyDescent="0.2">
      <c r="A20" s="5">
        <v>29</v>
      </c>
      <c r="B20" s="1">
        <f t="shared" si="3"/>
        <v>1.4129738209737661</v>
      </c>
      <c r="C20" s="5">
        <f t="shared" si="4"/>
        <v>61779.203948806906</v>
      </c>
      <c r="D20" s="5">
        <f t="shared" si="5"/>
        <v>59008.451711878486</v>
      </c>
      <c r="E20" s="5">
        <f t="shared" si="6"/>
        <v>49508.451711878486</v>
      </c>
      <c r="F20" s="5">
        <f t="shared" si="7"/>
        <v>17967.104655116174</v>
      </c>
      <c r="G20" s="5">
        <f t="shared" si="8"/>
        <v>41041.347056762315</v>
      </c>
      <c r="H20" s="22">
        <f t="shared" si="9"/>
        <v>27843.162686281674</v>
      </c>
      <c r="I20" s="5">
        <f t="shared" si="10"/>
        <v>67213.91998186709</v>
      </c>
      <c r="J20" s="26">
        <f t="shared" si="0"/>
        <v>0.20216154875025796</v>
      </c>
      <c r="L20" s="22">
        <f t="shared" si="11"/>
        <v>121746.12318619351</v>
      </c>
      <c r="M20" s="5">
        <f>scrimecost*Meta!O17</f>
        <v>2294.4499999999998</v>
      </c>
      <c r="N20" s="5">
        <f>L20-Grade8!L20</f>
        <v>4336.8798494527873</v>
      </c>
      <c r="O20" s="5">
        <f>Grade8!M20-M20</f>
        <v>48.414999999999964</v>
      </c>
      <c r="P20" s="22">
        <f t="shared" si="12"/>
        <v>249.3310785412848</v>
      </c>
      <c r="S20" s="22">
        <f t="shared" si="1"/>
        <v>3419.8958547837656</v>
      </c>
      <c r="T20" s="22">
        <f t="shared" si="2"/>
        <v>1904.2038336708795</v>
      </c>
    </row>
    <row r="21" spans="1:20" x14ac:dyDescent="0.2">
      <c r="A21" s="5">
        <v>30</v>
      </c>
      <c r="B21" s="1">
        <f t="shared" si="3"/>
        <v>1.4482981664981105</v>
      </c>
      <c r="C21" s="5">
        <f t="shared" si="4"/>
        <v>63323.684047527095</v>
      </c>
      <c r="D21" s="5">
        <f t="shared" si="5"/>
        <v>60460.263004675464</v>
      </c>
      <c r="E21" s="5">
        <f t="shared" si="6"/>
        <v>50960.263004675464</v>
      </c>
      <c r="F21" s="5">
        <f t="shared" si="7"/>
        <v>18586.302171494084</v>
      </c>
      <c r="G21" s="5">
        <f t="shared" si="8"/>
        <v>41873.96083318138</v>
      </c>
      <c r="H21" s="22">
        <f t="shared" si="9"/>
        <v>28539.241753438717</v>
      </c>
      <c r="I21" s="5">
        <f t="shared" si="10"/>
        <v>68700.848081413773</v>
      </c>
      <c r="J21" s="26">
        <f t="shared" si="0"/>
        <v>0.20440147143146728</v>
      </c>
      <c r="L21" s="22">
        <f t="shared" si="11"/>
        <v>124789.77626584838</v>
      </c>
      <c r="M21" s="5">
        <f>scrimecost*Meta!O18</f>
        <v>1849.73</v>
      </c>
      <c r="N21" s="5">
        <f>L21-Grade8!L21</f>
        <v>4445.3018456891441</v>
      </c>
      <c r="O21" s="5">
        <f>Grade8!M21-M21</f>
        <v>39.030999999999949</v>
      </c>
      <c r="P21" s="22">
        <f t="shared" si="12"/>
        <v>256.48971110674427</v>
      </c>
      <c r="S21" s="22">
        <f t="shared" si="1"/>
        <v>3495.9176121432752</v>
      </c>
      <c r="T21" s="22">
        <f t="shared" si="2"/>
        <v>1872.0112188821279</v>
      </c>
    </row>
    <row r="22" spans="1:20" x14ac:dyDescent="0.2">
      <c r="A22" s="5">
        <v>31</v>
      </c>
      <c r="B22" s="1">
        <f t="shared" si="3"/>
        <v>1.4845056206605631</v>
      </c>
      <c r="C22" s="5">
        <f t="shared" si="4"/>
        <v>64906.77614871526</v>
      </c>
      <c r="D22" s="5">
        <f t="shared" si="5"/>
        <v>61948.369579792343</v>
      </c>
      <c r="E22" s="5">
        <f t="shared" si="6"/>
        <v>52448.369579792343</v>
      </c>
      <c r="F22" s="5">
        <f t="shared" si="7"/>
        <v>19220.979625781434</v>
      </c>
      <c r="G22" s="5">
        <f t="shared" si="8"/>
        <v>42727.389954010912</v>
      </c>
      <c r="H22" s="22">
        <f t="shared" si="9"/>
        <v>29252.722797274684</v>
      </c>
      <c r="I22" s="5">
        <f t="shared" si="10"/>
        <v>70224.949383449115</v>
      </c>
      <c r="J22" s="26">
        <f t="shared" si="0"/>
        <v>0.2065867618521593</v>
      </c>
      <c r="L22" s="22">
        <f t="shared" si="11"/>
        <v>127909.52067249457</v>
      </c>
      <c r="M22" s="5">
        <f>scrimecost*Meta!O19</f>
        <v>1849.73</v>
      </c>
      <c r="N22" s="5">
        <f>L22-Grade8!L22</f>
        <v>4556.4343918313825</v>
      </c>
      <c r="O22" s="5">
        <f>Grade8!M22-M22</f>
        <v>39.030999999999949</v>
      </c>
      <c r="P22" s="22">
        <f t="shared" si="12"/>
        <v>263.82730948634008</v>
      </c>
      <c r="S22" s="22">
        <f t="shared" si="1"/>
        <v>3583.2661414367531</v>
      </c>
      <c r="T22" s="22">
        <f t="shared" si="2"/>
        <v>1845.3256884657696</v>
      </c>
    </row>
    <row r="23" spans="1:20" x14ac:dyDescent="0.2">
      <c r="A23" s="5">
        <v>32</v>
      </c>
      <c r="B23" s="1">
        <f t="shared" si="3"/>
        <v>1.521618261177077</v>
      </c>
      <c r="C23" s="5">
        <f t="shared" si="4"/>
        <v>66529.445552433128</v>
      </c>
      <c r="D23" s="5">
        <f t="shared" si="5"/>
        <v>63473.678819287139</v>
      </c>
      <c r="E23" s="5">
        <f t="shared" si="6"/>
        <v>53973.678819287139</v>
      </c>
      <c r="F23" s="5">
        <f t="shared" si="7"/>
        <v>19871.524016425967</v>
      </c>
      <c r="G23" s="5">
        <f t="shared" si="8"/>
        <v>43602.154802861172</v>
      </c>
      <c r="H23" s="22">
        <f t="shared" si="9"/>
        <v>29984.040867206546</v>
      </c>
      <c r="I23" s="5">
        <f t="shared" si="10"/>
        <v>71787.153218035324</v>
      </c>
      <c r="J23" s="26">
        <f t="shared" si="0"/>
        <v>0.20871875250649294</v>
      </c>
      <c r="L23" s="22">
        <f t="shared" si="11"/>
        <v>131107.25868930691</v>
      </c>
      <c r="M23" s="5">
        <f>scrimecost*Meta!O20</f>
        <v>1849.73</v>
      </c>
      <c r="N23" s="5">
        <f>L23-Grade8!L23</f>
        <v>4670.3452516271209</v>
      </c>
      <c r="O23" s="5">
        <f>Grade8!M23-M23</f>
        <v>39.030999999999949</v>
      </c>
      <c r="P23" s="22">
        <f t="shared" si="12"/>
        <v>271.34834782542578</v>
      </c>
      <c r="S23" s="22">
        <f t="shared" si="1"/>
        <v>3672.7983839625267</v>
      </c>
      <c r="T23" s="22">
        <f t="shared" si="2"/>
        <v>1819.0211718820099</v>
      </c>
    </row>
    <row r="24" spans="1:20" x14ac:dyDescent="0.2">
      <c r="A24" s="5">
        <v>33</v>
      </c>
      <c r="B24" s="1">
        <f t="shared" si="3"/>
        <v>1.559658717706504</v>
      </c>
      <c r="C24" s="5">
        <f t="shared" si="4"/>
        <v>68192.681691243968</v>
      </c>
      <c r="D24" s="5">
        <f t="shared" si="5"/>
        <v>65037.120789769324</v>
      </c>
      <c r="E24" s="5">
        <f t="shared" si="6"/>
        <v>55537.120789769324</v>
      </c>
      <c r="F24" s="5">
        <f t="shared" si="7"/>
        <v>20538.332016836615</v>
      </c>
      <c r="G24" s="5">
        <f t="shared" si="8"/>
        <v>44498.788772932705</v>
      </c>
      <c r="H24" s="22">
        <f t="shared" si="9"/>
        <v>30733.641888886712</v>
      </c>
      <c r="I24" s="5">
        <f t="shared" si="10"/>
        <v>73388.412148486212</v>
      </c>
      <c r="J24" s="26">
        <f t="shared" si="0"/>
        <v>0.21079874338876964</v>
      </c>
      <c r="L24" s="22">
        <f t="shared" si="11"/>
        <v>134384.94015653958</v>
      </c>
      <c r="M24" s="5">
        <f>scrimecost*Meta!O21</f>
        <v>1849.73</v>
      </c>
      <c r="N24" s="5">
        <f>L24-Grade8!L24</f>
        <v>4787.1038829178142</v>
      </c>
      <c r="O24" s="5">
        <f>Grade8!M24-M24</f>
        <v>39.030999999999949</v>
      </c>
      <c r="P24" s="22">
        <f t="shared" si="12"/>
        <v>279.05741212298864</v>
      </c>
      <c r="S24" s="22">
        <f t="shared" si="1"/>
        <v>3764.56893255149</v>
      </c>
      <c r="T24" s="22">
        <f t="shared" si="2"/>
        <v>1793.0922056598804</v>
      </c>
    </row>
    <row r="25" spans="1:20" x14ac:dyDescent="0.2">
      <c r="A25" s="5">
        <v>34</v>
      </c>
      <c r="B25" s="1">
        <f t="shared" si="3"/>
        <v>1.5986501856491666</v>
      </c>
      <c r="C25" s="5">
        <f t="shared" si="4"/>
        <v>69897.498733525063</v>
      </c>
      <c r="D25" s="5">
        <f t="shared" si="5"/>
        <v>66639.648809513557</v>
      </c>
      <c r="E25" s="5">
        <f t="shared" si="6"/>
        <v>57139.648809513557</v>
      </c>
      <c r="F25" s="5">
        <f t="shared" si="7"/>
        <v>21221.810217257531</v>
      </c>
      <c r="G25" s="5">
        <f t="shared" si="8"/>
        <v>45417.838592256026</v>
      </c>
      <c r="H25" s="22">
        <f t="shared" si="9"/>
        <v>31501.982936108878</v>
      </c>
      <c r="I25" s="5">
        <f t="shared" si="10"/>
        <v>75029.702552198374</v>
      </c>
      <c r="J25" s="26">
        <f t="shared" si="0"/>
        <v>0.2128280027861128</v>
      </c>
      <c r="L25" s="22">
        <f t="shared" si="11"/>
        <v>137744.56366045307</v>
      </c>
      <c r="M25" s="5">
        <f>scrimecost*Meta!O22</f>
        <v>1849.73</v>
      </c>
      <c r="N25" s="5">
        <f>L25-Grade8!L25</f>
        <v>4906.7814799907792</v>
      </c>
      <c r="O25" s="5">
        <f>Grade8!M25-M25</f>
        <v>39.030999999999949</v>
      </c>
      <c r="P25" s="22">
        <f t="shared" si="12"/>
        <v>286.95920302799067</v>
      </c>
      <c r="S25" s="22">
        <f t="shared" si="1"/>
        <v>3858.6337448551799</v>
      </c>
      <c r="T25" s="22">
        <f t="shared" si="2"/>
        <v>1767.5334055637366</v>
      </c>
    </row>
    <row r="26" spans="1:20" x14ac:dyDescent="0.2">
      <c r="A26" s="5">
        <v>35</v>
      </c>
      <c r="B26" s="1">
        <f t="shared" si="3"/>
        <v>1.6386164402903955</v>
      </c>
      <c r="C26" s="5">
        <f t="shared" si="4"/>
        <v>71644.93620186318</v>
      </c>
      <c r="D26" s="5">
        <f t="shared" si="5"/>
        <v>68282.240029751381</v>
      </c>
      <c r="E26" s="5">
        <f t="shared" si="6"/>
        <v>58782.240029751381</v>
      </c>
      <c r="F26" s="5">
        <f t="shared" si="7"/>
        <v>21922.375372688963</v>
      </c>
      <c r="G26" s="5">
        <f t="shared" si="8"/>
        <v>46359.864657062419</v>
      </c>
      <c r="H26" s="22">
        <f t="shared" si="9"/>
        <v>32289.532509511599</v>
      </c>
      <c r="I26" s="5">
        <f t="shared" si="10"/>
        <v>76712.025216003327</v>
      </c>
      <c r="J26" s="26">
        <f t="shared" si="0"/>
        <v>0.21480776805181342</v>
      </c>
      <c r="L26" s="22">
        <f t="shared" si="11"/>
        <v>141188.17775196439</v>
      </c>
      <c r="M26" s="5">
        <f>scrimecost*Meta!O23</f>
        <v>1435.53</v>
      </c>
      <c r="N26" s="5">
        <f>L26-Grade8!L26</f>
        <v>5029.4510169905552</v>
      </c>
      <c r="O26" s="5">
        <f>Grade8!M26-M26</f>
        <v>30.29099999999994</v>
      </c>
      <c r="P26" s="22">
        <f t="shared" si="12"/>
        <v>295.05853870561765</v>
      </c>
      <c r="S26" s="22">
        <f t="shared" si="1"/>
        <v>3946.4849774664522</v>
      </c>
      <c r="T26" s="22">
        <f t="shared" si="2"/>
        <v>1738.5661919195206</v>
      </c>
    </row>
    <row r="27" spans="1:20" x14ac:dyDescent="0.2">
      <c r="A27" s="5">
        <v>36</v>
      </c>
      <c r="B27" s="1">
        <f t="shared" si="3"/>
        <v>1.6795818512976552</v>
      </c>
      <c r="C27" s="5">
        <f t="shared" si="4"/>
        <v>73436.059606909752</v>
      </c>
      <c r="D27" s="5">
        <f t="shared" si="5"/>
        <v>69965.896030495162</v>
      </c>
      <c r="E27" s="5">
        <f t="shared" si="6"/>
        <v>60465.896030495162</v>
      </c>
      <c r="F27" s="5">
        <f t="shared" si="7"/>
        <v>22640.454657006187</v>
      </c>
      <c r="G27" s="5">
        <f t="shared" si="8"/>
        <v>47325.441373488975</v>
      </c>
      <c r="H27" s="22">
        <f t="shared" si="9"/>
        <v>33096.770822249382</v>
      </c>
      <c r="I27" s="5">
        <f t="shared" si="10"/>
        <v>78436.405946403393</v>
      </c>
      <c r="J27" s="26">
        <f t="shared" si="0"/>
        <v>0.21673924635981404</v>
      </c>
      <c r="L27" s="22">
        <f t="shared" si="11"/>
        <v>144717.88219576346</v>
      </c>
      <c r="M27" s="5">
        <f>scrimecost*Meta!O24</f>
        <v>1435.53</v>
      </c>
      <c r="N27" s="5">
        <f>L27-Grade8!L27</f>
        <v>5155.1872924152995</v>
      </c>
      <c r="O27" s="5">
        <f>Grade8!M27-M27</f>
        <v>30.29099999999994</v>
      </c>
      <c r="P27" s="22">
        <f t="shared" si="12"/>
        <v>303.36035777518532</v>
      </c>
      <c r="S27" s="22">
        <f t="shared" si="1"/>
        <v>4045.3118208929891</v>
      </c>
      <c r="T27" s="22">
        <f t="shared" si="2"/>
        <v>1713.8763395673061</v>
      </c>
    </row>
    <row r="28" spans="1:20" x14ac:dyDescent="0.2">
      <c r="A28" s="5">
        <v>37</v>
      </c>
      <c r="B28" s="1">
        <f t="shared" si="3"/>
        <v>1.7215713975800966</v>
      </c>
      <c r="C28" s="5">
        <f t="shared" si="4"/>
        <v>75271.961097082502</v>
      </c>
      <c r="D28" s="5">
        <f t="shared" si="5"/>
        <v>71691.643431257544</v>
      </c>
      <c r="E28" s="5">
        <f t="shared" si="6"/>
        <v>62191.643431257544</v>
      </c>
      <c r="F28" s="5">
        <f t="shared" si="7"/>
        <v>23376.485923431341</v>
      </c>
      <c r="G28" s="5">
        <f t="shared" si="8"/>
        <v>48315.157507826203</v>
      </c>
      <c r="H28" s="22">
        <f t="shared" si="9"/>
        <v>33924.190092805613</v>
      </c>
      <c r="I28" s="5">
        <f t="shared" si="10"/>
        <v>80203.896195063484</v>
      </c>
      <c r="J28" s="26">
        <f t="shared" si="0"/>
        <v>0.21862361544079029</v>
      </c>
      <c r="L28" s="22">
        <f t="shared" si="11"/>
        <v>148335.82925065758</v>
      </c>
      <c r="M28" s="5">
        <f>scrimecost*Meta!O25</f>
        <v>1435.53</v>
      </c>
      <c r="N28" s="5">
        <f>L28-Grade8!L28</f>
        <v>5284.0669747256907</v>
      </c>
      <c r="O28" s="5">
        <f>Grade8!M28-M28</f>
        <v>30.29099999999994</v>
      </c>
      <c r="P28" s="22">
        <f t="shared" si="12"/>
        <v>311.86972232149219</v>
      </c>
      <c r="S28" s="22">
        <f t="shared" si="1"/>
        <v>4146.6093354052082</v>
      </c>
      <c r="T28" s="22">
        <f t="shared" si="2"/>
        <v>1689.5354338682587</v>
      </c>
    </row>
    <row r="29" spans="1:20" x14ac:dyDescent="0.2">
      <c r="A29" s="5">
        <v>38</v>
      </c>
      <c r="B29" s="1">
        <f t="shared" si="3"/>
        <v>1.7646106825195991</v>
      </c>
      <c r="C29" s="5">
        <f t="shared" si="4"/>
        <v>77153.760124509557</v>
      </c>
      <c r="D29" s="5">
        <f t="shared" si="5"/>
        <v>73460.534517038977</v>
      </c>
      <c r="E29" s="5">
        <f t="shared" si="6"/>
        <v>63960.534517038977</v>
      </c>
      <c r="F29" s="5">
        <f t="shared" si="7"/>
        <v>24130.917971517123</v>
      </c>
      <c r="G29" s="5">
        <f t="shared" si="8"/>
        <v>49329.616545521858</v>
      </c>
      <c r="H29" s="22">
        <f t="shared" si="9"/>
        <v>34772.294845125762</v>
      </c>
      <c r="I29" s="5">
        <f t="shared" si="10"/>
        <v>82015.573699940069</v>
      </c>
      <c r="J29" s="26">
        <f t="shared" si="0"/>
        <v>0.22046202430027922</v>
      </c>
      <c r="L29" s="22">
        <f t="shared" si="11"/>
        <v>152044.22498192402</v>
      </c>
      <c r="M29" s="5">
        <f>scrimecost*Meta!O26</f>
        <v>1435.53</v>
      </c>
      <c r="N29" s="5">
        <f>L29-Grade8!L29</f>
        <v>5416.16864909383</v>
      </c>
      <c r="O29" s="5">
        <f>Grade8!M29-M29</f>
        <v>30.29099999999994</v>
      </c>
      <c r="P29" s="22">
        <f t="shared" si="12"/>
        <v>320.59182098145669</v>
      </c>
      <c r="S29" s="22">
        <f t="shared" si="1"/>
        <v>4250.4392877802247</v>
      </c>
      <c r="T29" s="22">
        <f t="shared" si="2"/>
        <v>1665.5386076142122</v>
      </c>
    </row>
    <row r="30" spans="1:20" x14ac:dyDescent="0.2">
      <c r="A30" s="5">
        <v>39</v>
      </c>
      <c r="B30" s="1">
        <f t="shared" si="3"/>
        <v>1.8087259495825889</v>
      </c>
      <c r="C30" s="5">
        <f t="shared" si="4"/>
        <v>79082.604127622282</v>
      </c>
      <c r="D30" s="5">
        <f t="shared" si="5"/>
        <v>75273.647879964934</v>
      </c>
      <c r="E30" s="5">
        <f t="shared" si="6"/>
        <v>65773.647879964934</v>
      </c>
      <c r="F30" s="5">
        <f t="shared" si="7"/>
        <v>24904.210820805041</v>
      </c>
      <c r="G30" s="5">
        <f t="shared" si="8"/>
        <v>50369.437059159893</v>
      </c>
      <c r="H30" s="22">
        <f t="shared" si="9"/>
        <v>35641.602216253901</v>
      </c>
      <c r="I30" s="5">
        <f t="shared" si="10"/>
        <v>83872.543142438561</v>
      </c>
      <c r="J30" s="26">
        <f t="shared" si="0"/>
        <v>0.22225559391929284</v>
      </c>
      <c r="L30" s="22">
        <f t="shared" si="11"/>
        <v>155845.33060647213</v>
      </c>
      <c r="M30" s="5">
        <f>scrimecost*Meta!O27</f>
        <v>1435.53</v>
      </c>
      <c r="N30" s="5">
        <f>L30-Grade8!L30</f>
        <v>5551.5728653212136</v>
      </c>
      <c r="O30" s="5">
        <f>Grade8!M30-M30</f>
        <v>30.29099999999994</v>
      </c>
      <c r="P30" s="22">
        <f t="shared" si="12"/>
        <v>329.53197210792035</v>
      </c>
      <c r="S30" s="22">
        <f t="shared" si="1"/>
        <v>4356.8649889646467</v>
      </c>
      <c r="T30" s="22">
        <f t="shared" si="2"/>
        <v>1641.8810589970269</v>
      </c>
    </row>
    <row r="31" spans="1:20" x14ac:dyDescent="0.2">
      <c r="A31" s="5">
        <v>40</v>
      </c>
      <c r="B31" s="1">
        <f t="shared" si="3"/>
        <v>1.8539440983221533</v>
      </c>
      <c r="C31" s="5">
        <f t="shared" si="4"/>
        <v>81059.66923081284</v>
      </c>
      <c r="D31" s="5">
        <f t="shared" si="5"/>
        <v>77132.089076964068</v>
      </c>
      <c r="E31" s="5">
        <f t="shared" si="6"/>
        <v>67632.089076964068</v>
      </c>
      <c r="F31" s="5">
        <f t="shared" si="7"/>
        <v>25696.835991325177</v>
      </c>
      <c r="G31" s="5">
        <f t="shared" si="8"/>
        <v>51435.253085638891</v>
      </c>
      <c r="H31" s="22">
        <f t="shared" si="9"/>
        <v>36532.642271660246</v>
      </c>
      <c r="I31" s="5">
        <f t="shared" si="10"/>
        <v>85775.936820999515</v>
      </c>
      <c r="J31" s="26">
        <f t="shared" si="0"/>
        <v>0.22400541793784284</v>
      </c>
      <c r="L31" s="22">
        <f t="shared" si="11"/>
        <v>159741.46387163387</v>
      </c>
      <c r="M31" s="5">
        <f>scrimecost*Meta!O28</f>
        <v>1255.6799999999998</v>
      </c>
      <c r="N31" s="5">
        <f>L31-Grade8!L31</f>
        <v>5690.3621869541821</v>
      </c>
      <c r="O31" s="5">
        <f>Grade8!M31-M31</f>
        <v>26.496000000000095</v>
      </c>
      <c r="P31" s="22">
        <f t="shared" si="12"/>
        <v>338.69562701254569</v>
      </c>
      <c r="S31" s="22">
        <f t="shared" si="1"/>
        <v>4462.232232678607</v>
      </c>
      <c r="T31" s="22">
        <f t="shared" si="2"/>
        <v>1617.2101679688551</v>
      </c>
    </row>
    <row r="32" spans="1:20" x14ac:dyDescent="0.2">
      <c r="A32" s="5">
        <v>41</v>
      </c>
      <c r="B32" s="1">
        <f t="shared" si="3"/>
        <v>1.9002927007802071</v>
      </c>
      <c r="C32" s="5">
        <f t="shared" si="4"/>
        <v>83086.160961583155</v>
      </c>
      <c r="D32" s="5">
        <f t="shared" si="5"/>
        <v>79036.991303888164</v>
      </c>
      <c r="E32" s="5">
        <f t="shared" si="6"/>
        <v>69536.991303888164</v>
      </c>
      <c r="F32" s="5">
        <f t="shared" si="7"/>
        <v>26509.276791108303</v>
      </c>
      <c r="G32" s="5">
        <f t="shared" si="8"/>
        <v>52527.714512779858</v>
      </c>
      <c r="H32" s="22">
        <f t="shared" si="9"/>
        <v>37445.95832845175</v>
      </c>
      <c r="I32" s="5">
        <f t="shared" si="10"/>
        <v>87726.915341524495</v>
      </c>
      <c r="J32" s="26">
        <f t="shared" si="0"/>
        <v>0.22571256332179396</v>
      </c>
      <c r="L32" s="22">
        <f t="shared" si="11"/>
        <v>163735.00046842473</v>
      </c>
      <c r="M32" s="5">
        <f>scrimecost*Meta!O29</f>
        <v>1255.6799999999998</v>
      </c>
      <c r="N32" s="5">
        <f>L32-Grade8!L32</f>
        <v>5832.6212416280468</v>
      </c>
      <c r="O32" s="5">
        <f>Grade8!M32-M32</f>
        <v>26.496000000000095</v>
      </c>
      <c r="P32" s="22">
        <f t="shared" si="12"/>
        <v>348.08837328978655</v>
      </c>
      <c r="S32" s="22">
        <f t="shared" si="1"/>
        <v>4574.0457349854678</v>
      </c>
      <c r="T32" s="22">
        <f t="shared" si="2"/>
        <v>1594.2686296576269</v>
      </c>
    </row>
    <row r="33" spans="1:20" x14ac:dyDescent="0.2">
      <c r="A33" s="5">
        <v>42</v>
      </c>
      <c r="B33" s="1">
        <f t="shared" si="3"/>
        <v>1.9478000182997122</v>
      </c>
      <c r="C33" s="5">
        <f t="shared" si="4"/>
        <v>85163.314985622725</v>
      </c>
      <c r="D33" s="5">
        <f t="shared" si="5"/>
        <v>80989.516086485353</v>
      </c>
      <c r="E33" s="5">
        <f t="shared" si="6"/>
        <v>71489.516086485353</v>
      </c>
      <c r="F33" s="5">
        <f t="shared" si="7"/>
        <v>27342.028610886002</v>
      </c>
      <c r="G33" s="5">
        <f t="shared" si="8"/>
        <v>53647.487475599351</v>
      </c>
      <c r="H33" s="22">
        <f t="shared" si="9"/>
        <v>38382.107286663042</v>
      </c>
      <c r="I33" s="5">
        <f t="shared" si="10"/>
        <v>89726.668325062608</v>
      </c>
      <c r="J33" s="26">
        <f t="shared" si="0"/>
        <v>0.22737807101345353</v>
      </c>
      <c r="L33" s="22">
        <f t="shared" si="11"/>
        <v>167828.37548013535</v>
      </c>
      <c r="M33" s="5">
        <f>scrimecost*Meta!O30</f>
        <v>1255.6799999999998</v>
      </c>
      <c r="N33" s="5">
        <f>L33-Grade8!L33</f>
        <v>5978.4367726687633</v>
      </c>
      <c r="O33" s="5">
        <f>Grade8!M33-M33</f>
        <v>26.496000000000095</v>
      </c>
      <c r="P33" s="22">
        <f t="shared" si="12"/>
        <v>357.7159382239584</v>
      </c>
      <c r="S33" s="22">
        <f t="shared" si="1"/>
        <v>4688.6545748500048</v>
      </c>
      <c r="T33" s="22">
        <f t="shared" si="2"/>
        <v>1571.6503725954419</v>
      </c>
    </row>
    <row r="34" spans="1:20" x14ac:dyDescent="0.2">
      <c r="A34" s="5">
        <v>43</v>
      </c>
      <c r="B34" s="1">
        <f t="shared" si="3"/>
        <v>1.9964950187572048</v>
      </c>
      <c r="C34" s="5">
        <f t="shared" si="4"/>
        <v>87292.3978602633</v>
      </c>
      <c r="D34" s="5">
        <f t="shared" si="5"/>
        <v>82990.85398864749</v>
      </c>
      <c r="E34" s="5">
        <f t="shared" si="6"/>
        <v>73490.85398864749</v>
      </c>
      <c r="F34" s="5">
        <f t="shared" si="7"/>
        <v>28195.599226158156</v>
      </c>
      <c r="G34" s="5">
        <f t="shared" si="8"/>
        <v>54795.254762489334</v>
      </c>
      <c r="H34" s="22">
        <f t="shared" si="9"/>
        <v>39341.659968829612</v>
      </c>
      <c r="I34" s="5">
        <f t="shared" si="10"/>
        <v>91776.415133189177</v>
      </c>
      <c r="J34" s="26">
        <f t="shared" si="0"/>
        <v>0.22900295656629224</v>
      </c>
      <c r="L34" s="22">
        <f t="shared" si="11"/>
        <v>172024.08486713871</v>
      </c>
      <c r="M34" s="5">
        <f>scrimecost*Meta!O31</f>
        <v>1255.6799999999998</v>
      </c>
      <c r="N34" s="5">
        <f>L34-Grade8!L34</f>
        <v>6127.8976919854467</v>
      </c>
      <c r="O34" s="5">
        <f>Grade8!M34-M34</f>
        <v>26.496000000000095</v>
      </c>
      <c r="P34" s="22">
        <f t="shared" si="12"/>
        <v>367.58419228148466</v>
      </c>
      <c r="S34" s="22">
        <f t="shared" si="1"/>
        <v>4806.1286357111176</v>
      </c>
      <c r="T34" s="22">
        <f t="shared" si="2"/>
        <v>1549.3509244475924</v>
      </c>
    </row>
    <row r="35" spans="1:20" x14ac:dyDescent="0.2">
      <c r="A35" s="5">
        <v>44</v>
      </c>
      <c r="B35" s="1">
        <f t="shared" si="3"/>
        <v>2.0464073942261352</v>
      </c>
      <c r="C35" s="5">
        <f t="shared" si="4"/>
        <v>89474.707806769875</v>
      </c>
      <c r="D35" s="5">
        <f t="shared" si="5"/>
        <v>85042.225338363671</v>
      </c>
      <c r="E35" s="5">
        <f t="shared" si="6"/>
        <v>75542.225338363671</v>
      </c>
      <c r="F35" s="5">
        <f t="shared" si="7"/>
        <v>29070.509106812107</v>
      </c>
      <c r="G35" s="5">
        <f t="shared" si="8"/>
        <v>55971.71623155156</v>
      </c>
      <c r="H35" s="22">
        <f t="shared" si="9"/>
        <v>40325.201468050356</v>
      </c>
      <c r="I35" s="5">
        <f t="shared" si="10"/>
        <v>93877.405611518887</v>
      </c>
      <c r="J35" s="26">
        <f t="shared" si="0"/>
        <v>0.23058821076418359</v>
      </c>
      <c r="L35" s="22">
        <f t="shared" si="11"/>
        <v>176324.68698881721</v>
      </c>
      <c r="M35" s="5">
        <f>scrimecost*Meta!O32</f>
        <v>1255.6799999999998</v>
      </c>
      <c r="N35" s="5">
        <f>L35-Grade8!L35</f>
        <v>6281.0951342851622</v>
      </c>
      <c r="O35" s="5">
        <f>Grade8!M35-M35</f>
        <v>26.496000000000095</v>
      </c>
      <c r="P35" s="22">
        <f t="shared" si="12"/>
        <v>377.69915269044901</v>
      </c>
      <c r="S35" s="22">
        <f t="shared" si="1"/>
        <v>4926.5395480938423</v>
      </c>
      <c r="T35" s="22">
        <f t="shared" si="2"/>
        <v>1527.3658715317727</v>
      </c>
    </row>
    <row r="36" spans="1:20" x14ac:dyDescent="0.2">
      <c r="A36" s="5">
        <v>45</v>
      </c>
      <c r="B36" s="1">
        <f t="shared" si="3"/>
        <v>2.097567579081788</v>
      </c>
      <c r="C36" s="5">
        <f t="shared" si="4"/>
        <v>91711.575501939107</v>
      </c>
      <c r="D36" s="5">
        <f t="shared" si="5"/>
        <v>87144.880971822757</v>
      </c>
      <c r="E36" s="5">
        <f t="shared" si="6"/>
        <v>77644.880971822757</v>
      </c>
      <c r="F36" s="5">
        <f t="shared" si="7"/>
        <v>29967.291734482405</v>
      </c>
      <c r="G36" s="5">
        <f t="shared" si="8"/>
        <v>57177.589237340348</v>
      </c>
      <c r="H36" s="22">
        <f t="shared" si="9"/>
        <v>41333.331504751608</v>
      </c>
      <c r="I36" s="5">
        <f t="shared" si="10"/>
        <v>96030.920851806848</v>
      </c>
      <c r="J36" s="26">
        <f t="shared" si="0"/>
        <v>0.23213480022554106</v>
      </c>
      <c r="L36" s="22">
        <f t="shared" si="11"/>
        <v>180732.80416353757</v>
      </c>
      <c r="M36" s="5">
        <f>scrimecost*Meta!O33</f>
        <v>1014.7900000000001</v>
      </c>
      <c r="N36" s="5">
        <f>L36-Grade8!L36</f>
        <v>6438.1225126421778</v>
      </c>
      <c r="O36" s="5">
        <f>Grade8!M36-M36</f>
        <v>21.412999999999897</v>
      </c>
      <c r="P36" s="22">
        <f t="shared" si="12"/>
        <v>388.06698710963741</v>
      </c>
      <c r="S36" s="22">
        <f t="shared" si="1"/>
        <v>5044.9793932859939</v>
      </c>
      <c r="T36" s="22">
        <f t="shared" si="2"/>
        <v>1504.2056272014004</v>
      </c>
    </row>
    <row r="37" spans="1:20" x14ac:dyDescent="0.2">
      <c r="A37" s="5">
        <v>46</v>
      </c>
      <c r="B37" s="1">
        <f t="shared" ref="B37:B56" si="13">(1+experiencepremium)^(A37-startage)</f>
        <v>2.1500067685588333</v>
      </c>
      <c r="C37" s="5">
        <f t="shared" ref="C37:C56" si="14">pretaxincome*B37/expnorm</f>
        <v>94004.36488948761</v>
      </c>
      <c r="D37" s="5">
        <f t="shared" ref="D37:D56" si="15">IF(A37&lt;startage,1,0)*(C37*(1-initialunempprob))+IF(A37=startage,1,0)*(C37*(1-unempprob))+IF(A37&gt;startage,1,0)*(C37*(1-unempprob)+unempprob*300*52)</f>
        <v>89300.102996118352</v>
      </c>
      <c r="E37" s="5">
        <f t="shared" si="6"/>
        <v>79800.102996118352</v>
      </c>
      <c r="F37" s="5">
        <f t="shared" si="7"/>
        <v>30886.49392784448</v>
      </c>
      <c r="G37" s="5">
        <f t="shared" si="8"/>
        <v>58413.609068273872</v>
      </c>
      <c r="H37" s="22">
        <f t="shared" ref="H37:H56" si="16">benefits*B37/expnorm</f>
        <v>42366.664792370408</v>
      </c>
      <c r="I37" s="5">
        <f t="shared" ref="I37:I56" si="17">G37+IF(A37&lt;startage,1,0)*(H37*(1-initialunempprob))+IF(A37&gt;=startage,1,0)*(H37*(1-unempprob))</f>
        <v>98238.273973102056</v>
      </c>
      <c r="J37" s="26">
        <f t="shared" ref="J37:J56" si="18">(F37-(IF(A37&gt;startage,1,0)*(unempprob*300*52)))/(IF(A37&lt;startage,1,0)*((C37+H37)*(1-initialunempprob))+IF(A37&gt;=startage,1,0)*((C37+H37)*(1-unempprob)))</f>
        <v>0.2336436679927191</v>
      </c>
      <c r="L37" s="22">
        <f t="shared" ref="L37:L56" si="19">(sincome+sbenefits)*(1-sunemp)*B37/expnorm</f>
        <v>185251.12426762606</v>
      </c>
      <c r="M37" s="5">
        <f>scrimecost*Meta!O34</f>
        <v>1014.7900000000001</v>
      </c>
      <c r="N37" s="5">
        <f>L37-Grade8!L37</f>
        <v>6599.0755754583224</v>
      </c>
      <c r="O37" s="5">
        <f>Grade8!M37-M37</f>
        <v>21.412999999999897</v>
      </c>
      <c r="P37" s="22">
        <f t="shared" si="12"/>
        <v>398.69401738930571</v>
      </c>
      <c r="S37" s="22">
        <f t="shared" ref="S37:S68" si="20">IF(A37&lt;startage,1,0)*(N37-Q37-R37)+IF(A37&gt;=startage,1,0)*completionprob*(N37*spart+O37+P37)</f>
        <v>5171.4861081080981</v>
      </c>
      <c r="T37" s="22">
        <f t="shared" ref="T37:T68" si="21">S37/sreturn^(A37-startage+1)</f>
        <v>1482.8932161378768</v>
      </c>
    </row>
    <row r="38" spans="1:20" x14ac:dyDescent="0.2">
      <c r="A38" s="5">
        <v>47</v>
      </c>
      <c r="B38" s="1">
        <f t="shared" si="13"/>
        <v>2.2037569377728037</v>
      </c>
      <c r="C38" s="5">
        <f t="shared" si="14"/>
        <v>96354.474011724786</v>
      </c>
      <c r="D38" s="5">
        <f t="shared" si="15"/>
        <v>91509.205571021288</v>
      </c>
      <c r="E38" s="5">
        <f t="shared" si="6"/>
        <v>82009.205571021288</v>
      </c>
      <c r="F38" s="5">
        <f t="shared" si="7"/>
        <v>31828.676176040579</v>
      </c>
      <c r="G38" s="5">
        <f t="shared" si="8"/>
        <v>59680.529394980709</v>
      </c>
      <c r="H38" s="22">
        <f t="shared" si="16"/>
        <v>43425.831412179657</v>
      </c>
      <c r="I38" s="5">
        <f t="shared" si="17"/>
        <v>100500.81092242958</v>
      </c>
      <c r="J38" s="26">
        <f t="shared" si="18"/>
        <v>0.23511573410703909</v>
      </c>
      <c r="L38" s="22">
        <f t="shared" si="19"/>
        <v>189882.40237431668</v>
      </c>
      <c r="M38" s="5">
        <f>scrimecost*Meta!O35</f>
        <v>1014.7900000000001</v>
      </c>
      <c r="N38" s="5">
        <f>L38-Grade8!L38</f>
        <v>6764.0524648447463</v>
      </c>
      <c r="O38" s="5">
        <f>Grade8!M38-M38</f>
        <v>21.412999999999897</v>
      </c>
      <c r="P38" s="22">
        <f t="shared" ref="P38:P56" si="22">(spart-initialspart)*(L38*J38+nptrans)</f>
        <v>409.58672342596554</v>
      </c>
      <c r="S38" s="22">
        <f t="shared" si="20"/>
        <v>5301.1554908006647</v>
      </c>
      <c r="T38" s="22">
        <f t="shared" si="21"/>
        <v>1461.8801278738201</v>
      </c>
    </row>
    <row r="39" spans="1:20" x14ac:dyDescent="0.2">
      <c r="A39" s="5">
        <v>48</v>
      </c>
      <c r="B39" s="1">
        <f t="shared" si="13"/>
        <v>2.2588508612171236</v>
      </c>
      <c r="C39" s="5">
        <f t="shared" si="14"/>
        <v>98763.335862017891</v>
      </c>
      <c r="D39" s="5">
        <f t="shared" si="15"/>
        <v>93773.535710296812</v>
      </c>
      <c r="E39" s="5">
        <f t="shared" si="6"/>
        <v>84273.535710296812</v>
      </c>
      <c r="F39" s="5">
        <f t="shared" si="7"/>
        <v>32814.619051750495</v>
      </c>
      <c r="G39" s="5">
        <f t="shared" si="8"/>
        <v>60958.916658546317</v>
      </c>
      <c r="H39" s="22">
        <f t="shared" si="16"/>
        <v>44511.477197484142</v>
      </c>
      <c r="I39" s="5">
        <f t="shared" si="17"/>
        <v>102799.70522418141</v>
      </c>
      <c r="J39" s="26">
        <f t="shared" si="18"/>
        <v>0.23670192826602798</v>
      </c>
      <c r="L39" s="22">
        <f t="shared" si="19"/>
        <v>194629.46243367461</v>
      </c>
      <c r="M39" s="5">
        <f>scrimecost*Meta!O36</f>
        <v>1014.7900000000001</v>
      </c>
      <c r="N39" s="5">
        <f>L39-Grade8!L39</f>
        <v>6933.153776465886</v>
      </c>
      <c r="O39" s="5">
        <f>Grade8!M39-M39</f>
        <v>21.412999999999897</v>
      </c>
      <c r="P39" s="22">
        <f t="shared" si="22"/>
        <v>420.98535244345027</v>
      </c>
      <c r="S39" s="22">
        <f t="shared" si="20"/>
        <v>5434.2955412838946</v>
      </c>
      <c r="T39" s="22">
        <f t="shared" si="21"/>
        <v>1441.2229753767779</v>
      </c>
    </row>
    <row r="40" spans="1:20" x14ac:dyDescent="0.2">
      <c r="A40" s="5">
        <v>49</v>
      </c>
      <c r="B40" s="1">
        <f t="shared" si="13"/>
        <v>2.3153221327475517</v>
      </c>
      <c r="C40" s="5">
        <f t="shared" si="14"/>
        <v>101232.41925856835</v>
      </c>
      <c r="D40" s="5">
        <f t="shared" si="15"/>
        <v>96094.474103054235</v>
      </c>
      <c r="E40" s="5">
        <f t="shared" si="6"/>
        <v>86594.474103054235</v>
      </c>
      <c r="F40" s="5">
        <f t="shared" si="7"/>
        <v>33874.127428044259</v>
      </c>
      <c r="G40" s="5">
        <f t="shared" si="8"/>
        <v>62220.346675009976</v>
      </c>
      <c r="H40" s="22">
        <f t="shared" si="16"/>
        <v>45624.264127421251</v>
      </c>
      <c r="I40" s="5">
        <f t="shared" si="17"/>
        <v>105107.15495478595</v>
      </c>
      <c r="J40" s="26">
        <f t="shared" si="18"/>
        <v>0.23860378898497608</v>
      </c>
      <c r="L40" s="22">
        <f t="shared" si="19"/>
        <v>199495.19899451645</v>
      </c>
      <c r="M40" s="5">
        <f>scrimecost*Meta!O37</f>
        <v>1014.7900000000001</v>
      </c>
      <c r="N40" s="5">
        <f>L40-Grade8!L40</f>
        <v>7106.4826208775339</v>
      </c>
      <c r="O40" s="5">
        <f>Grade8!M40-M40</f>
        <v>21.412999999999897</v>
      </c>
      <c r="P40" s="22">
        <f t="shared" si="22"/>
        <v>433.23448291522777</v>
      </c>
      <c r="S40" s="22">
        <f t="shared" si="20"/>
        <v>5571.3183180434708</v>
      </c>
      <c r="T40" s="22">
        <f t="shared" si="21"/>
        <v>1420.995162687665</v>
      </c>
    </row>
    <row r="41" spans="1:20" x14ac:dyDescent="0.2">
      <c r="A41" s="5">
        <v>50</v>
      </c>
      <c r="B41" s="1">
        <f t="shared" si="13"/>
        <v>2.3732051860662402</v>
      </c>
      <c r="C41" s="5">
        <f t="shared" si="14"/>
        <v>103763.22974003253</v>
      </c>
      <c r="D41" s="5">
        <f t="shared" si="15"/>
        <v>98473.435955630572</v>
      </c>
      <c r="E41" s="5">
        <f t="shared" si="6"/>
        <v>88973.435955630572</v>
      </c>
      <c r="F41" s="5">
        <f t="shared" si="7"/>
        <v>34960.123513745355</v>
      </c>
      <c r="G41" s="5">
        <f t="shared" si="8"/>
        <v>63513.312441885217</v>
      </c>
      <c r="H41" s="22">
        <f t="shared" si="16"/>
        <v>46764.870730606774</v>
      </c>
      <c r="I41" s="5">
        <f t="shared" si="17"/>
        <v>107472.29092865558</v>
      </c>
      <c r="J41" s="26">
        <f t="shared" si="18"/>
        <v>0.24045926285712055</v>
      </c>
      <c r="L41" s="22">
        <f t="shared" si="19"/>
        <v>204482.57896937933</v>
      </c>
      <c r="M41" s="5">
        <f>scrimecost*Meta!O38</f>
        <v>677.98</v>
      </c>
      <c r="N41" s="5">
        <f>L41-Grade8!L41</f>
        <v>7284.1446863994352</v>
      </c>
      <c r="O41" s="5">
        <f>Grade8!M41-M41</f>
        <v>14.305999999999926</v>
      </c>
      <c r="P41" s="22">
        <f t="shared" si="22"/>
        <v>445.78984164879955</v>
      </c>
      <c r="S41" s="22">
        <f t="shared" si="20"/>
        <v>5704.8018042220083</v>
      </c>
      <c r="T41" s="22">
        <f t="shared" si="21"/>
        <v>1399.335626694482</v>
      </c>
    </row>
    <row r="42" spans="1:20" x14ac:dyDescent="0.2">
      <c r="A42" s="5">
        <v>51</v>
      </c>
      <c r="B42" s="1">
        <f t="shared" si="13"/>
        <v>2.4325353157178964</v>
      </c>
      <c r="C42" s="5">
        <f t="shared" si="14"/>
        <v>106357.31048353335</v>
      </c>
      <c r="D42" s="5">
        <f t="shared" si="15"/>
        <v>100911.87185452135</v>
      </c>
      <c r="E42" s="5">
        <f t="shared" si="6"/>
        <v>91411.871854521349</v>
      </c>
      <c r="F42" s="5">
        <f t="shared" si="7"/>
        <v>36073.269501588999</v>
      </c>
      <c r="G42" s="5">
        <f t="shared" si="8"/>
        <v>64838.60235293235</v>
      </c>
      <c r="H42" s="22">
        <f t="shared" si="16"/>
        <v>47933.99249887195</v>
      </c>
      <c r="I42" s="5">
        <f t="shared" si="17"/>
        <v>109896.55530187198</v>
      </c>
      <c r="J42" s="26">
        <f t="shared" si="18"/>
        <v>0.24226948126896886</v>
      </c>
      <c r="L42" s="22">
        <f t="shared" si="19"/>
        <v>209594.64344361384</v>
      </c>
      <c r="M42" s="5">
        <f>scrimecost*Meta!O39</f>
        <v>677.98</v>
      </c>
      <c r="N42" s="5">
        <f>L42-Grade8!L42</f>
        <v>7466.2483035594632</v>
      </c>
      <c r="O42" s="5">
        <f>Grade8!M42-M42</f>
        <v>14.305999999999926</v>
      </c>
      <c r="P42" s="22">
        <f t="shared" si="22"/>
        <v>458.65908435071083</v>
      </c>
      <c r="S42" s="22">
        <f t="shared" si="20"/>
        <v>5848.7613590550654</v>
      </c>
      <c r="T42" s="22">
        <f t="shared" si="21"/>
        <v>1379.7231008096171</v>
      </c>
    </row>
    <row r="43" spans="1:20" x14ac:dyDescent="0.2">
      <c r="A43" s="5">
        <v>52</v>
      </c>
      <c r="B43" s="1">
        <f t="shared" si="13"/>
        <v>2.4933486986108435</v>
      </c>
      <c r="C43" s="5">
        <f t="shared" si="14"/>
        <v>109016.24324562168</v>
      </c>
      <c r="D43" s="5">
        <f t="shared" si="15"/>
        <v>103411.26865088438</v>
      </c>
      <c r="E43" s="5">
        <f t="shared" si="6"/>
        <v>93911.268650884376</v>
      </c>
      <c r="F43" s="5">
        <f t="shared" si="7"/>
        <v>37214.244139128714</v>
      </c>
      <c r="G43" s="5">
        <f t="shared" si="8"/>
        <v>66197.024511755662</v>
      </c>
      <c r="H43" s="22">
        <f t="shared" si="16"/>
        <v>49132.342311343738</v>
      </c>
      <c r="I43" s="5">
        <f t="shared" si="17"/>
        <v>112381.42628441878</v>
      </c>
      <c r="J43" s="26">
        <f t="shared" si="18"/>
        <v>0.24403554801223543</v>
      </c>
      <c r="L43" s="22">
        <f t="shared" si="19"/>
        <v>214834.50952970417</v>
      </c>
      <c r="M43" s="5">
        <f>scrimecost*Meta!O40</f>
        <v>677.98</v>
      </c>
      <c r="N43" s="5">
        <f>L43-Grade8!L43</f>
        <v>7652.9045111484884</v>
      </c>
      <c r="O43" s="5">
        <f>Grade8!M43-M43</f>
        <v>14.305999999999926</v>
      </c>
      <c r="P43" s="22">
        <f t="shared" si="22"/>
        <v>471.85005812016982</v>
      </c>
      <c r="S43" s="22">
        <f t="shared" si="20"/>
        <v>5996.319902758948</v>
      </c>
      <c r="T43" s="22">
        <f t="shared" si="21"/>
        <v>1360.3777875284322</v>
      </c>
    </row>
    <row r="44" spans="1:20" x14ac:dyDescent="0.2">
      <c r="A44" s="5">
        <v>53</v>
      </c>
      <c r="B44" s="1">
        <f t="shared" si="13"/>
        <v>2.555682416076114</v>
      </c>
      <c r="C44" s="5">
        <f t="shared" si="14"/>
        <v>111741.6493267622</v>
      </c>
      <c r="D44" s="5">
        <f t="shared" si="15"/>
        <v>105973.15036715646</v>
      </c>
      <c r="E44" s="5">
        <f t="shared" si="6"/>
        <v>96473.150367156457</v>
      </c>
      <c r="F44" s="5">
        <f t="shared" si="7"/>
        <v>38383.743142606923</v>
      </c>
      <c r="G44" s="5">
        <f t="shared" si="8"/>
        <v>67589.407224549534</v>
      </c>
      <c r="H44" s="22">
        <f t="shared" si="16"/>
        <v>50360.650869127327</v>
      </c>
      <c r="I44" s="5">
        <f t="shared" si="17"/>
        <v>114928.41904152921</v>
      </c>
      <c r="J44" s="26">
        <f t="shared" si="18"/>
        <v>0.24575853995688574</v>
      </c>
      <c r="L44" s="22">
        <f t="shared" si="19"/>
        <v>220205.37226794669</v>
      </c>
      <c r="M44" s="5">
        <f>scrimecost*Meta!O41</f>
        <v>677.98</v>
      </c>
      <c r="N44" s="5">
        <f>L44-Grade8!L44</f>
        <v>7844.2271239270631</v>
      </c>
      <c r="O44" s="5">
        <f>Grade8!M44-M44</f>
        <v>14.305999999999926</v>
      </c>
      <c r="P44" s="22">
        <f t="shared" si="22"/>
        <v>485.37080623386498</v>
      </c>
      <c r="S44" s="22">
        <f t="shared" si="20"/>
        <v>6147.5674100552988</v>
      </c>
      <c r="T44" s="22">
        <f t="shared" si="21"/>
        <v>1341.2963445092691</v>
      </c>
    </row>
    <row r="45" spans="1:20" x14ac:dyDescent="0.2">
      <c r="A45" s="5">
        <v>54</v>
      </c>
      <c r="B45" s="1">
        <f t="shared" si="13"/>
        <v>2.6195744764780171</v>
      </c>
      <c r="C45" s="5">
        <f t="shared" si="14"/>
        <v>114535.19055993126</v>
      </c>
      <c r="D45" s="5">
        <f t="shared" si="15"/>
        <v>108599.07912633537</v>
      </c>
      <c r="E45" s="5">
        <f t="shared" si="6"/>
        <v>99099.079126335375</v>
      </c>
      <c r="F45" s="5">
        <f t="shared" si="7"/>
        <v>39470.936715339303</v>
      </c>
      <c r="G45" s="5">
        <f t="shared" si="8"/>
        <v>69128.142410996079</v>
      </c>
      <c r="H45" s="22">
        <f t="shared" si="16"/>
        <v>51619.667140855505</v>
      </c>
      <c r="I45" s="5">
        <f t="shared" si="17"/>
        <v>117650.62952340025</v>
      </c>
      <c r="J45" s="26">
        <f t="shared" si="18"/>
        <v>0.2467253386041845</v>
      </c>
      <c r="L45" s="22">
        <f t="shared" si="19"/>
        <v>225710.50657464538</v>
      </c>
      <c r="M45" s="5">
        <f>scrimecost*Meta!O42</f>
        <v>677.98</v>
      </c>
      <c r="N45" s="5">
        <f>L45-Grade8!L45</f>
        <v>8040.3328020253102</v>
      </c>
      <c r="O45" s="5">
        <f>Grade8!M45-M45</f>
        <v>14.305999999999926</v>
      </c>
      <c r="P45" s="22">
        <f t="shared" si="22"/>
        <v>497.94000928921156</v>
      </c>
      <c r="S45" s="22">
        <f t="shared" si="20"/>
        <v>6301.3323325482424</v>
      </c>
      <c r="T45" s="22">
        <f t="shared" si="21"/>
        <v>1322.2102815537751</v>
      </c>
    </row>
    <row r="46" spans="1:20" x14ac:dyDescent="0.2">
      <c r="A46" s="5">
        <v>55</v>
      </c>
      <c r="B46" s="1">
        <f t="shared" si="13"/>
        <v>2.6850638383899672</v>
      </c>
      <c r="C46" s="5">
        <f t="shared" si="14"/>
        <v>117398.57032392953</v>
      </c>
      <c r="D46" s="5">
        <f t="shared" si="15"/>
        <v>111290.65610449374</v>
      </c>
      <c r="E46" s="5">
        <f t="shared" si="6"/>
        <v>101790.65610449374</v>
      </c>
      <c r="F46" s="5">
        <f t="shared" si="7"/>
        <v>40532.76383322278</v>
      </c>
      <c r="G46" s="5">
        <f t="shared" si="8"/>
        <v>70757.892271270961</v>
      </c>
      <c r="H46" s="22">
        <f t="shared" si="16"/>
        <v>52910.158819376891</v>
      </c>
      <c r="I46" s="5">
        <f t="shared" si="17"/>
        <v>120493.44156148523</v>
      </c>
      <c r="J46" s="26">
        <f t="shared" si="18"/>
        <v>0.24734032750845417</v>
      </c>
      <c r="L46" s="22">
        <f t="shared" si="19"/>
        <v>231353.26923901151</v>
      </c>
      <c r="M46" s="5">
        <f>scrimecost*Meta!O43</f>
        <v>376.04999999999995</v>
      </c>
      <c r="N46" s="5">
        <f>L46-Grade8!L46</f>
        <v>8241.3411220759444</v>
      </c>
      <c r="O46" s="5">
        <f>Grade8!M46-M46</f>
        <v>7.9350000000000023</v>
      </c>
      <c r="P46" s="22">
        <f t="shared" si="22"/>
        <v>510.21594706982989</v>
      </c>
      <c r="S46" s="22">
        <f t="shared" si="20"/>
        <v>6452.102452659371</v>
      </c>
      <c r="T46" s="22">
        <f t="shared" si="21"/>
        <v>1302.0153475940458</v>
      </c>
    </row>
    <row r="47" spans="1:20" x14ac:dyDescent="0.2">
      <c r="A47" s="5">
        <v>56</v>
      </c>
      <c r="B47" s="1">
        <f t="shared" si="13"/>
        <v>2.7521904343497163</v>
      </c>
      <c r="C47" s="5">
        <f t="shared" si="14"/>
        <v>120333.53458202777</v>
      </c>
      <c r="D47" s="5">
        <f t="shared" si="15"/>
        <v>114049.5225071061</v>
      </c>
      <c r="E47" s="5">
        <f t="shared" si="6"/>
        <v>104549.5225071061</v>
      </c>
      <c r="F47" s="5">
        <f t="shared" si="7"/>
        <v>41621.136629053348</v>
      </c>
      <c r="G47" s="5">
        <f t="shared" si="8"/>
        <v>72428.385878052752</v>
      </c>
      <c r="H47" s="22">
        <f t="shared" si="16"/>
        <v>54232.912789861315</v>
      </c>
      <c r="I47" s="5">
        <f t="shared" si="17"/>
        <v>123407.32390052239</v>
      </c>
      <c r="J47" s="26">
        <f t="shared" si="18"/>
        <v>0.2479403166833514</v>
      </c>
      <c r="L47" s="22">
        <f t="shared" si="19"/>
        <v>237137.10096998679</v>
      </c>
      <c r="M47" s="5">
        <f>scrimecost*Meta!O44</f>
        <v>376.04999999999995</v>
      </c>
      <c r="N47" s="5">
        <f>L47-Grade8!L47</f>
        <v>8447.3746501278656</v>
      </c>
      <c r="O47" s="5">
        <f>Grade8!M47-M47</f>
        <v>7.9350000000000023</v>
      </c>
      <c r="P47" s="22">
        <f t="shared" si="22"/>
        <v>522.79878329496364</v>
      </c>
      <c r="S47" s="22">
        <f t="shared" si="20"/>
        <v>6613.0414952732917</v>
      </c>
      <c r="T47" s="22">
        <f t="shared" si="21"/>
        <v>1283.4022609788249</v>
      </c>
    </row>
    <row r="48" spans="1:20" x14ac:dyDescent="0.2">
      <c r="A48" s="5">
        <v>57</v>
      </c>
      <c r="B48" s="1">
        <f t="shared" si="13"/>
        <v>2.8209951952084591</v>
      </c>
      <c r="C48" s="5">
        <f t="shared" si="14"/>
        <v>123341.87294657844</v>
      </c>
      <c r="D48" s="5">
        <f t="shared" si="15"/>
        <v>116877.36056978373</v>
      </c>
      <c r="E48" s="5">
        <f t="shared" si="6"/>
        <v>107377.36056978373</v>
      </c>
      <c r="F48" s="5">
        <f t="shared" si="7"/>
        <v>42736.718744779682</v>
      </c>
      <c r="G48" s="5">
        <f t="shared" si="8"/>
        <v>74140.641825004044</v>
      </c>
      <c r="H48" s="22">
        <f t="shared" si="16"/>
        <v>55588.735609607844</v>
      </c>
      <c r="I48" s="5">
        <f t="shared" si="17"/>
        <v>126394.0532980354</v>
      </c>
      <c r="J48" s="26">
        <f t="shared" si="18"/>
        <v>0.24852567197593411</v>
      </c>
      <c r="L48" s="22">
        <f t="shared" si="19"/>
        <v>243065.52849423644</v>
      </c>
      <c r="M48" s="5">
        <f>scrimecost*Meta!O45</f>
        <v>376.04999999999995</v>
      </c>
      <c r="N48" s="5">
        <f>L48-Grade8!L48</f>
        <v>8658.559016381012</v>
      </c>
      <c r="O48" s="5">
        <f>Grade8!M48-M48</f>
        <v>7.9350000000000023</v>
      </c>
      <c r="P48" s="22">
        <f t="shared" si="22"/>
        <v>535.69619042572594</v>
      </c>
      <c r="S48" s="22">
        <f t="shared" si="20"/>
        <v>6778.0040139525081</v>
      </c>
      <c r="T48" s="22">
        <f t="shared" si="21"/>
        <v>1265.0569519170408</v>
      </c>
    </row>
    <row r="49" spans="1:20" x14ac:dyDescent="0.2">
      <c r="A49" s="5">
        <v>58</v>
      </c>
      <c r="B49" s="1">
        <f t="shared" si="13"/>
        <v>2.8915200750886707</v>
      </c>
      <c r="C49" s="5">
        <f t="shared" si="14"/>
        <v>126425.41977024292</v>
      </c>
      <c r="D49" s="5">
        <f t="shared" si="15"/>
        <v>119775.89458402834</v>
      </c>
      <c r="E49" s="5">
        <f t="shared" si="6"/>
        <v>110275.89458402834</v>
      </c>
      <c r="F49" s="5">
        <f t="shared" si="7"/>
        <v>43880.190413399177</v>
      </c>
      <c r="G49" s="5">
        <f t="shared" si="8"/>
        <v>75895.704170629164</v>
      </c>
      <c r="H49" s="22">
        <f t="shared" si="16"/>
        <v>56978.45399984804</v>
      </c>
      <c r="I49" s="5">
        <f t="shared" si="17"/>
        <v>129455.45093048632</v>
      </c>
      <c r="J49" s="26">
        <f t="shared" si="18"/>
        <v>0.24909675031016115</v>
      </c>
      <c r="L49" s="22">
        <f t="shared" si="19"/>
        <v>249142.16670659237</v>
      </c>
      <c r="M49" s="5">
        <f>scrimecost*Meta!O46</f>
        <v>376.04999999999995</v>
      </c>
      <c r="N49" s="5">
        <f>L49-Grade8!L49</f>
        <v>8875.0229917906108</v>
      </c>
      <c r="O49" s="5">
        <f>Grade8!M49-M49</f>
        <v>7.9350000000000023</v>
      </c>
      <c r="P49" s="22">
        <f t="shared" si="22"/>
        <v>548.9160327347571</v>
      </c>
      <c r="S49" s="22">
        <f t="shared" si="20"/>
        <v>6947.0905955987937</v>
      </c>
      <c r="T49" s="22">
        <f t="shared" si="21"/>
        <v>1246.9755034758268</v>
      </c>
    </row>
    <row r="50" spans="1:20" x14ac:dyDescent="0.2">
      <c r="A50" s="5">
        <v>59</v>
      </c>
      <c r="B50" s="1">
        <f t="shared" si="13"/>
        <v>2.9638080769658868</v>
      </c>
      <c r="C50" s="5">
        <f t="shared" si="14"/>
        <v>129586.05526449897</v>
      </c>
      <c r="D50" s="5">
        <f t="shared" si="15"/>
        <v>122746.89194862903</v>
      </c>
      <c r="E50" s="5">
        <f t="shared" si="6"/>
        <v>113246.89194862903</v>
      </c>
      <c r="F50" s="5">
        <f t="shared" si="7"/>
        <v>45052.248873734148</v>
      </c>
      <c r="G50" s="5">
        <f t="shared" si="8"/>
        <v>77694.643074894877</v>
      </c>
      <c r="H50" s="22">
        <f t="shared" si="16"/>
        <v>58402.915349844232</v>
      </c>
      <c r="I50" s="5">
        <f t="shared" si="17"/>
        <v>132593.38350374845</v>
      </c>
      <c r="J50" s="26">
        <f t="shared" si="18"/>
        <v>0.24965389990452899</v>
      </c>
      <c r="L50" s="22">
        <f t="shared" si="19"/>
        <v>255370.72087425712</v>
      </c>
      <c r="M50" s="5">
        <f>scrimecost*Meta!O47</f>
        <v>376.04999999999995</v>
      </c>
      <c r="N50" s="5">
        <f>L50-Grade8!L50</f>
        <v>9096.8985665853252</v>
      </c>
      <c r="O50" s="5">
        <f>Grade8!M50-M50</f>
        <v>7.9350000000000023</v>
      </c>
      <c r="P50" s="22">
        <f t="shared" si="22"/>
        <v>562.46637110151414</v>
      </c>
      <c r="S50" s="22">
        <f t="shared" si="20"/>
        <v>7120.4043417861467</v>
      </c>
      <c r="T50" s="22">
        <f t="shared" si="21"/>
        <v>1229.1540584635986</v>
      </c>
    </row>
    <row r="51" spans="1:20" x14ac:dyDescent="0.2">
      <c r="A51" s="5">
        <v>60</v>
      </c>
      <c r="B51" s="1">
        <f t="shared" si="13"/>
        <v>3.0379032788900342</v>
      </c>
      <c r="C51" s="5">
        <f t="shared" si="14"/>
        <v>132825.70664611144</v>
      </c>
      <c r="D51" s="5">
        <f t="shared" si="15"/>
        <v>125792.16424734476</v>
      </c>
      <c r="E51" s="5">
        <f t="shared" si="6"/>
        <v>116292.16424734476</v>
      </c>
      <c r="F51" s="5">
        <f t="shared" si="7"/>
        <v>46253.608795577507</v>
      </c>
      <c r="G51" s="5">
        <f t="shared" si="8"/>
        <v>79538.555451767257</v>
      </c>
      <c r="H51" s="22">
        <f t="shared" si="16"/>
        <v>59862.988233590338</v>
      </c>
      <c r="I51" s="5">
        <f t="shared" si="17"/>
        <v>135809.76439134218</v>
      </c>
      <c r="J51" s="26">
        <f t="shared" si="18"/>
        <v>0.2501974604844</v>
      </c>
      <c r="L51" s="22">
        <f t="shared" si="19"/>
        <v>261754.98889611359</v>
      </c>
      <c r="M51" s="5">
        <f>scrimecost*Meta!O48</f>
        <v>198.38</v>
      </c>
      <c r="N51" s="5">
        <f>L51-Grade8!L51</f>
        <v>9324.3210307500267</v>
      </c>
      <c r="O51" s="5">
        <f>Grade8!M51-M51</f>
        <v>4.186000000000007</v>
      </c>
      <c r="P51" s="22">
        <f t="shared" si="22"/>
        <v>576.35546792744015</v>
      </c>
      <c r="S51" s="22">
        <f t="shared" si="20"/>
        <v>7294.3769116282701</v>
      </c>
      <c r="T51" s="22">
        <f t="shared" si="21"/>
        <v>1210.9788745411031</v>
      </c>
    </row>
    <row r="52" spans="1:20" x14ac:dyDescent="0.2">
      <c r="A52" s="5">
        <v>61</v>
      </c>
      <c r="B52" s="1">
        <f t="shared" si="13"/>
        <v>3.1138508608622844</v>
      </c>
      <c r="C52" s="5">
        <f t="shared" si="14"/>
        <v>136146.34931226418</v>
      </c>
      <c r="D52" s="5">
        <f t="shared" si="15"/>
        <v>128913.56835352832</v>
      </c>
      <c r="E52" s="5">
        <f t="shared" si="6"/>
        <v>119413.56835352832</v>
      </c>
      <c r="F52" s="5">
        <f t="shared" si="7"/>
        <v>47485.002715466922</v>
      </c>
      <c r="G52" s="5">
        <f t="shared" si="8"/>
        <v>81428.565638061395</v>
      </c>
      <c r="H52" s="22">
        <f t="shared" si="16"/>
        <v>61359.562939430085</v>
      </c>
      <c r="I52" s="5">
        <f t="shared" si="17"/>
        <v>139106.55480112566</v>
      </c>
      <c r="J52" s="26">
        <f t="shared" si="18"/>
        <v>0.25072776348915216</v>
      </c>
      <c r="L52" s="22">
        <f t="shared" si="19"/>
        <v>268298.86361851636</v>
      </c>
      <c r="M52" s="5">
        <f>scrimecost*Meta!O49</f>
        <v>198.38</v>
      </c>
      <c r="N52" s="5">
        <f>L52-Grade8!L52</f>
        <v>9557.429056518682</v>
      </c>
      <c r="O52" s="5">
        <f>Grade8!M52-M52</f>
        <v>4.186000000000007</v>
      </c>
      <c r="P52" s="22">
        <f t="shared" si="22"/>
        <v>590.5917921740139</v>
      </c>
      <c r="S52" s="22">
        <f t="shared" si="20"/>
        <v>7476.4646662163277</v>
      </c>
      <c r="T52" s="22">
        <f t="shared" si="21"/>
        <v>1193.6894500637638</v>
      </c>
    </row>
    <row r="53" spans="1:20" x14ac:dyDescent="0.2">
      <c r="A53" s="5">
        <v>62</v>
      </c>
      <c r="B53" s="1">
        <f t="shared" si="13"/>
        <v>3.1916971323838421</v>
      </c>
      <c r="C53" s="5">
        <f t="shared" si="14"/>
        <v>139550.00804507086</v>
      </c>
      <c r="D53" s="5">
        <f t="shared" si="15"/>
        <v>132113.00756236661</v>
      </c>
      <c r="E53" s="5">
        <f t="shared" si="6"/>
        <v>122613.00756236661</v>
      </c>
      <c r="F53" s="5">
        <f t="shared" si="7"/>
        <v>48747.181483353626</v>
      </c>
      <c r="G53" s="5">
        <f t="shared" si="8"/>
        <v>83365.826079012972</v>
      </c>
      <c r="H53" s="22">
        <f t="shared" si="16"/>
        <v>62893.552012915847</v>
      </c>
      <c r="I53" s="5">
        <f t="shared" si="17"/>
        <v>142485.76497115387</v>
      </c>
      <c r="J53" s="26">
        <f t="shared" si="18"/>
        <v>0.25124513227427636</v>
      </c>
      <c r="L53" s="22">
        <f t="shared" si="19"/>
        <v>275006.33520897926</v>
      </c>
      <c r="M53" s="5">
        <f>scrimecost*Meta!O50</f>
        <v>198.38</v>
      </c>
      <c r="N53" s="5">
        <f>L53-Grade8!L53</f>
        <v>9796.3647829316324</v>
      </c>
      <c r="O53" s="5">
        <f>Grade8!M53-M53</f>
        <v>4.186000000000007</v>
      </c>
      <c r="P53" s="22">
        <f t="shared" si="22"/>
        <v>605.18402452675241</v>
      </c>
      <c r="S53" s="22">
        <f t="shared" si="20"/>
        <v>7663.1046146691442</v>
      </c>
      <c r="T53" s="22">
        <f t="shared" si="21"/>
        <v>1176.6479119776841</v>
      </c>
    </row>
    <row r="54" spans="1:20" x14ac:dyDescent="0.2">
      <c r="A54" s="5">
        <v>63</v>
      </c>
      <c r="B54" s="1">
        <f t="shared" si="13"/>
        <v>3.2714895606934378</v>
      </c>
      <c r="C54" s="5">
        <f t="shared" si="14"/>
        <v>143038.7582461976</v>
      </c>
      <c r="D54" s="5">
        <f t="shared" si="15"/>
        <v>135392.43275142575</v>
      </c>
      <c r="E54" s="5">
        <f t="shared" si="6"/>
        <v>125892.43275142575</v>
      </c>
      <c r="F54" s="5">
        <f t="shared" si="7"/>
        <v>50040.914720437453</v>
      </c>
      <c r="G54" s="5">
        <f t="shared" si="8"/>
        <v>85351.518030988285</v>
      </c>
      <c r="H54" s="22">
        <f t="shared" si="16"/>
        <v>64465.890813238737</v>
      </c>
      <c r="I54" s="5">
        <f t="shared" si="17"/>
        <v>145949.45539543268</v>
      </c>
      <c r="J54" s="26">
        <f t="shared" si="18"/>
        <v>0.25174988230854378</v>
      </c>
      <c r="L54" s="22">
        <f t="shared" si="19"/>
        <v>281881.49358920375</v>
      </c>
      <c r="M54" s="5">
        <f>scrimecost*Meta!O51</f>
        <v>198.38</v>
      </c>
      <c r="N54" s="5">
        <f>L54-Grade8!L54</f>
        <v>10041.273902504938</v>
      </c>
      <c r="O54" s="5">
        <f>Grade8!M54-M54</f>
        <v>4.186000000000007</v>
      </c>
      <c r="P54" s="22">
        <f t="shared" si="22"/>
        <v>620.14106268830915</v>
      </c>
      <c r="S54" s="22">
        <f t="shared" si="20"/>
        <v>7854.4105618333042</v>
      </c>
      <c r="T54" s="22">
        <f t="shared" si="21"/>
        <v>1159.8506664570366</v>
      </c>
    </row>
    <row r="55" spans="1:20" x14ac:dyDescent="0.2">
      <c r="A55" s="5">
        <v>64</v>
      </c>
      <c r="B55" s="1">
        <f t="shared" si="13"/>
        <v>3.3532767997107733</v>
      </c>
      <c r="C55" s="5">
        <f t="shared" si="14"/>
        <v>146614.72720235251</v>
      </c>
      <c r="D55" s="5">
        <f t="shared" si="15"/>
        <v>138753.84357021135</v>
      </c>
      <c r="E55" s="5">
        <f t="shared" si="6"/>
        <v>129253.84357021135</v>
      </c>
      <c r="F55" s="5">
        <f t="shared" si="7"/>
        <v>51366.991288448378</v>
      </c>
      <c r="G55" s="5">
        <f t="shared" si="8"/>
        <v>87386.852281762971</v>
      </c>
      <c r="H55" s="22">
        <f t="shared" si="16"/>
        <v>66077.5380835697</v>
      </c>
      <c r="I55" s="5">
        <f t="shared" si="17"/>
        <v>149499.73808031849</v>
      </c>
      <c r="J55" s="26">
        <f t="shared" si="18"/>
        <v>0.25224232136636571</v>
      </c>
      <c r="L55" s="22">
        <f t="shared" si="19"/>
        <v>288928.53092893382</v>
      </c>
      <c r="M55" s="5">
        <f>scrimecost*Meta!O52</f>
        <v>198.38</v>
      </c>
      <c r="N55" s="5">
        <f>L55-Grade8!L55</f>
        <v>10292.305750067579</v>
      </c>
      <c r="O55" s="5">
        <f>Grade8!M55-M55</f>
        <v>4.186000000000007</v>
      </c>
      <c r="P55" s="22">
        <f t="shared" si="22"/>
        <v>635.47202680390501</v>
      </c>
      <c r="S55" s="22">
        <f t="shared" si="20"/>
        <v>8050.4991576765697</v>
      </c>
      <c r="T55" s="22">
        <f t="shared" si="21"/>
        <v>1143.2941732910176</v>
      </c>
    </row>
    <row r="56" spans="1:20" x14ac:dyDescent="0.2">
      <c r="A56" s="5">
        <v>65</v>
      </c>
      <c r="B56" s="1">
        <f t="shared" si="13"/>
        <v>3.4371087197035428</v>
      </c>
      <c r="C56" s="5">
        <f t="shared" si="14"/>
        <v>150280.09538241132</v>
      </c>
      <c r="D56" s="5">
        <f t="shared" si="15"/>
        <v>142199.28965946662</v>
      </c>
      <c r="E56" s="5">
        <f t="shared" si="6"/>
        <v>132699.28965946662</v>
      </c>
      <c r="F56" s="5">
        <f t="shared" si="7"/>
        <v>52726.219770659583</v>
      </c>
      <c r="G56" s="5">
        <f t="shared" si="8"/>
        <v>89473.069888807047</v>
      </c>
      <c r="H56" s="22">
        <f t="shared" si="16"/>
        <v>67729.476535658949</v>
      </c>
      <c r="I56" s="5">
        <f t="shared" si="17"/>
        <v>153138.77783232645</v>
      </c>
      <c r="J56" s="26">
        <f t="shared" si="18"/>
        <v>0.25272274971546022</v>
      </c>
      <c r="L56" s="22">
        <f t="shared" si="19"/>
        <v>296151.74420215719</v>
      </c>
      <c r="M56" s="5">
        <f>scrimecost*Meta!O53</f>
        <v>59.95</v>
      </c>
      <c r="N56" s="5">
        <f>L56-Grade8!L56</f>
        <v>10549.613393819251</v>
      </c>
      <c r="O56" s="5">
        <f>Grade8!M56-M56</f>
        <v>1.2650000000000006</v>
      </c>
      <c r="P56" s="22">
        <f t="shared" si="22"/>
        <v>651.18626502239078</v>
      </c>
      <c r="S56" s="22">
        <f t="shared" si="20"/>
        <v>8248.6273884158927</v>
      </c>
      <c r="T56" s="22">
        <f t="shared" si="21"/>
        <v>1126.5839785531186</v>
      </c>
    </row>
    <row r="57" spans="1:20" x14ac:dyDescent="0.2">
      <c r="A57" s="5">
        <v>66</v>
      </c>
      <c r="C57" s="5"/>
      <c r="H57" s="21"/>
      <c r="I57" s="5"/>
      <c r="M57" s="5">
        <f>scrimecost*Meta!O54</f>
        <v>59.95</v>
      </c>
      <c r="N57" s="5">
        <f>L57-Grade8!L57</f>
        <v>0</v>
      </c>
      <c r="O57" s="5">
        <f>Grade8!M57-M57</f>
        <v>1.2650000000000006</v>
      </c>
      <c r="S57" s="22">
        <f t="shared" si="20"/>
        <v>1.2397000000000005</v>
      </c>
      <c r="T57" s="22">
        <f t="shared" si="21"/>
        <v>0.16283403685515363</v>
      </c>
    </row>
    <row r="58" spans="1:20" x14ac:dyDescent="0.2">
      <c r="A58" s="5">
        <v>67</v>
      </c>
      <c r="C58" s="5"/>
      <c r="H58" s="21"/>
      <c r="I58" s="5"/>
      <c r="M58" s="5">
        <f>scrimecost*Meta!O55</f>
        <v>59.95</v>
      </c>
      <c r="N58" s="5">
        <f>L58-Grade8!L58</f>
        <v>0</v>
      </c>
      <c r="O58" s="5">
        <f>Grade8!M58-M58</f>
        <v>1.2650000000000006</v>
      </c>
      <c r="S58" s="22">
        <f t="shared" si="20"/>
        <v>1.2397000000000005</v>
      </c>
      <c r="T58" s="22">
        <f t="shared" si="21"/>
        <v>0.15660004889692605</v>
      </c>
    </row>
    <row r="59" spans="1:20" x14ac:dyDescent="0.2">
      <c r="A59" s="5">
        <v>68</v>
      </c>
      <c r="H59" s="21"/>
      <c r="I59" s="5"/>
      <c r="M59" s="5">
        <f>scrimecost*Meta!O56</f>
        <v>59.95</v>
      </c>
      <c r="N59" s="5">
        <f>L59-Grade8!L59</f>
        <v>0</v>
      </c>
      <c r="O59" s="5">
        <f>Grade8!M59-M59</f>
        <v>1.2650000000000006</v>
      </c>
      <c r="S59" s="22">
        <f t="shared" si="20"/>
        <v>1.2397000000000005</v>
      </c>
      <c r="T59" s="22">
        <f t="shared" si="21"/>
        <v>0.15060472483608681</v>
      </c>
    </row>
    <row r="60" spans="1:20" x14ac:dyDescent="0.2">
      <c r="A60" s="5">
        <v>69</v>
      </c>
      <c r="H60" s="21"/>
      <c r="I60" s="5"/>
      <c r="M60" s="5">
        <f>scrimecost*Meta!O57</f>
        <v>59.95</v>
      </c>
      <c r="N60" s="5">
        <f>L60-Grade8!L60</f>
        <v>0</v>
      </c>
      <c r="O60" s="5">
        <f>Grade8!M60-M60</f>
        <v>1.2650000000000006</v>
      </c>
      <c r="S60" s="22">
        <f t="shared" si="20"/>
        <v>1.2397000000000005</v>
      </c>
      <c r="T60" s="22">
        <f t="shared" si="21"/>
        <v>0.14483892759115641</v>
      </c>
    </row>
    <row r="61" spans="1:20" x14ac:dyDescent="0.2">
      <c r="A61" s="5">
        <v>70</v>
      </c>
      <c r="H61" s="21"/>
      <c r="I61" s="5"/>
      <c r="M61" s="5">
        <f>scrimecost*Meta!O58</f>
        <v>59.95</v>
      </c>
      <c r="N61" s="5">
        <f>L61-Grade8!L61</f>
        <v>0</v>
      </c>
      <c r="O61" s="5">
        <f>Grade8!M61-M61</f>
        <v>1.2650000000000006</v>
      </c>
      <c r="S61" s="22">
        <f t="shared" si="20"/>
        <v>1.2397000000000005</v>
      </c>
      <c r="T61" s="22">
        <f t="shared" si="21"/>
        <v>0.13929386988747097</v>
      </c>
    </row>
    <row r="62" spans="1:20" x14ac:dyDescent="0.2">
      <c r="A62" s="5">
        <v>71</v>
      </c>
      <c r="H62" s="21"/>
      <c r="I62" s="5"/>
      <c r="M62" s="5">
        <f>scrimecost*Meta!O59</f>
        <v>59.95</v>
      </c>
      <c r="N62" s="5">
        <f>L62-Grade8!L62</f>
        <v>0</v>
      </c>
      <c r="O62" s="5">
        <f>Grade8!M62-M62</f>
        <v>1.2650000000000006</v>
      </c>
      <c r="S62" s="22">
        <f t="shared" si="20"/>
        <v>1.2397000000000005</v>
      </c>
      <c r="T62" s="22">
        <f t="shared" si="21"/>
        <v>0.13396110086507151</v>
      </c>
    </row>
    <row r="63" spans="1:20" x14ac:dyDescent="0.2">
      <c r="A63" s="5">
        <v>72</v>
      </c>
      <c r="H63" s="21"/>
      <c r="M63" s="5">
        <f>scrimecost*Meta!O60</f>
        <v>59.95</v>
      </c>
      <c r="N63" s="5">
        <f>L63-Grade8!L63</f>
        <v>0</v>
      </c>
      <c r="O63" s="5">
        <f>Grade8!M63-M63</f>
        <v>1.2650000000000006</v>
      </c>
      <c r="S63" s="22">
        <f t="shared" si="20"/>
        <v>1.2397000000000005</v>
      </c>
      <c r="T63" s="22">
        <f t="shared" si="21"/>
        <v>0.1288324931993006</v>
      </c>
    </row>
    <row r="64" spans="1:20" x14ac:dyDescent="0.2">
      <c r="A64" s="5">
        <v>73</v>
      </c>
      <c r="H64" s="21"/>
      <c r="M64" s="5">
        <f>scrimecost*Meta!O61</f>
        <v>59.95</v>
      </c>
      <c r="N64" s="5">
        <f>L64-Grade8!L64</f>
        <v>0</v>
      </c>
      <c r="O64" s="5">
        <f>Grade8!M64-M64</f>
        <v>1.2650000000000006</v>
      </c>
      <c r="S64" s="22">
        <f t="shared" si="20"/>
        <v>1.2397000000000005</v>
      </c>
      <c r="T64" s="22">
        <f t="shared" si="21"/>
        <v>0.1239002307144781</v>
      </c>
    </row>
    <row r="65" spans="1:20" x14ac:dyDescent="0.2">
      <c r="A65" s="5">
        <v>74</v>
      </c>
      <c r="H65" s="21"/>
      <c r="M65" s="5">
        <f>scrimecost*Meta!O62</f>
        <v>59.95</v>
      </c>
      <c r="N65" s="5">
        <f>L65-Grade8!L65</f>
        <v>0</v>
      </c>
      <c r="O65" s="5">
        <f>Grade8!M65-M65</f>
        <v>1.2650000000000006</v>
      </c>
      <c r="S65" s="22">
        <f t="shared" si="20"/>
        <v>1.2397000000000005</v>
      </c>
      <c r="T65" s="22">
        <f t="shared" si="21"/>
        <v>0.11915679647177897</v>
      </c>
    </row>
    <row r="66" spans="1:20" x14ac:dyDescent="0.2">
      <c r="A66" s="5">
        <v>75</v>
      </c>
      <c r="H66" s="21"/>
      <c r="M66" s="5">
        <f>scrimecost*Meta!O63</f>
        <v>59.95</v>
      </c>
      <c r="N66" s="5">
        <f>L66-Grade8!L66</f>
        <v>0</v>
      </c>
      <c r="O66" s="5">
        <f>Grade8!M66-M66</f>
        <v>1.2650000000000006</v>
      </c>
      <c r="S66" s="22">
        <f t="shared" si="20"/>
        <v>1.2397000000000005</v>
      </c>
      <c r="T66" s="22">
        <f t="shared" si="21"/>
        <v>0.11459496131315786</v>
      </c>
    </row>
    <row r="67" spans="1:20" x14ac:dyDescent="0.2">
      <c r="A67" s="5">
        <v>76</v>
      </c>
      <c r="H67" s="21"/>
      <c r="M67" s="5">
        <f>scrimecost*Meta!O64</f>
        <v>59.95</v>
      </c>
      <c r="N67" s="5">
        <f>L67-Grade8!L67</f>
        <v>0</v>
      </c>
      <c r="O67" s="5">
        <f>Grade8!M67-M67</f>
        <v>1.2650000000000006</v>
      </c>
      <c r="S67" s="22">
        <f t="shared" si="20"/>
        <v>1.2397000000000005</v>
      </c>
      <c r="T67" s="22">
        <f t="shared" si="21"/>
        <v>0.11020777284386228</v>
      </c>
    </row>
    <row r="68" spans="1:20" x14ac:dyDescent="0.2">
      <c r="A68" s="5">
        <v>77</v>
      </c>
      <c r="H68" s="21"/>
      <c r="M68" s="5">
        <f>scrimecost*Meta!O65</f>
        <v>59.95</v>
      </c>
      <c r="N68" s="5">
        <f>L68-Grade8!L68</f>
        <v>0</v>
      </c>
      <c r="O68" s="5">
        <f>Grade8!M68-M68</f>
        <v>1.2650000000000006</v>
      </c>
      <c r="S68" s="22">
        <f t="shared" si="20"/>
        <v>1.2397000000000005</v>
      </c>
      <c r="T68" s="22">
        <f t="shared" si="21"/>
        <v>0.10598854483674201</v>
      </c>
    </row>
    <row r="69" spans="1:20" x14ac:dyDescent="0.2">
      <c r="A69" s="5">
        <v>78</v>
      </c>
      <c r="H69" s="21"/>
      <c r="M69" s="5">
        <f>scrimecost*Meta!O66</f>
        <v>59.95</v>
      </c>
      <c r="N69" s="5">
        <f>L69-Grade8!L69</f>
        <v>0</v>
      </c>
      <c r="O69" s="5">
        <f>Grade8!M69-M69</f>
        <v>1.2650000000000006</v>
      </c>
      <c r="S69" s="22">
        <f>IF(A69&lt;startage,1,0)*(N69-Q69-R69)+IF(A69&gt;=startage,1,0)*completionprob*(N69*spart+O69+P69)</f>
        <v>1.2397000000000005</v>
      </c>
      <c r="T69" s="22">
        <f>S69/sreturn^(A69-startage+1)</f>
        <v>0.10193084704220748</v>
      </c>
    </row>
    <row r="70" spans="1:20" x14ac:dyDescent="0.2">
      <c r="A70" s="5">
        <v>79</v>
      </c>
      <c r="H70" s="21"/>
      <c r="M70" s="5"/>
      <c r="S70" s="22">
        <f>SUM(T5:T69)</f>
        <v>-1.4556675309584932E-11</v>
      </c>
    </row>
    <row r="71" spans="1:20" x14ac:dyDescent="0.2">
      <c r="A71" s="5">
        <v>80</v>
      </c>
      <c r="H71" s="21"/>
      <c r="M71" s="5"/>
    </row>
    <row r="72" spans="1:20" x14ac:dyDescent="0.2">
      <c r="A72" s="5">
        <v>81</v>
      </c>
      <c r="H72" s="21"/>
      <c r="M72" s="5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6" sqref="S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Meta!A4+6</f>
        <v>16</v>
      </c>
      <c r="C2" s="7">
        <f>Meta!B4</f>
        <v>91493</v>
      </c>
      <c r="D2" s="7">
        <f>Meta!C4</f>
        <v>41235</v>
      </c>
      <c r="E2" s="1">
        <f>Meta!D4</f>
        <v>5.7000000000000002E-2</v>
      </c>
      <c r="F2" s="1">
        <f>Meta!F4</f>
        <v>0.63400000000000001</v>
      </c>
      <c r="G2" s="1">
        <f>Meta!I4</f>
        <v>1.9496869757628374</v>
      </c>
      <c r="H2" s="1">
        <f>Meta!E4</f>
        <v>0.98</v>
      </c>
      <c r="I2" s="13"/>
      <c r="J2" s="1">
        <f>Meta!X3</f>
        <v>0.73599999999999999</v>
      </c>
      <c r="K2" s="1">
        <f>Meta!D3</f>
        <v>0.06</v>
      </c>
      <c r="L2" s="29"/>
      <c r="N2" s="22">
        <f>Meta!T4</f>
        <v>128912</v>
      </c>
      <c r="O2" s="22">
        <f>Meta!U4</f>
        <v>56490</v>
      </c>
      <c r="P2" s="1">
        <f>Meta!V4</f>
        <v>3.6999999999999998E-2</v>
      </c>
      <c r="Q2" s="1">
        <f>Meta!X4</f>
        <v>0.745</v>
      </c>
      <c r="R2" s="22">
        <f>Meta!W4</f>
        <v>1068</v>
      </c>
      <c r="T2" s="12">
        <f>IRR(S5:S69)+1</f>
        <v>1.0404151930928205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B6" s="1">
        <v>1</v>
      </c>
      <c r="C6" s="5">
        <f>0.1*Grade9!C6</f>
        <v>4372.2822766971794</v>
      </c>
      <c r="D6" s="5">
        <f t="shared" ref="D6:D36" si="0">IF(A6&lt;startage,1,0)*(C6*(1-initialunempprob))+IF(A6=startage,1,0)*(C6*(1-unempprob))+IF(A6&gt;startage,1,0)*(C6*(1-unempprob)+unempprob*300*52)</f>
        <v>4109.945340095348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314.4108185172941</v>
      </c>
      <c r="G6" s="5">
        <f t="shared" ref="G6:G56" si="3">D6-F6</f>
        <v>3795.534521578054</v>
      </c>
      <c r="H6" s="22">
        <f>0.1*Grade9!H6</f>
        <v>1970.5363449050501</v>
      </c>
      <c r="I6" s="5">
        <f t="shared" ref="I6:I36" si="4">G6+IF(A6&lt;startage,1,0)*(H6*(1-initialunempprob))+IF(A6&gt;=startage,1,0)*(H6*(1-unempprob))</f>
        <v>5647.8386857888008</v>
      </c>
      <c r="J6" s="26">
        <f t="shared" ref="J6:J37" si="5">(F6-(IF(A6&gt;startage,1,0)*(unempprob*300*52)))/(IF(A6&lt;startage,1,0)*((C6+H6)*(1-initialunempprob))+IF(A6&gt;=startage,1,0)*((C6+H6)*(1-unempprob)))</f>
        <v>5.2733589610803482E-2</v>
      </c>
      <c r="L6" s="22">
        <f>0.1*Grade9!L6</f>
        <v>8616.3042357211452</v>
      </c>
      <c r="M6" s="5">
        <f>scrimecost*Meta!O3</f>
        <v>1982.2080000000001</v>
      </c>
      <c r="N6" s="5">
        <f>L6-Grade9!L6</f>
        <v>-77546.738121490314</v>
      </c>
      <c r="O6" s="5"/>
      <c r="P6" s="22"/>
      <c r="Q6" s="22">
        <f>0.05*feel*Grade9!G6</f>
        <v>426.72674611759044</v>
      </c>
      <c r="R6" s="22">
        <f>hstuition</f>
        <v>11298</v>
      </c>
      <c r="S6" s="22">
        <f t="shared" ref="S6:S37" si="6">IF(A6&lt;startage,1,0)*(N6-Q6-R6)+IF(A6&gt;=startage,1,0)*completionprob*(N6*spart+O6+P6)</f>
        <v>-89271.464867607909</v>
      </c>
      <c r="T6" s="22">
        <f t="shared" ref="T6:T37" si="7">S6/sreturn^(A6-startage+1)</f>
        <v>-89271.464867607909</v>
      </c>
    </row>
    <row r="7" spans="1:20" x14ac:dyDescent="0.2">
      <c r="A7" s="5">
        <v>16</v>
      </c>
      <c r="B7" s="1">
        <f t="shared" ref="B7:B36" si="8">(1+experiencepremium)^(A7-startage)</f>
        <v>1</v>
      </c>
      <c r="C7" s="5">
        <f t="shared" ref="C7:C36" si="9">pretaxincome*B7/expnorm</f>
        <v>46927.020151120574</v>
      </c>
      <c r="D7" s="5">
        <f t="shared" si="0"/>
        <v>44252.180002506699</v>
      </c>
      <c r="E7" s="5">
        <f t="shared" si="1"/>
        <v>34752.180002506699</v>
      </c>
      <c r="F7" s="5">
        <f t="shared" si="2"/>
        <v>11673.554771069106</v>
      </c>
      <c r="G7" s="5">
        <f t="shared" si="3"/>
        <v>32578.625231437592</v>
      </c>
      <c r="H7" s="22">
        <f t="shared" ref="H7:H36" si="10">benefits*B7/expnorm</f>
        <v>21149.548882771982</v>
      </c>
      <c r="I7" s="5">
        <f t="shared" si="4"/>
        <v>52522.649827891568</v>
      </c>
      <c r="J7" s="26">
        <f t="shared" si="5"/>
        <v>0.18184182139730573</v>
      </c>
      <c r="L7" s="22">
        <f t="shared" ref="L7:L36" si="11">(sincome+sbenefits)*(1-sunemp)*B7/expnorm</f>
        <v>91574.764677362284</v>
      </c>
      <c r="M7" s="5">
        <f>scrimecost*Meta!O4</f>
        <v>2507.6639999999998</v>
      </c>
      <c r="N7" s="5">
        <f>L7-Grade9!L7</f>
        <v>3257.6462612205505</v>
      </c>
      <c r="O7" s="5">
        <f>Grade9!M7-M7</f>
        <v>51.655999999999949</v>
      </c>
      <c r="P7" s="22">
        <f t="shared" ref="P7:P38" si="12">(spart-initialspart)*(L7*J7+nptrans)</f>
        <v>208.85509802665109</v>
      </c>
      <c r="Q7" s="22"/>
      <c r="R7" s="22"/>
      <c r="S7" s="22">
        <f t="shared" si="6"/>
        <v>2633.7084113832416</v>
      </c>
      <c r="T7" s="22">
        <f t="shared" si="7"/>
        <v>2531.4013375314826</v>
      </c>
    </row>
    <row r="8" spans="1:20" x14ac:dyDescent="0.2">
      <c r="A8" s="5">
        <v>17</v>
      </c>
      <c r="B8" s="1">
        <f t="shared" si="8"/>
        <v>1.0249999999999999</v>
      </c>
      <c r="C8" s="5">
        <f t="shared" si="9"/>
        <v>48100.195654898584</v>
      </c>
      <c r="D8" s="5">
        <f t="shared" si="0"/>
        <v>46247.684502569362</v>
      </c>
      <c r="E8" s="5">
        <f t="shared" si="1"/>
        <v>36747.684502569362</v>
      </c>
      <c r="F8" s="5">
        <f t="shared" si="2"/>
        <v>12524.637440345832</v>
      </c>
      <c r="G8" s="5">
        <f t="shared" si="3"/>
        <v>33723.04706222353</v>
      </c>
      <c r="H8" s="22">
        <f t="shared" si="10"/>
        <v>21678.287604841276</v>
      </c>
      <c r="I8" s="5">
        <f t="shared" si="4"/>
        <v>54165.672273588847</v>
      </c>
      <c r="J8" s="26">
        <f t="shared" si="5"/>
        <v>0.17682737405083304</v>
      </c>
      <c r="L8" s="22">
        <f t="shared" si="11"/>
        <v>93864.133794296344</v>
      </c>
      <c r="M8" s="5">
        <f>scrimecost*Meta!O5</f>
        <v>2896.4160000000002</v>
      </c>
      <c r="N8" s="5">
        <f>L8-Grade9!L8</f>
        <v>3339.0874177510705</v>
      </c>
      <c r="O8" s="5">
        <f>Grade9!M8-M8</f>
        <v>59.664000000000215</v>
      </c>
      <c r="P8" s="22">
        <f t="shared" si="12"/>
        <v>208.36573466761348</v>
      </c>
      <c r="Q8" s="22"/>
      <c r="R8" s="22"/>
      <c r="S8" s="22">
        <f t="shared" si="6"/>
        <v>2700.5368636743183</v>
      </c>
      <c r="T8" s="22">
        <f t="shared" si="7"/>
        <v>2494.8057648610848</v>
      </c>
    </row>
    <row r="9" spans="1:20" x14ac:dyDescent="0.2">
      <c r="A9" s="5">
        <v>18</v>
      </c>
      <c r="B9" s="1">
        <f t="shared" si="8"/>
        <v>1.0506249999999999</v>
      </c>
      <c r="C9" s="5">
        <f t="shared" si="9"/>
        <v>49302.700546271044</v>
      </c>
      <c r="D9" s="5">
        <f t="shared" si="0"/>
        <v>47381.646615133592</v>
      </c>
      <c r="E9" s="5">
        <f t="shared" si="1"/>
        <v>37881.646615133592</v>
      </c>
      <c r="F9" s="5">
        <f t="shared" si="2"/>
        <v>13008.272281354477</v>
      </c>
      <c r="G9" s="5">
        <f t="shared" si="3"/>
        <v>34373.374333779117</v>
      </c>
      <c r="H9" s="22">
        <f t="shared" si="10"/>
        <v>22220.244794962313</v>
      </c>
      <c r="I9" s="5">
        <f t="shared" si="4"/>
        <v>55327.065175428579</v>
      </c>
      <c r="J9" s="26">
        <f t="shared" si="5"/>
        <v>0.17968519382032697</v>
      </c>
      <c r="L9" s="22">
        <f t="shared" si="11"/>
        <v>96210.737139153745</v>
      </c>
      <c r="M9" s="5">
        <f>scrimecost*Meta!O6</f>
        <v>3520.1279999999997</v>
      </c>
      <c r="N9" s="5">
        <f>L9-Grade9!L9</f>
        <v>3422.5646031948418</v>
      </c>
      <c r="O9" s="5">
        <f>Grade9!M9-M9</f>
        <v>72.512000000000171</v>
      </c>
      <c r="P9" s="22">
        <f t="shared" si="12"/>
        <v>214.57480455400852</v>
      </c>
      <c r="Q9" s="22"/>
      <c r="R9" s="22"/>
      <c r="S9" s="22">
        <f t="shared" si="6"/>
        <v>2780.1594852554822</v>
      </c>
      <c r="T9" s="22">
        <f t="shared" si="7"/>
        <v>2468.5939116734844</v>
      </c>
    </row>
    <row r="10" spans="1:20" x14ac:dyDescent="0.2">
      <c r="A10" s="5">
        <v>19</v>
      </c>
      <c r="B10" s="1">
        <f t="shared" si="8"/>
        <v>1.0768906249999999</v>
      </c>
      <c r="C10" s="5">
        <f t="shared" si="9"/>
        <v>50535.268059927825</v>
      </c>
      <c r="D10" s="5">
        <f t="shared" si="0"/>
        <v>48543.957780511933</v>
      </c>
      <c r="E10" s="5">
        <f t="shared" si="1"/>
        <v>39043.957780511933</v>
      </c>
      <c r="F10" s="5">
        <f t="shared" si="2"/>
        <v>13503.997993388341</v>
      </c>
      <c r="G10" s="5">
        <f t="shared" si="3"/>
        <v>35039.959787123589</v>
      </c>
      <c r="H10" s="22">
        <f t="shared" si="10"/>
        <v>22775.750914836368</v>
      </c>
      <c r="I10" s="5">
        <f t="shared" si="4"/>
        <v>56517.492899814286</v>
      </c>
      <c r="J10" s="26">
        <f t="shared" si="5"/>
        <v>0.18247331066861378</v>
      </c>
      <c r="L10" s="22">
        <f t="shared" si="11"/>
        <v>98616.005567632586</v>
      </c>
      <c r="M10" s="5">
        <f>scrimecost*Meta!O7</f>
        <v>3762.5640000000003</v>
      </c>
      <c r="N10" s="5">
        <f>L10-Grade9!L10</f>
        <v>3508.1287182747183</v>
      </c>
      <c r="O10" s="5">
        <f>Grade9!M10-M10</f>
        <v>77.505999999999858</v>
      </c>
      <c r="P10" s="22">
        <f t="shared" si="12"/>
        <v>220.93910118756349</v>
      </c>
      <c r="Q10" s="22"/>
      <c r="R10" s="22"/>
      <c r="S10" s="22">
        <f t="shared" si="6"/>
        <v>2853.7609763761839</v>
      </c>
      <c r="T10" s="22">
        <f t="shared" si="7"/>
        <v>2435.5152473497819</v>
      </c>
    </row>
    <row r="11" spans="1:20" x14ac:dyDescent="0.2">
      <c r="A11" s="5">
        <v>20</v>
      </c>
      <c r="B11" s="1">
        <f t="shared" si="8"/>
        <v>1.1038128906249998</v>
      </c>
      <c r="C11" s="5">
        <f t="shared" si="9"/>
        <v>51798.649761426015</v>
      </c>
      <c r="D11" s="5">
        <f t="shared" si="0"/>
        <v>49735.32672502473</v>
      </c>
      <c r="E11" s="5">
        <f t="shared" si="1"/>
        <v>40235.32672502473</v>
      </c>
      <c r="F11" s="5">
        <f t="shared" si="2"/>
        <v>14012.116848223048</v>
      </c>
      <c r="G11" s="5">
        <f t="shared" si="3"/>
        <v>35723.20987680168</v>
      </c>
      <c r="H11" s="22">
        <f t="shared" si="10"/>
        <v>23345.144687707274</v>
      </c>
      <c r="I11" s="5">
        <f t="shared" si="4"/>
        <v>57737.681317309638</v>
      </c>
      <c r="J11" s="26">
        <f t="shared" si="5"/>
        <v>0.18519342466694227</v>
      </c>
      <c r="L11" s="22">
        <f t="shared" si="11"/>
        <v>101081.40570682338</v>
      </c>
      <c r="M11" s="5">
        <f>scrimecost*Meta!O8</f>
        <v>3603.4320000000002</v>
      </c>
      <c r="N11" s="5">
        <f>L11-Grade9!L11</f>
        <v>3595.8319362315815</v>
      </c>
      <c r="O11" s="5">
        <f>Grade9!M11-M11</f>
        <v>74.228000000000065</v>
      </c>
      <c r="P11" s="22">
        <f t="shared" si="12"/>
        <v>227.46250523695724</v>
      </c>
      <c r="Q11" s="22"/>
      <c r="R11" s="22"/>
      <c r="S11" s="22">
        <f t="shared" si="6"/>
        <v>2920.9735917748958</v>
      </c>
      <c r="T11" s="22">
        <f t="shared" si="7"/>
        <v>2396.0407664509271</v>
      </c>
    </row>
    <row r="12" spans="1:20" x14ac:dyDescent="0.2">
      <c r="A12" s="5">
        <v>21</v>
      </c>
      <c r="B12" s="1">
        <f t="shared" si="8"/>
        <v>1.1314082128906247</v>
      </c>
      <c r="C12" s="5">
        <f t="shared" si="9"/>
        <v>53093.616005461656</v>
      </c>
      <c r="D12" s="5">
        <f t="shared" si="0"/>
        <v>50956.479893150339</v>
      </c>
      <c r="E12" s="5">
        <f t="shared" si="1"/>
        <v>41456.479893150339</v>
      </c>
      <c r="F12" s="5">
        <f t="shared" si="2"/>
        <v>14532.93867442862</v>
      </c>
      <c r="G12" s="5">
        <f t="shared" si="3"/>
        <v>36423.541218721715</v>
      </c>
      <c r="H12" s="22">
        <f t="shared" si="10"/>
        <v>23928.773304899954</v>
      </c>
      <c r="I12" s="5">
        <f t="shared" si="4"/>
        <v>58988.374445242371</v>
      </c>
      <c r="J12" s="26">
        <f t="shared" si="5"/>
        <v>0.18784719442140912</v>
      </c>
      <c r="L12" s="22">
        <f t="shared" si="11"/>
        <v>103608.44084949396</v>
      </c>
      <c r="M12" s="5">
        <f>scrimecost*Meta!O9</f>
        <v>3272.3519999999999</v>
      </c>
      <c r="N12" s="5">
        <f>L12-Grade9!L12</f>
        <v>3685.7277346373739</v>
      </c>
      <c r="O12" s="5">
        <f>Grade9!M12-M12</f>
        <v>67.408000000000357</v>
      </c>
      <c r="P12" s="22">
        <f t="shared" si="12"/>
        <v>234.14899438758582</v>
      </c>
      <c r="Q12" s="22"/>
      <c r="R12" s="22"/>
      <c r="S12" s="22">
        <f t="shared" si="6"/>
        <v>2986.4756735585811</v>
      </c>
      <c r="T12" s="22">
        <f t="shared" si="7"/>
        <v>2354.6093721583202</v>
      </c>
    </row>
    <row r="13" spans="1:20" x14ac:dyDescent="0.2">
      <c r="A13" s="5">
        <v>22</v>
      </c>
      <c r="B13" s="1">
        <f t="shared" si="8"/>
        <v>1.1596934182128902</v>
      </c>
      <c r="C13" s="5">
        <f t="shared" si="9"/>
        <v>54420.95640559819</v>
      </c>
      <c r="D13" s="5">
        <f t="shared" si="0"/>
        <v>52208.161890479088</v>
      </c>
      <c r="E13" s="5">
        <f t="shared" si="1"/>
        <v>42708.161890479088</v>
      </c>
      <c r="F13" s="5">
        <f t="shared" si="2"/>
        <v>15066.78104628933</v>
      </c>
      <c r="G13" s="5">
        <f t="shared" si="3"/>
        <v>37141.380844189756</v>
      </c>
      <c r="H13" s="22">
        <f t="shared" si="10"/>
        <v>24526.99263752245</v>
      </c>
      <c r="I13" s="5">
        <f t="shared" si="4"/>
        <v>60270.334901373426</v>
      </c>
      <c r="J13" s="26">
        <f t="shared" si="5"/>
        <v>0.19043623808430363</v>
      </c>
      <c r="L13" s="22">
        <f t="shared" si="11"/>
        <v>106198.65187073131</v>
      </c>
      <c r="M13" s="5">
        <f>scrimecost*Meta!O10</f>
        <v>2998.944</v>
      </c>
      <c r="N13" s="5">
        <f>L13-Grade9!L13</f>
        <v>3777.8709280033072</v>
      </c>
      <c r="O13" s="5">
        <f>Grade9!M13-M13</f>
        <v>61.77599999999984</v>
      </c>
      <c r="P13" s="22">
        <f t="shared" si="12"/>
        <v>241.00264576698021</v>
      </c>
      <c r="Q13" s="22"/>
      <c r="R13" s="22"/>
      <c r="S13" s="22">
        <f t="shared" si="6"/>
        <v>3054.9466373868549</v>
      </c>
      <c r="T13" s="22">
        <f t="shared" si="7"/>
        <v>2315.0311007136115</v>
      </c>
    </row>
    <row r="14" spans="1:20" x14ac:dyDescent="0.2">
      <c r="A14" s="5">
        <v>23</v>
      </c>
      <c r="B14" s="1">
        <f t="shared" si="8"/>
        <v>1.1886857536682125</v>
      </c>
      <c r="C14" s="5">
        <f t="shared" si="9"/>
        <v>55781.480315738154</v>
      </c>
      <c r="D14" s="5">
        <f t="shared" si="0"/>
        <v>53491.13593774107</v>
      </c>
      <c r="E14" s="5">
        <f t="shared" si="1"/>
        <v>43991.13593774107</v>
      </c>
      <c r="F14" s="5">
        <f t="shared" si="2"/>
        <v>15613.969477446566</v>
      </c>
      <c r="G14" s="5">
        <f t="shared" si="3"/>
        <v>37877.166460294502</v>
      </c>
      <c r="H14" s="22">
        <f t="shared" si="10"/>
        <v>25140.167453460512</v>
      </c>
      <c r="I14" s="5">
        <f t="shared" si="4"/>
        <v>61584.344368907769</v>
      </c>
      <c r="J14" s="26">
        <f t="shared" si="5"/>
        <v>0.1929621343407861</v>
      </c>
      <c r="L14" s="22">
        <f t="shared" si="11"/>
        <v>108853.61816749959</v>
      </c>
      <c r="M14" s="5">
        <f>scrimecost*Meta!O11</f>
        <v>2802.4320000000002</v>
      </c>
      <c r="N14" s="5">
        <f>L14-Grade9!L14</f>
        <v>3872.3177012033993</v>
      </c>
      <c r="O14" s="5">
        <f>Grade9!M14-M14</f>
        <v>57.728000000000065</v>
      </c>
      <c r="P14" s="22">
        <f t="shared" si="12"/>
        <v>248.02763843085944</v>
      </c>
      <c r="Q14" s="22"/>
      <c r="R14" s="22"/>
      <c r="S14" s="22">
        <f t="shared" si="6"/>
        <v>3126.8196793108441</v>
      </c>
      <c r="T14" s="22">
        <f t="shared" si="7"/>
        <v>2277.4526286032801</v>
      </c>
    </row>
    <row r="15" spans="1:20" x14ac:dyDescent="0.2">
      <c r="A15" s="5">
        <v>24</v>
      </c>
      <c r="B15" s="1">
        <f t="shared" si="8"/>
        <v>1.2184028975099177</v>
      </c>
      <c r="C15" s="5">
        <f t="shared" si="9"/>
        <v>57176.017323631597</v>
      </c>
      <c r="D15" s="5">
        <f t="shared" si="0"/>
        <v>54806.184336184589</v>
      </c>
      <c r="E15" s="5">
        <f t="shared" si="1"/>
        <v>45306.184336184589</v>
      </c>
      <c r="F15" s="5">
        <f t="shared" si="2"/>
        <v>16174.837619382726</v>
      </c>
      <c r="G15" s="5">
        <f t="shared" si="3"/>
        <v>38631.346716801861</v>
      </c>
      <c r="H15" s="22">
        <f t="shared" si="10"/>
        <v>25768.671639797023</v>
      </c>
      <c r="I15" s="5">
        <f t="shared" si="4"/>
        <v>62931.204073130451</v>
      </c>
      <c r="J15" s="26">
        <f t="shared" si="5"/>
        <v>0.19542642337150065</v>
      </c>
      <c r="L15" s="22">
        <f t="shared" si="11"/>
        <v>111574.95862168708</v>
      </c>
      <c r="M15" s="5">
        <f>scrimecost*Meta!O12</f>
        <v>2677.4760000000001</v>
      </c>
      <c r="N15" s="5">
        <f>L15-Grade9!L15</f>
        <v>3969.125643733496</v>
      </c>
      <c r="O15" s="5">
        <f>Grade9!M15-M15</f>
        <v>55.153999999999996</v>
      </c>
      <c r="P15" s="22">
        <f t="shared" si="12"/>
        <v>255.22825591133562</v>
      </c>
      <c r="Q15" s="22"/>
      <c r="R15" s="22"/>
      <c r="S15" s="22">
        <f t="shared" si="6"/>
        <v>3202.0332432829341</v>
      </c>
      <c r="T15" s="22">
        <f t="shared" si="7"/>
        <v>2241.6389625901384</v>
      </c>
    </row>
    <row r="16" spans="1:20" x14ac:dyDescent="0.2">
      <c r="A16" s="5">
        <v>25</v>
      </c>
      <c r="B16" s="1">
        <f t="shared" si="8"/>
        <v>1.2488629699476654</v>
      </c>
      <c r="C16" s="5">
        <f t="shared" si="9"/>
        <v>58605.417756722381</v>
      </c>
      <c r="D16" s="5">
        <f t="shared" si="0"/>
        <v>56154.108944589199</v>
      </c>
      <c r="E16" s="5">
        <f t="shared" si="1"/>
        <v>46654.108944589199</v>
      </c>
      <c r="F16" s="5">
        <f t="shared" si="2"/>
        <v>16749.727464867294</v>
      </c>
      <c r="G16" s="5">
        <f t="shared" si="3"/>
        <v>39404.381479721909</v>
      </c>
      <c r="H16" s="22">
        <f t="shared" si="10"/>
        <v>26412.888430791943</v>
      </c>
      <c r="I16" s="5">
        <f t="shared" si="4"/>
        <v>64311.735269958706</v>
      </c>
      <c r="J16" s="26">
        <f t="shared" si="5"/>
        <v>0.19783060779170999</v>
      </c>
      <c r="L16" s="22">
        <f t="shared" si="11"/>
        <v>114364.33258722922</v>
      </c>
      <c r="M16" s="5">
        <f>scrimecost*Meta!O13</f>
        <v>2248.14</v>
      </c>
      <c r="N16" s="5">
        <f>L16-Grade9!L16</f>
        <v>4068.3537848267879</v>
      </c>
      <c r="O16" s="5">
        <f>Grade9!M16-M16</f>
        <v>46.309999999999945</v>
      </c>
      <c r="P16" s="22">
        <f t="shared" si="12"/>
        <v>262.60888882882364</v>
      </c>
      <c r="Q16" s="22"/>
      <c r="R16" s="22"/>
      <c r="S16" s="22">
        <f t="shared" si="6"/>
        <v>3273.0456093542848</v>
      </c>
      <c r="T16" s="22">
        <f t="shared" si="7"/>
        <v>2202.3442348006474</v>
      </c>
    </row>
    <row r="17" spans="1:20" x14ac:dyDescent="0.2">
      <c r="A17" s="5">
        <v>26</v>
      </c>
      <c r="B17" s="1">
        <f t="shared" si="8"/>
        <v>1.2800845441963571</v>
      </c>
      <c r="C17" s="5">
        <f t="shared" si="9"/>
        <v>60070.553200640439</v>
      </c>
      <c r="D17" s="5">
        <f t="shared" si="0"/>
        <v>57535.731668203931</v>
      </c>
      <c r="E17" s="5">
        <f t="shared" si="1"/>
        <v>48035.731668203931</v>
      </c>
      <c r="F17" s="5">
        <f t="shared" si="2"/>
        <v>17338.989556488978</v>
      </c>
      <c r="G17" s="5">
        <f t="shared" si="3"/>
        <v>40196.74211171495</v>
      </c>
      <c r="H17" s="22">
        <f t="shared" si="10"/>
        <v>27073.210641561742</v>
      </c>
      <c r="I17" s="5">
        <f t="shared" si="4"/>
        <v>65726.779746707674</v>
      </c>
      <c r="J17" s="26">
        <f t="shared" si="5"/>
        <v>0.20017615356752405</v>
      </c>
      <c r="L17" s="22">
        <f t="shared" si="11"/>
        <v>117223.44090190995</v>
      </c>
      <c r="M17" s="5">
        <f>scrimecost*Meta!O14</f>
        <v>2248.14</v>
      </c>
      <c r="N17" s="5">
        <f>L17-Grade9!L17</f>
        <v>4170.0626294474787</v>
      </c>
      <c r="O17" s="5">
        <f>Grade9!M17-M17</f>
        <v>46.309999999999945</v>
      </c>
      <c r="P17" s="22">
        <f t="shared" si="12"/>
        <v>270.17403756924904</v>
      </c>
      <c r="Q17" s="22"/>
      <c r="R17" s="22"/>
      <c r="S17" s="22">
        <f t="shared" si="6"/>
        <v>3354.7170825774679</v>
      </c>
      <c r="T17" s="22">
        <f t="shared" si="7"/>
        <v>2169.6134239396629</v>
      </c>
    </row>
    <row r="18" spans="1:20" x14ac:dyDescent="0.2">
      <c r="A18" s="5">
        <v>27</v>
      </c>
      <c r="B18" s="1">
        <f t="shared" si="8"/>
        <v>1.312086657801266</v>
      </c>
      <c r="C18" s="5">
        <f t="shared" si="9"/>
        <v>61572.317030656457</v>
      </c>
      <c r="D18" s="5">
        <f t="shared" si="0"/>
        <v>58951.894959909034</v>
      </c>
      <c r="E18" s="5">
        <f t="shared" si="1"/>
        <v>49451.894959909034</v>
      </c>
      <c r="F18" s="5">
        <f t="shared" si="2"/>
        <v>17942.983200401202</v>
      </c>
      <c r="G18" s="5">
        <f t="shared" si="3"/>
        <v>41008.911759507828</v>
      </c>
      <c r="H18" s="22">
        <f t="shared" si="10"/>
        <v>27750.040907600789</v>
      </c>
      <c r="I18" s="5">
        <f t="shared" si="4"/>
        <v>67177.200335375368</v>
      </c>
      <c r="J18" s="26">
        <f t="shared" si="5"/>
        <v>0.20246449090978161</v>
      </c>
      <c r="L18" s="22">
        <f t="shared" si="11"/>
        <v>120154.02692445771</v>
      </c>
      <c r="M18" s="5">
        <f>scrimecost*Meta!O15</f>
        <v>2248.14</v>
      </c>
      <c r="N18" s="5">
        <f>L18-Grade9!L18</f>
        <v>4274.3141951836587</v>
      </c>
      <c r="O18" s="5">
        <f>Grade9!M18-M18</f>
        <v>46.309999999999945</v>
      </c>
      <c r="P18" s="22">
        <f t="shared" si="12"/>
        <v>277.92831502818495</v>
      </c>
      <c r="Q18" s="22"/>
      <c r="R18" s="22"/>
      <c r="S18" s="22">
        <f t="shared" si="6"/>
        <v>3438.4303426312099</v>
      </c>
      <c r="T18" s="22">
        <f t="shared" si="7"/>
        <v>2137.3714510422965</v>
      </c>
    </row>
    <row r="19" spans="1:20" x14ac:dyDescent="0.2">
      <c r="A19" s="5">
        <v>28</v>
      </c>
      <c r="B19" s="1">
        <f t="shared" si="8"/>
        <v>1.3448888242462975</v>
      </c>
      <c r="C19" s="5">
        <f t="shared" si="9"/>
        <v>63111.624956422856</v>
      </c>
      <c r="D19" s="5">
        <f t="shared" si="0"/>
        <v>60403.462333906748</v>
      </c>
      <c r="E19" s="5">
        <f t="shared" si="1"/>
        <v>50903.462333906748</v>
      </c>
      <c r="F19" s="5">
        <f t="shared" si="2"/>
        <v>18562.07668541123</v>
      </c>
      <c r="G19" s="5">
        <f t="shared" si="3"/>
        <v>41841.385648495518</v>
      </c>
      <c r="H19" s="22">
        <f t="shared" si="10"/>
        <v>28443.791930290801</v>
      </c>
      <c r="I19" s="5">
        <f t="shared" si="4"/>
        <v>68663.881438759738</v>
      </c>
      <c r="J19" s="26">
        <f t="shared" si="5"/>
        <v>0.20469701514613045</v>
      </c>
      <c r="L19" s="22">
        <f t="shared" si="11"/>
        <v>123157.87759756914</v>
      </c>
      <c r="M19" s="5">
        <f>scrimecost*Meta!O16</f>
        <v>2248.14</v>
      </c>
      <c r="N19" s="5">
        <f>L19-Grade9!L19</f>
        <v>4381.1720500632509</v>
      </c>
      <c r="O19" s="5">
        <f>Grade9!M19-M19</f>
        <v>46.309999999999945</v>
      </c>
      <c r="P19" s="22">
        <f t="shared" si="12"/>
        <v>285.87644942359424</v>
      </c>
      <c r="Q19" s="22"/>
      <c r="R19" s="22"/>
      <c r="S19" s="22">
        <f t="shared" si="6"/>
        <v>3524.2364341863017</v>
      </c>
      <c r="T19" s="22">
        <f t="shared" si="7"/>
        <v>2105.6109223580861</v>
      </c>
    </row>
    <row r="20" spans="1:20" x14ac:dyDescent="0.2">
      <c r="A20" s="5">
        <v>29</v>
      </c>
      <c r="B20" s="1">
        <f t="shared" si="8"/>
        <v>1.3785110448524549</v>
      </c>
      <c r="C20" s="5">
        <f t="shared" si="9"/>
        <v>64689.415580333429</v>
      </c>
      <c r="D20" s="5">
        <f t="shared" si="0"/>
        <v>61891.318892254414</v>
      </c>
      <c r="E20" s="5">
        <f t="shared" si="1"/>
        <v>52391.318892254414</v>
      </c>
      <c r="F20" s="5">
        <f t="shared" si="2"/>
        <v>19196.64750754651</v>
      </c>
      <c r="G20" s="5">
        <f t="shared" si="3"/>
        <v>42694.671384707908</v>
      </c>
      <c r="H20" s="22">
        <f t="shared" si="10"/>
        <v>29154.886728548074</v>
      </c>
      <c r="I20" s="5">
        <f t="shared" si="4"/>
        <v>70187.729569728748</v>
      </c>
      <c r="J20" s="26">
        <f t="shared" si="5"/>
        <v>0.20687508757183662</v>
      </c>
      <c r="L20" s="22">
        <f t="shared" si="11"/>
        <v>126236.82453750836</v>
      </c>
      <c r="M20" s="5">
        <f>scrimecost*Meta!O17</f>
        <v>2248.14</v>
      </c>
      <c r="N20" s="5">
        <f>L20-Grade9!L20</f>
        <v>4490.7013513148559</v>
      </c>
      <c r="O20" s="5">
        <f>Grade9!M20-M20</f>
        <v>46.309999999999945</v>
      </c>
      <c r="P20" s="22">
        <f t="shared" si="12"/>
        <v>294.02328717888884</v>
      </c>
      <c r="Q20" s="22"/>
      <c r="R20" s="22"/>
      <c r="S20" s="22">
        <f t="shared" si="6"/>
        <v>3612.1876780302873</v>
      </c>
      <c r="T20" s="22">
        <f t="shared" si="7"/>
        <v>2074.3245595484632</v>
      </c>
    </row>
    <row r="21" spans="1:20" x14ac:dyDescent="0.2">
      <c r="A21" s="5">
        <v>30</v>
      </c>
      <c r="B21" s="1">
        <f t="shared" si="8"/>
        <v>1.4129738209737661</v>
      </c>
      <c r="C21" s="5">
        <f t="shared" si="9"/>
        <v>66306.65096984175</v>
      </c>
      <c r="D21" s="5">
        <f t="shared" si="0"/>
        <v>63416.371864560766</v>
      </c>
      <c r="E21" s="5">
        <f t="shared" si="1"/>
        <v>53916.371864560766</v>
      </c>
      <c r="F21" s="5">
        <f t="shared" si="2"/>
        <v>19847.082600235168</v>
      </c>
      <c r="G21" s="5">
        <f t="shared" si="3"/>
        <v>43569.289264325598</v>
      </c>
      <c r="H21" s="22">
        <f t="shared" si="10"/>
        <v>29883.75889676177</v>
      </c>
      <c r="I21" s="5">
        <f t="shared" si="4"/>
        <v>71749.67390397194</v>
      </c>
      <c r="J21" s="26">
        <f t="shared" si="5"/>
        <v>0.20900003627984265</v>
      </c>
      <c r="L21" s="22">
        <f t="shared" si="11"/>
        <v>129392.74515094607</v>
      </c>
      <c r="M21" s="5">
        <f>scrimecost*Meta!O18</f>
        <v>1812.396</v>
      </c>
      <c r="N21" s="5">
        <f>L21-Grade9!L21</f>
        <v>4602.9688850976818</v>
      </c>
      <c r="O21" s="5">
        <f>Grade9!M21-M21</f>
        <v>37.33400000000006</v>
      </c>
      <c r="P21" s="22">
        <f t="shared" si="12"/>
        <v>302.37379587806572</v>
      </c>
      <c r="Q21" s="22"/>
      <c r="R21" s="22"/>
      <c r="S21" s="22">
        <f t="shared" si="6"/>
        <v>3693.541222970322</v>
      </c>
      <c r="T21" s="22">
        <f t="shared" si="7"/>
        <v>2038.6499808444048</v>
      </c>
    </row>
    <row r="22" spans="1:20" x14ac:dyDescent="0.2">
      <c r="A22" s="5">
        <v>31</v>
      </c>
      <c r="B22" s="1">
        <f t="shared" si="8"/>
        <v>1.4482981664981105</v>
      </c>
      <c r="C22" s="5">
        <f t="shared" si="9"/>
        <v>67964.317244087812</v>
      </c>
      <c r="D22" s="5">
        <f t="shared" si="0"/>
        <v>64979.551161174801</v>
      </c>
      <c r="E22" s="5">
        <f t="shared" si="1"/>
        <v>55479.551161174801</v>
      </c>
      <c r="F22" s="5">
        <f t="shared" si="2"/>
        <v>20513.778570241055</v>
      </c>
      <c r="G22" s="5">
        <f t="shared" si="3"/>
        <v>44465.772590933746</v>
      </c>
      <c r="H22" s="22">
        <f t="shared" si="10"/>
        <v>30630.852869180821</v>
      </c>
      <c r="I22" s="5">
        <f t="shared" si="4"/>
        <v>73350.666846571257</v>
      </c>
      <c r="J22" s="26">
        <f t="shared" si="5"/>
        <v>0.21107315697058032</v>
      </c>
      <c r="L22" s="22">
        <f t="shared" si="11"/>
        <v>132627.56377971973</v>
      </c>
      <c r="M22" s="5">
        <f>scrimecost*Meta!O19</f>
        <v>1812.396</v>
      </c>
      <c r="N22" s="5">
        <f>L22-Grade9!L22</f>
        <v>4718.0431072251522</v>
      </c>
      <c r="O22" s="5">
        <f>Grade9!M22-M22</f>
        <v>37.33400000000006</v>
      </c>
      <c r="P22" s="22">
        <f t="shared" si="12"/>
        <v>310.93306729472215</v>
      </c>
      <c r="Q22" s="22"/>
      <c r="R22" s="22"/>
      <c r="S22" s="22">
        <f t="shared" si="6"/>
        <v>3785.9449985339115</v>
      </c>
      <c r="T22" s="22">
        <f t="shared" si="7"/>
        <v>2008.4791689015942</v>
      </c>
    </row>
    <row r="23" spans="1:20" x14ac:dyDescent="0.2">
      <c r="A23" s="5">
        <v>32</v>
      </c>
      <c r="B23" s="1">
        <f t="shared" si="8"/>
        <v>1.4845056206605631</v>
      </c>
      <c r="C23" s="5">
        <f t="shared" si="9"/>
        <v>69663.425175190001</v>
      </c>
      <c r="D23" s="5">
        <f t="shared" si="0"/>
        <v>66581.80994020417</v>
      </c>
      <c r="E23" s="5">
        <f t="shared" si="1"/>
        <v>57081.80994020417</v>
      </c>
      <c r="F23" s="5">
        <f t="shared" si="2"/>
        <v>21197.14193949708</v>
      </c>
      <c r="G23" s="5">
        <f t="shared" si="3"/>
        <v>45384.66800070709</v>
      </c>
      <c r="H23" s="22">
        <f t="shared" si="10"/>
        <v>31396.624190910337</v>
      </c>
      <c r="I23" s="5">
        <f t="shared" si="4"/>
        <v>74991.684612735538</v>
      </c>
      <c r="J23" s="26">
        <f t="shared" si="5"/>
        <v>0.21309571374203165</v>
      </c>
      <c r="L23" s="22">
        <f t="shared" si="11"/>
        <v>135943.25287421272</v>
      </c>
      <c r="M23" s="5">
        <f>scrimecost*Meta!O20</f>
        <v>1812.396</v>
      </c>
      <c r="N23" s="5">
        <f>L23-Grade9!L23</f>
        <v>4835.9941849058087</v>
      </c>
      <c r="O23" s="5">
        <f>Grade9!M23-M23</f>
        <v>37.33400000000006</v>
      </c>
      <c r="P23" s="22">
        <f t="shared" si="12"/>
        <v>319.70632049679494</v>
      </c>
      <c r="Q23" s="22"/>
      <c r="R23" s="22"/>
      <c r="S23" s="22">
        <f t="shared" si="6"/>
        <v>3880.6588684865901</v>
      </c>
      <c r="T23" s="22">
        <f t="shared" si="7"/>
        <v>1978.7540348004702</v>
      </c>
    </row>
    <row r="24" spans="1:20" x14ac:dyDescent="0.2">
      <c r="A24" s="5">
        <v>33</v>
      </c>
      <c r="B24" s="1">
        <f t="shared" si="8"/>
        <v>1.521618261177077</v>
      </c>
      <c r="C24" s="5">
        <f t="shared" si="9"/>
        <v>71405.010804569742</v>
      </c>
      <c r="D24" s="5">
        <f t="shared" si="0"/>
        <v>68224.125188709266</v>
      </c>
      <c r="E24" s="5">
        <f t="shared" si="1"/>
        <v>58724.125188709266</v>
      </c>
      <c r="F24" s="5">
        <f t="shared" si="2"/>
        <v>21897.589392984501</v>
      </c>
      <c r="G24" s="5">
        <f t="shared" si="3"/>
        <v>46326.535795724762</v>
      </c>
      <c r="H24" s="22">
        <f t="shared" si="10"/>
        <v>32181.539795683093</v>
      </c>
      <c r="I24" s="5">
        <f t="shared" si="4"/>
        <v>76673.727823053923</v>
      </c>
      <c r="J24" s="26">
        <f t="shared" si="5"/>
        <v>0.21506893986052067</v>
      </c>
      <c r="L24" s="22">
        <f t="shared" si="11"/>
        <v>139341.83419606803</v>
      </c>
      <c r="M24" s="5">
        <f>scrimecost*Meta!O21</f>
        <v>1812.396</v>
      </c>
      <c r="N24" s="5">
        <f>L24-Grade9!L24</f>
        <v>4956.8940395284444</v>
      </c>
      <c r="O24" s="5">
        <f>Grade9!M24-M24</f>
        <v>37.33400000000006</v>
      </c>
      <c r="P24" s="22">
        <f t="shared" si="12"/>
        <v>328.69890502891946</v>
      </c>
      <c r="Q24" s="22"/>
      <c r="R24" s="22"/>
      <c r="S24" s="22">
        <f t="shared" si="6"/>
        <v>3977.7405851880585</v>
      </c>
      <c r="T24" s="22">
        <f t="shared" si="7"/>
        <v>1949.4680274356219</v>
      </c>
    </row>
    <row r="25" spans="1:20" x14ac:dyDescent="0.2">
      <c r="A25" s="5">
        <v>34</v>
      </c>
      <c r="B25" s="1">
        <f t="shared" si="8"/>
        <v>1.559658717706504</v>
      </c>
      <c r="C25" s="5">
        <f t="shared" si="9"/>
        <v>73190.136074683993</v>
      </c>
      <c r="D25" s="5">
        <f t="shared" si="0"/>
        <v>69907.498318426995</v>
      </c>
      <c r="E25" s="5">
        <f t="shared" si="1"/>
        <v>60407.498318426995</v>
      </c>
      <c r="F25" s="5">
        <f t="shared" si="2"/>
        <v>22615.548032809114</v>
      </c>
      <c r="G25" s="5">
        <f t="shared" si="3"/>
        <v>47291.950285617881</v>
      </c>
      <c r="H25" s="22">
        <f t="shared" si="10"/>
        <v>32986.078290575169</v>
      </c>
      <c r="I25" s="5">
        <f t="shared" si="4"/>
        <v>78397.82211363026</v>
      </c>
      <c r="J25" s="26">
        <f t="shared" si="5"/>
        <v>0.21699403851270518</v>
      </c>
      <c r="L25" s="22">
        <f t="shared" si="11"/>
        <v>142825.38005096972</v>
      </c>
      <c r="M25" s="5">
        <f>scrimecost*Meta!O22</f>
        <v>1812.396</v>
      </c>
      <c r="N25" s="5">
        <f>L25-Grade9!L25</f>
        <v>5080.8163905166439</v>
      </c>
      <c r="O25" s="5">
        <f>Grade9!M25-M25</f>
        <v>37.33400000000006</v>
      </c>
      <c r="P25" s="22">
        <f t="shared" si="12"/>
        <v>337.91630417434726</v>
      </c>
      <c r="Q25" s="22"/>
      <c r="R25" s="22"/>
      <c r="S25" s="22">
        <f t="shared" si="6"/>
        <v>4077.2493448070618</v>
      </c>
      <c r="T25" s="22">
        <f t="shared" si="7"/>
        <v>1920.6146907365014</v>
      </c>
    </row>
    <row r="26" spans="1:20" x14ac:dyDescent="0.2">
      <c r="A26" s="5">
        <v>35</v>
      </c>
      <c r="B26" s="1">
        <f t="shared" si="8"/>
        <v>1.5986501856491666</v>
      </c>
      <c r="C26" s="5">
        <f t="shared" si="9"/>
        <v>75019.889476551078</v>
      </c>
      <c r="D26" s="5">
        <f t="shared" si="0"/>
        <v>71632.955776387666</v>
      </c>
      <c r="E26" s="5">
        <f t="shared" si="1"/>
        <v>62132.955776387666</v>
      </c>
      <c r="F26" s="5">
        <f t="shared" si="2"/>
        <v>23351.455638629341</v>
      </c>
      <c r="G26" s="5">
        <f t="shared" si="3"/>
        <v>48281.500137758325</v>
      </c>
      <c r="H26" s="22">
        <f t="shared" si="10"/>
        <v>33810.73024783955</v>
      </c>
      <c r="I26" s="5">
        <f t="shared" si="4"/>
        <v>80165.018761471016</v>
      </c>
      <c r="J26" s="26">
        <f t="shared" si="5"/>
        <v>0.21887218353922666</v>
      </c>
      <c r="L26" s="22">
        <f t="shared" si="11"/>
        <v>146396.01455224399</v>
      </c>
      <c r="M26" s="5">
        <f>scrimecost*Meta!O23</f>
        <v>1406.556</v>
      </c>
      <c r="N26" s="5">
        <f>L26-Grade9!L26</f>
        <v>5207.8368002795905</v>
      </c>
      <c r="O26" s="5">
        <f>Grade9!M26-M26</f>
        <v>28.973999999999933</v>
      </c>
      <c r="P26" s="22">
        <f t="shared" si="12"/>
        <v>347.36413829841069</v>
      </c>
      <c r="Q26" s="22"/>
      <c r="R26" s="22"/>
      <c r="S26" s="22">
        <f t="shared" si="6"/>
        <v>4171.0530234165717</v>
      </c>
      <c r="T26" s="22">
        <f t="shared" si="7"/>
        <v>1888.4783052591313</v>
      </c>
    </row>
    <row r="27" spans="1:20" x14ac:dyDescent="0.2">
      <c r="A27" s="5">
        <v>36</v>
      </c>
      <c r="B27" s="1">
        <f t="shared" si="8"/>
        <v>1.6386164402903955</v>
      </c>
      <c r="C27" s="5">
        <f t="shared" si="9"/>
        <v>76895.386713464861</v>
      </c>
      <c r="D27" s="5">
        <f t="shared" si="0"/>
        <v>73401.549670797351</v>
      </c>
      <c r="E27" s="5">
        <f t="shared" si="1"/>
        <v>63901.549670797351</v>
      </c>
      <c r="F27" s="5">
        <f t="shared" si="2"/>
        <v>24105.76093459507</v>
      </c>
      <c r="G27" s="5">
        <f t="shared" si="3"/>
        <v>49295.788736202281</v>
      </c>
      <c r="H27" s="22">
        <f t="shared" si="10"/>
        <v>34655.998504035531</v>
      </c>
      <c r="I27" s="5">
        <f t="shared" si="4"/>
        <v>81976.395325507794</v>
      </c>
      <c r="J27" s="26">
        <f t="shared" si="5"/>
        <v>0.22070452015046704</v>
      </c>
      <c r="L27" s="22">
        <f t="shared" si="11"/>
        <v>150055.91491605007</v>
      </c>
      <c r="M27" s="5">
        <f>scrimecost*Meta!O24</f>
        <v>1406.556</v>
      </c>
      <c r="N27" s="5">
        <f>L27-Grade9!L27</f>
        <v>5338.0327202866029</v>
      </c>
      <c r="O27" s="5">
        <f>Grade9!M27-M27</f>
        <v>28.973999999999933</v>
      </c>
      <c r="P27" s="22">
        <f t="shared" si="12"/>
        <v>357.04816827557556</v>
      </c>
      <c r="Q27" s="22"/>
      <c r="R27" s="22"/>
      <c r="S27" s="22">
        <f t="shared" si="6"/>
        <v>4275.5994139913118</v>
      </c>
      <c r="T27" s="22">
        <f t="shared" si="7"/>
        <v>1860.6154061097061</v>
      </c>
    </row>
    <row r="28" spans="1:20" x14ac:dyDescent="0.2">
      <c r="A28" s="5">
        <v>37</v>
      </c>
      <c r="B28" s="1">
        <f t="shared" si="8"/>
        <v>1.6795818512976552</v>
      </c>
      <c r="C28" s="5">
        <f t="shared" si="9"/>
        <v>78817.771381301471</v>
      </c>
      <c r="D28" s="5">
        <f t="shared" si="0"/>
        <v>75214.358412567279</v>
      </c>
      <c r="E28" s="5">
        <f t="shared" si="1"/>
        <v>65714.358412567279</v>
      </c>
      <c r="F28" s="5">
        <f t="shared" si="2"/>
        <v>24878.923862959942</v>
      </c>
      <c r="G28" s="5">
        <f t="shared" si="3"/>
        <v>50335.434549607337</v>
      </c>
      <c r="H28" s="22">
        <f t="shared" si="10"/>
        <v>35522.398466636419</v>
      </c>
      <c r="I28" s="5">
        <f t="shared" si="4"/>
        <v>83833.056303645484</v>
      </c>
      <c r="J28" s="26">
        <f t="shared" si="5"/>
        <v>0.22249216562484794</v>
      </c>
      <c r="L28" s="22">
        <f t="shared" si="11"/>
        <v>153807.31278895127</v>
      </c>
      <c r="M28" s="5">
        <f>scrimecost*Meta!O25</f>
        <v>1406.556</v>
      </c>
      <c r="N28" s="5">
        <f>L28-Grade9!L28</f>
        <v>5471.4835382936872</v>
      </c>
      <c r="O28" s="5">
        <f>Grade9!M28-M28</f>
        <v>28.973999999999933</v>
      </c>
      <c r="P28" s="22">
        <f t="shared" si="12"/>
        <v>366.97429900216957</v>
      </c>
      <c r="Q28" s="22"/>
      <c r="R28" s="22"/>
      <c r="S28" s="22">
        <f t="shared" si="6"/>
        <v>4382.7594643303464</v>
      </c>
      <c r="T28" s="22">
        <f t="shared" si="7"/>
        <v>1833.16076916526</v>
      </c>
    </row>
    <row r="29" spans="1:20" x14ac:dyDescent="0.2">
      <c r="A29" s="5">
        <v>38</v>
      </c>
      <c r="B29" s="1">
        <f t="shared" si="8"/>
        <v>1.7215713975800966</v>
      </c>
      <c r="C29" s="5">
        <f t="shared" si="9"/>
        <v>80788.215665833995</v>
      </c>
      <c r="D29" s="5">
        <f t="shared" si="0"/>
        <v>77072.487372881456</v>
      </c>
      <c r="E29" s="5">
        <f t="shared" si="1"/>
        <v>67572.487372881456</v>
      </c>
      <c r="F29" s="5">
        <f t="shared" si="2"/>
        <v>25671.415864533941</v>
      </c>
      <c r="G29" s="5">
        <f t="shared" si="3"/>
        <v>51401.071508347515</v>
      </c>
      <c r="H29" s="22">
        <f t="shared" si="10"/>
        <v>36410.458428302329</v>
      </c>
      <c r="I29" s="5">
        <f t="shared" si="4"/>
        <v>85736.133806236612</v>
      </c>
      <c r="J29" s="26">
        <f t="shared" si="5"/>
        <v>0.22423620999009761</v>
      </c>
      <c r="L29" s="22">
        <f t="shared" si="11"/>
        <v>157652.49560867506</v>
      </c>
      <c r="M29" s="5">
        <f>scrimecost*Meta!O26</f>
        <v>1406.556</v>
      </c>
      <c r="N29" s="5">
        <f>L29-Grade9!L29</f>
        <v>5608.2706267510366</v>
      </c>
      <c r="O29" s="5">
        <f>Grade9!M29-M29</f>
        <v>28.973999999999933</v>
      </c>
      <c r="P29" s="22">
        <f t="shared" si="12"/>
        <v>377.1485829969285</v>
      </c>
      <c r="Q29" s="22"/>
      <c r="R29" s="22"/>
      <c r="S29" s="22">
        <f t="shared" si="6"/>
        <v>4492.5985159279217</v>
      </c>
      <c r="T29" s="22">
        <f t="shared" si="7"/>
        <v>1806.108522794266</v>
      </c>
    </row>
    <row r="30" spans="1:20" x14ac:dyDescent="0.2">
      <c r="A30" s="5">
        <v>39</v>
      </c>
      <c r="B30" s="1">
        <f t="shared" si="8"/>
        <v>1.7646106825195991</v>
      </c>
      <c r="C30" s="5">
        <f t="shared" si="9"/>
        <v>82807.921057479849</v>
      </c>
      <c r="D30" s="5">
        <f t="shared" si="0"/>
        <v>78977.069557203489</v>
      </c>
      <c r="E30" s="5">
        <f t="shared" si="1"/>
        <v>69477.069557203489</v>
      </c>
      <c r="F30" s="5">
        <f t="shared" si="2"/>
        <v>26483.72016614729</v>
      </c>
      <c r="G30" s="5">
        <f t="shared" si="3"/>
        <v>52493.349391056196</v>
      </c>
      <c r="H30" s="22">
        <f t="shared" si="10"/>
        <v>37320.719889009888</v>
      </c>
      <c r="I30" s="5">
        <f t="shared" si="4"/>
        <v>87686.78824639252</v>
      </c>
      <c r="J30" s="26">
        <f t="shared" si="5"/>
        <v>0.22593771668790219</v>
      </c>
      <c r="L30" s="22">
        <f t="shared" si="11"/>
        <v>161593.80799889195</v>
      </c>
      <c r="M30" s="5">
        <f>scrimecost*Meta!O27</f>
        <v>1406.556</v>
      </c>
      <c r="N30" s="5">
        <f>L30-Grade9!L30</f>
        <v>5748.4773924198234</v>
      </c>
      <c r="O30" s="5">
        <f>Grade9!M30-M30</f>
        <v>28.973999999999933</v>
      </c>
      <c r="P30" s="22">
        <f t="shared" si="12"/>
        <v>387.57722409155656</v>
      </c>
      <c r="Q30" s="22"/>
      <c r="R30" s="22"/>
      <c r="S30" s="22">
        <f t="shared" si="6"/>
        <v>4605.1835438154394</v>
      </c>
      <c r="T30" s="22">
        <f t="shared" si="7"/>
        <v>1779.4528754726982</v>
      </c>
    </row>
    <row r="31" spans="1:20" x14ac:dyDescent="0.2">
      <c r="A31" s="5">
        <v>40</v>
      </c>
      <c r="B31" s="1">
        <f t="shared" si="8"/>
        <v>1.8087259495825889</v>
      </c>
      <c r="C31" s="5">
        <f t="shared" si="9"/>
        <v>84878.119083916841</v>
      </c>
      <c r="D31" s="5">
        <f t="shared" si="0"/>
        <v>80929.266296133574</v>
      </c>
      <c r="E31" s="5">
        <f t="shared" si="1"/>
        <v>71429.266296133574</v>
      </c>
      <c r="F31" s="5">
        <f t="shared" si="2"/>
        <v>27316.332075300968</v>
      </c>
      <c r="G31" s="5">
        <f t="shared" si="3"/>
        <v>53612.934220832605</v>
      </c>
      <c r="H31" s="22">
        <f t="shared" si="10"/>
        <v>38253.737886235132</v>
      </c>
      <c r="I31" s="5">
        <f t="shared" si="4"/>
        <v>89686.209047552344</v>
      </c>
      <c r="J31" s="26">
        <f t="shared" si="5"/>
        <v>0.22759772322234562</v>
      </c>
      <c r="L31" s="22">
        <f t="shared" si="11"/>
        <v>165633.65319886422</v>
      </c>
      <c r="M31" s="5">
        <f>scrimecost*Meta!O28</f>
        <v>1230.336</v>
      </c>
      <c r="N31" s="5">
        <f>L31-Grade9!L31</f>
        <v>5892.1893272303569</v>
      </c>
      <c r="O31" s="5">
        <f>Grade9!M31-M31</f>
        <v>25.343999999999824</v>
      </c>
      <c r="P31" s="22">
        <f t="shared" si="12"/>
        <v>398.26658121355013</v>
      </c>
      <c r="Q31" s="22"/>
      <c r="R31" s="22"/>
      <c r="S31" s="22">
        <f t="shared" si="6"/>
        <v>4717.0257974001624</v>
      </c>
      <c r="T31" s="22">
        <f t="shared" si="7"/>
        <v>1751.866923999431</v>
      </c>
    </row>
    <row r="32" spans="1:20" x14ac:dyDescent="0.2">
      <c r="A32" s="5">
        <v>41</v>
      </c>
      <c r="B32" s="1">
        <f t="shared" si="8"/>
        <v>1.8539440983221533</v>
      </c>
      <c r="C32" s="5">
        <f t="shared" si="9"/>
        <v>87000.072061014755</v>
      </c>
      <c r="D32" s="5">
        <f t="shared" si="0"/>
        <v>82930.26795353691</v>
      </c>
      <c r="E32" s="5">
        <f t="shared" si="1"/>
        <v>73430.26795353691</v>
      </c>
      <c r="F32" s="5">
        <f t="shared" si="2"/>
        <v>28169.759282183491</v>
      </c>
      <c r="G32" s="5">
        <f t="shared" si="3"/>
        <v>54760.508671353418</v>
      </c>
      <c r="H32" s="22">
        <f t="shared" si="10"/>
        <v>39210.081333391005</v>
      </c>
      <c r="I32" s="5">
        <f t="shared" si="4"/>
        <v>91735.615368741128</v>
      </c>
      <c r="J32" s="26">
        <f t="shared" si="5"/>
        <v>0.22921724179253436</v>
      </c>
      <c r="L32" s="22">
        <f t="shared" si="11"/>
        <v>169774.49452883578</v>
      </c>
      <c r="M32" s="5">
        <f>scrimecost*Meta!O29</f>
        <v>1230.336</v>
      </c>
      <c r="N32" s="5">
        <f>L32-Grade9!L32</f>
        <v>6039.4940604110598</v>
      </c>
      <c r="O32" s="5">
        <f>Grade9!M32-M32</f>
        <v>25.343999999999824</v>
      </c>
      <c r="P32" s="22">
        <f t="shared" si="12"/>
        <v>409.22317226359348</v>
      </c>
      <c r="Q32" s="22"/>
      <c r="R32" s="22"/>
      <c r="S32" s="22">
        <f t="shared" si="6"/>
        <v>4835.3104423244367</v>
      </c>
      <c r="T32" s="22">
        <f t="shared" si="7"/>
        <v>1726.0387380373108</v>
      </c>
    </row>
    <row r="33" spans="1:20" x14ac:dyDescent="0.2">
      <c r="A33" s="5">
        <v>42</v>
      </c>
      <c r="B33" s="1">
        <f t="shared" si="8"/>
        <v>1.9002927007802071</v>
      </c>
      <c r="C33" s="5">
        <f t="shared" si="9"/>
        <v>89175.073862540114</v>
      </c>
      <c r="D33" s="5">
        <f t="shared" si="0"/>
        <v>84981.29465237532</v>
      </c>
      <c r="E33" s="5">
        <f t="shared" si="1"/>
        <v>75481.29465237532</v>
      </c>
      <c r="F33" s="5">
        <f t="shared" si="2"/>
        <v>29044.522169238073</v>
      </c>
      <c r="G33" s="5">
        <f t="shared" si="3"/>
        <v>55936.772483137247</v>
      </c>
      <c r="H33" s="22">
        <f t="shared" si="10"/>
        <v>40190.333366725776</v>
      </c>
      <c r="I33" s="5">
        <f t="shared" si="4"/>
        <v>93836.256847959652</v>
      </c>
      <c r="J33" s="26">
        <f t="shared" si="5"/>
        <v>0.23079725990979166</v>
      </c>
      <c r="L33" s="22">
        <f t="shared" si="11"/>
        <v>174018.85689205668</v>
      </c>
      <c r="M33" s="5">
        <f>scrimecost*Meta!O30</f>
        <v>1230.336</v>
      </c>
      <c r="N33" s="5">
        <f>L33-Grade9!L33</f>
        <v>6190.4814119213261</v>
      </c>
      <c r="O33" s="5">
        <f>Grade9!M33-M33</f>
        <v>25.343999999999824</v>
      </c>
      <c r="P33" s="22">
        <f t="shared" si="12"/>
        <v>420.453678089888</v>
      </c>
      <c r="Q33" s="22"/>
      <c r="R33" s="22"/>
      <c r="S33" s="22">
        <f t="shared" si="6"/>
        <v>4956.5522033718507</v>
      </c>
      <c r="T33" s="22">
        <f t="shared" si="7"/>
        <v>1700.5882544055717</v>
      </c>
    </row>
    <row r="34" spans="1:20" x14ac:dyDescent="0.2">
      <c r="A34" s="5">
        <v>43</v>
      </c>
      <c r="B34" s="1">
        <f t="shared" si="8"/>
        <v>1.9478000182997122</v>
      </c>
      <c r="C34" s="5">
        <f t="shared" si="9"/>
        <v>91404.450709103621</v>
      </c>
      <c r="D34" s="5">
        <f t="shared" si="0"/>
        <v>87083.597018684712</v>
      </c>
      <c r="E34" s="5">
        <f t="shared" si="1"/>
        <v>77583.597018684712</v>
      </c>
      <c r="F34" s="5">
        <f t="shared" si="2"/>
        <v>29941.154128469028</v>
      </c>
      <c r="G34" s="5">
        <f t="shared" si="3"/>
        <v>57142.44289021568</v>
      </c>
      <c r="H34" s="22">
        <f t="shared" si="10"/>
        <v>41195.091700893921</v>
      </c>
      <c r="I34" s="5">
        <f t="shared" si="4"/>
        <v>95989.414364158642</v>
      </c>
      <c r="J34" s="26">
        <f t="shared" si="5"/>
        <v>0.23233874099979884</v>
      </c>
      <c r="L34" s="22">
        <f t="shared" si="11"/>
        <v>178369.32831435808</v>
      </c>
      <c r="M34" s="5">
        <f>scrimecost*Meta!O31</f>
        <v>1230.336</v>
      </c>
      <c r="N34" s="5">
        <f>L34-Grade9!L34</f>
        <v>6345.2434472193709</v>
      </c>
      <c r="O34" s="5">
        <f>Grade9!M34-M34</f>
        <v>25.343999999999824</v>
      </c>
      <c r="P34" s="22">
        <f t="shared" si="12"/>
        <v>431.96494656183989</v>
      </c>
      <c r="Q34" s="22"/>
      <c r="R34" s="22"/>
      <c r="S34" s="22">
        <f t="shared" si="6"/>
        <v>5080.8250084454648</v>
      </c>
      <c r="T34" s="22">
        <f t="shared" si="7"/>
        <v>1675.5100702940113</v>
      </c>
    </row>
    <row r="35" spans="1:20" x14ac:dyDescent="0.2">
      <c r="A35" s="5">
        <v>44</v>
      </c>
      <c r="B35" s="1">
        <f t="shared" si="8"/>
        <v>1.9964950187572048</v>
      </c>
      <c r="C35" s="5">
        <f t="shared" si="9"/>
        <v>93689.561976831203</v>
      </c>
      <c r="D35" s="5">
        <f t="shared" si="0"/>
        <v>89238.456944151811</v>
      </c>
      <c r="E35" s="5">
        <f t="shared" si="1"/>
        <v>79738.456944151811</v>
      </c>
      <c r="F35" s="5">
        <f t="shared" si="2"/>
        <v>30860.201886680748</v>
      </c>
      <c r="G35" s="5">
        <f t="shared" si="3"/>
        <v>58378.255057471062</v>
      </c>
      <c r="H35" s="22">
        <f t="shared" si="10"/>
        <v>42224.96899341626</v>
      </c>
      <c r="I35" s="5">
        <f t="shared" si="4"/>
        <v>98196.400818262598</v>
      </c>
      <c r="J35" s="26">
        <f t="shared" si="5"/>
        <v>0.23384262499004968</v>
      </c>
      <c r="L35" s="22">
        <f t="shared" si="11"/>
        <v>182828.56152221703</v>
      </c>
      <c r="M35" s="5">
        <f>scrimecost*Meta!O32</f>
        <v>1230.336</v>
      </c>
      <c r="N35" s="5">
        <f>L35-Grade9!L35</f>
        <v>6503.8745333998231</v>
      </c>
      <c r="O35" s="5">
        <f>Grade9!M35-M35</f>
        <v>25.343999999999824</v>
      </c>
      <c r="P35" s="22">
        <f t="shared" si="12"/>
        <v>443.76399674559059</v>
      </c>
      <c r="Q35" s="22"/>
      <c r="R35" s="22"/>
      <c r="S35" s="22">
        <f t="shared" si="6"/>
        <v>5208.2046336458889</v>
      </c>
      <c r="T35" s="22">
        <f t="shared" si="7"/>
        <v>1650.798855430905</v>
      </c>
    </row>
    <row r="36" spans="1:20" x14ac:dyDescent="0.2">
      <c r="A36" s="5">
        <v>45</v>
      </c>
      <c r="B36" s="1">
        <f t="shared" si="8"/>
        <v>2.0464073942261352</v>
      </c>
      <c r="C36" s="5">
        <f t="shared" si="9"/>
        <v>96031.801026251997</v>
      </c>
      <c r="D36" s="5">
        <f t="shared" si="0"/>
        <v>91447.188367755618</v>
      </c>
      <c r="E36" s="5">
        <f t="shared" si="1"/>
        <v>81947.188367755618</v>
      </c>
      <c r="F36" s="5">
        <f t="shared" si="2"/>
        <v>31802.225838847771</v>
      </c>
      <c r="G36" s="5">
        <f t="shared" si="3"/>
        <v>59644.962528907847</v>
      </c>
      <c r="H36" s="22">
        <f t="shared" si="10"/>
        <v>43280.593218251677</v>
      </c>
      <c r="I36" s="5">
        <f t="shared" si="4"/>
        <v>100458.56193371917</v>
      </c>
      <c r="J36" s="26">
        <f t="shared" si="5"/>
        <v>0.23530982888297738</v>
      </c>
      <c r="L36" s="22">
        <f t="shared" si="11"/>
        <v>187399.27556027251</v>
      </c>
      <c r="M36" s="5">
        <f>scrimecost*Meta!O33</f>
        <v>994.30800000000011</v>
      </c>
      <c r="N36" s="5">
        <f>L36-Grade9!L36</f>
        <v>6666.471396734938</v>
      </c>
      <c r="O36" s="5">
        <f>Grade9!M36-M36</f>
        <v>20.481999999999971</v>
      </c>
      <c r="P36" s="22">
        <f t="shared" si="12"/>
        <v>455.85802318393525</v>
      </c>
      <c r="Q36" s="22"/>
      <c r="R36" s="22"/>
      <c r="S36" s="22">
        <f t="shared" si="6"/>
        <v>5334.0039894764341</v>
      </c>
      <c r="T36" s="22">
        <f t="shared" si="7"/>
        <v>1624.9977730102862</v>
      </c>
    </row>
    <row r="37" spans="1:20" x14ac:dyDescent="0.2">
      <c r="A37" s="5">
        <v>46</v>
      </c>
      <c r="B37" s="1">
        <f t="shared" ref="B37:B56" si="13">(1+experiencepremium)^(A37-startage)</f>
        <v>2.097567579081788</v>
      </c>
      <c r="C37" s="5">
        <f t="shared" ref="C37:C56" si="14">pretaxincome*B37/expnorm</f>
        <v>98432.596051908273</v>
      </c>
      <c r="D37" s="5">
        <f t="shared" ref="D37:D56" si="15">IF(A37&lt;startage,1,0)*(C37*(1-initialunempprob))+IF(A37=startage,1,0)*(C37*(1-unempprob))+IF(A37&gt;startage,1,0)*(C37*(1-unempprob)+unempprob*300*52)</f>
        <v>93711.138076949486</v>
      </c>
      <c r="E37" s="5">
        <f t="shared" si="1"/>
        <v>84211.138076949486</v>
      </c>
      <c r="F37" s="5">
        <f t="shared" si="2"/>
        <v>32786.134532127442</v>
      </c>
      <c r="G37" s="5">
        <f t="shared" si="3"/>
        <v>60925.003544822044</v>
      </c>
      <c r="H37" s="22">
        <f t="shared" ref="H37:H56" si="16">benefits*B37/expnorm</f>
        <v>44362.60804870796</v>
      </c>
      <c r="I37" s="5">
        <f t="shared" ref="I37:I56" si="17">G37+IF(A37&lt;startage,1,0)*(H37*(1-initialunempprob))+IF(A37&gt;=startage,1,0)*(H37*(1-unempprob))</f>
        <v>102758.94293475365</v>
      </c>
      <c r="J37" s="26">
        <f t="shared" si="5"/>
        <v>0.23687740284468875</v>
      </c>
      <c r="L37" s="22">
        <f t="shared" ref="L37:L56" si="18">(sincome+sbenefits)*(1-sunemp)*B37/expnorm</f>
        <v>192084.25744927925</v>
      </c>
      <c r="M37" s="5">
        <f>scrimecost*Meta!O34</f>
        <v>994.30800000000011</v>
      </c>
      <c r="N37" s="5">
        <f>L37-Grade9!L37</f>
        <v>6833.1331816531892</v>
      </c>
      <c r="O37" s="5">
        <f>Grade9!M37-M37</f>
        <v>20.481999999999971</v>
      </c>
      <c r="P37" s="22">
        <f t="shared" si="12"/>
        <v>468.48978028742289</v>
      </c>
      <c r="Q37" s="22"/>
      <c r="R37" s="22"/>
      <c r="S37" s="22">
        <f t="shared" si="6"/>
        <v>5468.062880606667</v>
      </c>
      <c r="T37" s="22">
        <f t="shared" si="7"/>
        <v>1601.1287232476416</v>
      </c>
    </row>
    <row r="38" spans="1:20" x14ac:dyDescent="0.2">
      <c r="A38" s="5">
        <v>47</v>
      </c>
      <c r="B38" s="1">
        <f t="shared" si="13"/>
        <v>2.1500067685588333</v>
      </c>
      <c r="C38" s="5">
        <f t="shared" si="14"/>
        <v>100893.410953206</v>
      </c>
      <c r="D38" s="5">
        <f t="shared" si="15"/>
        <v>96031.686528873252</v>
      </c>
      <c r="E38" s="5">
        <f t="shared" si="1"/>
        <v>86531.686528873252</v>
      </c>
      <c r="F38" s="5">
        <f t="shared" si="2"/>
        <v>33845.464900430641</v>
      </c>
      <c r="G38" s="5">
        <f t="shared" si="3"/>
        <v>62186.22162844261</v>
      </c>
      <c r="H38" s="22">
        <f t="shared" si="16"/>
        <v>45471.673249925669</v>
      </c>
      <c r="I38" s="5">
        <f t="shared" si="17"/>
        <v>105066.00950312251</v>
      </c>
      <c r="J38" s="26">
        <f t="shared" ref="J38:J56" si="19">(F38-(IF(A38&gt;startage,1,0)*(unempprob*300*52)))/(IF(A38&lt;startage,1,0)*((C38+H38)*(1-initialunempprob))+IF(A38&gt;=startage,1,0)*((C38+H38)*(1-unempprob)))</f>
        <v>0.23877497340807649</v>
      </c>
      <c r="L38" s="22">
        <f t="shared" si="18"/>
        <v>196886.36388551127</v>
      </c>
      <c r="M38" s="5">
        <f>scrimecost*Meta!O35</f>
        <v>994.30800000000011</v>
      </c>
      <c r="N38" s="5">
        <f>L38-Grade9!L38</f>
        <v>7003.9615111945895</v>
      </c>
      <c r="O38" s="5">
        <f>Grade9!M38-M38</f>
        <v>20.481999999999971</v>
      </c>
      <c r="P38" s="22">
        <f t="shared" si="12"/>
        <v>482.08982671058283</v>
      </c>
      <c r="Q38" s="22"/>
      <c r="R38" s="22"/>
      <c r="S38" s="22">
        <f t="shared" ref="S38:S69" si="20">IF(A38&lt;startage,1,0)*(N38-Q38-R38)+IF(A38&gt;=startage,1,0)*completionprob*(N38*spart+O38+P38)</f>
        <v>5606.1126894995414</v>
      </c>
      <c r="T38" s="22">
        <f t="shared" ref="T38:T69" si="21">S38/sreturn^(A38-startage+1)</f>
        <v>1577.7852300583299</v>
      </c>
    </row>
    <row r="39" spans="1:20" x14ac:dyDescent="0.2">
      <c r="A39" s="5">
        <v>48</v>
      </c>
      <c r="B39" s="1">
        <f t="shared" si="13"/>
        <v>2.2037569377728037</v>
      </c>
      <c r="C39" s="5">
        <f t="shared" si="14"/>
        <v>103415.74622703613</v>
      </c>
      <c r="D39" s="5">
        <f t="shared" si="15"/>
        <v>98410.248692095061</v>
      </c>
      <c r="E39" s="5">
        <f t="shared" si="1"/>
        <v>88910.248692095061</v>
      </c>
      <c r="F39" s="5">
        <f t="shared" si="2"/>
        <v>34931.278527941395</v>
      </c>
      <c r="G39" s="5">
        <f t="shared" si="3"/>
        <v>63478.970164153667</v>
      </c>
      <c r="H39" s="22">
        <f t="shared" si="16"/>
        <v>46608.465081173803</v>
      </c>
      <c r="I39" s="5">
        <f t="shared" si="17"/>
        <v>107430.75273570056</v>
      </c>
      <c r="J39" s="26">
        <f t="shared" si="19"/>
        <v>0.24062626176260107</v>
      </c>
      <c r="L39" s="22">
        <f t="shared" si="18"/>
        <v>201808.52298264901</v>
      </c>
      <c r="M39" s="5">
        <f>scrimecost*Meta!O36</f>
        <v>994.30800000000011</v>
      </c>
      <c r="N39" s="5">
        <f>L39-Grade9!L39</f>
        <v>7179.0605489744048</v>
      </c>
      <c r="O39" s="5">
        <f>Grade9!M39-M39</f>
        <v>20.481999999999971</v>
      </c>
      <c r="P39" s="22">
        <f t="shared" ref="P39:P56" si="22">(spart-initialspart)*(L39*J39+nptrans)</f>
        <v>496.02987429432159</v>
      </c>
      <c r="Q39" s="22"/>
      <c r="R39" s="22"/>
      <c r="S39" s="22">
        <f t="shared" si="20"/>
        <v>5747.6137436146473</v>
      </c>
      <c r="T39" s="22">
        <f t="shared" si="21"/>
        <v>1554.7728633204188</v>
      </c>
    </row>
    <row r="40" spans="1:20" x14ac:dyDescent="0.2">
      <c r="A40" s="5">
        <v>49</v>
      </c>
      <c r="B40" s="1">
        <f t="shared" si="13"/>
        <v>2.2588508612171236</v>
      </c>
      <c r="C40" s="5">
        <f t="shared" si="14"/>
        <v>106001.13988271203</v>
      </c>
      <c r="D40" s="5">
        <f t="shared" si="15"/>
        <v>100848.27490939744</v>
      </c>
      <c r="E40" s="5">
        <f t="shared" si="1"/>
        <v>91348.274909397442</v>
      </c>
      <c r="F40" s="5">
        <f t="shared" si="2"/>
        <v>36044.237496139933</v>
      </c>
      <c r="G40" s="5">
        <f t="shared" si="3"/>
        <v>64804.037413257509</v>
      </c>
      <c r="H40" s="22">
        <f t="shared" si="16"/>
        <v>47773.676708203144</v>
      </c>
      <c r="I40" s="5">
        <f t="shared" si="17"/>
        <v>109854.61454909306</v>
      </c>
      <c r="J40" s="26">
        <f t="shared" si="19"/>
        <v>0.24243239674262504</v>
      </c>
      <c r="L40" s="22">
        <f t="shared" si="18"/>
        <v>206853.73605721525</v>
      </c>
      <c r="M40" s="5">
        <f>scrimecost*Meta!O37</f>
        <v>994.30800000000011</v>
      </c>
      <c r="N40" s="5">
        <f>L40-Grade9!L40</f>
        <v>7358.5370626988006</v>
      </c>
      <c r="O40" s="5">
        <f>Grade9!M40-M40</f>
        <v>20.481999999999971</v>
      </c>
      <c r="P40" s="22">
        <f t="shared" si="22"/>
        <v>510.31842306765395</v>
      </c>
      <c r="Q40" s="22"/>
      <c r="R40" s="22"/>
      <c r="S40" s="22">
        <f t="shared" si="20"/>
        <v>5892.6523240826955</v>
      </c>
      <c r="T40" s="22">
        <f t="shared" si="21"/>
        <v>1532.0872895061348</v>
      </c>
    </row>
    <row r="41" spans="1:20" x14ac:dyDescent="0.2">
      <c r="A41" s="5">
        <v>50</v>
      </c>
      <c r="B41" s="1">
        <f t="shared" si="13"/>
        <v>2.3153221327475517</v>
      </c>
      <c r="C41" s="5">
        <f t="shared" si="14"/>
        <v>108651.16837977982</v>
      </c>
      <c r="D41" s="5">
        <f t="shared" si="15"/>
        <v>103347.25178213236</v>
      </c>
      <c r="E41" s="5">
        <f t="shared" si="1"/>
        <v>93847.251782132356</v>
      </c>
      <c r="F41" s="5">
        <f t="shared" si="2"/>
        <v>37185.020438543419</v>
      </c>
      <c r="G41" s="5">
        <f t="shared" si="3"/>
        <v>66162.231343588937</v>
      </c>
      <c r="H41" s="22">
        <f t="shared" si="16"/>
        <v>48968.018625908218</v>
      </c>
      <c r="I41" s="5">
        <f t="shared" si="17"/>
        <v>112339.07290782039</v>
      </c>
      <c r="J41" s="26">
        <f t="shared" si="19"/>
        <v>0.24419447964996546</v>
      </c>
      <c r="L41" s="22">
        <f t="shared" si="18"/>
        <v>212025.0794586456</v>
      </c>
      <c r="M41" s="5">
        <f>scrimecost*Meta!O38</f>
        <v>664.29600000000005</v>
      </c>
      <c r="N41" s="5">
        <f>L41-Grade9!L41</f>
        <v>7542.5004892662691</v>
      </c>
      <c r="O41" s="5">
        <f>Grade9!M41-M41</f>
        <v>13.683999999999969</v>
      </c>
      <c r="P41" s="22">
        <f t="shared" si="22"/>
        <v>524.96418556031938</v>
      </c>
      <c r="Q41" s="22"/>
      <c r="R41" s="22"/>
      <c r="S41" s="22">
        <f t="shared" si="20"/>
        <v>6034.6548290624169</v>
      </c>
      <c r="T41" s="22">
        <f t="shared" si="21"/>
        <v>1508.059374215012</v>
      </c>
    </row>
    <row r="42" spans="1:20" x14ac:dyDescent="0.2">
      <c r="A42" s="5">
        <v>51</v>
      </c>
      <c r="B42" s="1">
        <f t="shared" si="13"/>
        <v>2.3732051860662402</v>
      </c>
      <c r="C42" s="5">
        <f t="shared" si="14"/>
        <v>111367.44758927431</v>
      </c>
      <c r="D42" s="5">
        <f t="shared" si="15"/>
        <v>105908.70307668566</v>
      </c>
      <c r="E42" s="5">
        <f t="shared" si="1"/>
        <v>96408.703076685662</v>
      </c>
      <c r="F42" s="5">
        <f t="shared" si="2"/>
        <v>38354.322954507006</v>
      </c>
      <c r="G42" s="5">
        <f t="shared" si="3"/>
        <v>67554.380122178656</v>
      </c>
      <c r="H42" s="22">
        <f t="shared" si="16"/>
        <v>50192.219091555919</v>
      </c>
      <c r="I42" s="5">
        <f t="shared" si="17"/>
        <v>114885.64272551588</v>
      </c>
      <c r="J42" s="26">
        <f t="shared" si="19"/>
        <v>0.24591358492541954</v>
      </c>
      <c r="L42" s="22">
        <f t="shared" si="18"/>
        <v>217325.70644511175</v>
      </c>
      <c r="M42" s="5">
        <f>scrimecost*Meta!O39</f>
        <v>664.29600000000005</v>
      </c>
      <c r="N42" s="5">
        <f>L42-Grade9!L42</f>
        <v>7731.0630014979106</v>
      </c>
      <c r="O42" s="5">
        <f>Grade9!M42-M42</f>
        <v>13.683999999999969</v>
      </c>
      <c r="P42" s="22">
        <f t="shared" si="22"/>
        <v>539.97609211530153</v>
      </c>
      <c r="Q42" s="22"/>
      <c r="R42" s="22"/>
      <c r="S42" s="22">
        <f t="shared" si="20"/>
        <v>6187.0359876666198</v>
      </c>
      <c r="T42" s="22">
        <f t="shared" si="21"/>
        <v>1486.079225013104</v>
      </c>
    </row>
    <row r="43" spans="1:20" x14ac:dyDescent="0.2">
      <c r="A43" s="5">
        <v>52</v>
      </c>
      <c r="B43" s="1">
        <f t="shared" si="13"/>
        <v>2.4325353157178964</v>
      </c>
      <c r="C43" s="5">
        <f t="shared" si="14"/>
        <v>114151.63377900617</v>
      </c>
      <c r="D43" s="5">
        <f t="shared" si="15"/>
        <v>108534.19065360281</v>
      </c>
      <c r="E43" s="5">
        <f t="shared" si="1"/>
        <v>99034.190653602811</v>
      </c>
      <c r="F43" s="5">
        <f t="shared" si="2"/>
        <v>39445.338212846305</v>
      </c>
      <c r="G43" s="5">
        <f t="shared" si="3"/>
        <v>69088.852440756513</v>
      </c>
      <c r="H43" s="22">
        <f t="shared" si="16"/>
        <v>51447.024568844819</v>
      </c>
      <c r="I43" s="5">
        <f t="shared" si="17"/>
        <v>117603.39660917717</v>
      </c>
      <c r="J43" s="26">
        <f t="shared" si="19"/>
        <v>0.24690223531204233</v>
      </c>
      <c r="L43" s="22">
        <f t="shared" si="18"/>
        <v>222758.84910623953</v>
      </c>
      <c r="M43" s="5">
        <f>scrimecost*Meta!O40</f>
        <v>664.29600000000005</v>
      </c>
      <c r="N43" s="5">
        <f>L43-Grade9!L43</f>
        <v>7924.3395765353634</v>
      </c>
      <c r="O43" s="5">
        <f>Grade9!M43-M43</f>
        <v>13.683999999999969</v>
      </c>
      <c r="P43" s="22">
        <f t="shared" si="22"/>
        <v>553.9829200188168</v>
      </c>
      <c r="Q43" s="22"/>
      <c r="R43" s="22"/>
      <c r="S43" s="22">
        <f t="shared" si="20"/>
        <v>6341.8739064469091</v>
      </c>
      <c r="T43" s="22">
        <f t="shared" si="21"/>
        <v>1464.0983056670646</v>
      </c>
    </row>
    <row r="44" spans="1:20" x14ac:dyDescent="0.2">
      <c r="A44" s="5">
        <v>53</v>
      </c>
      <c r="B44" s="1">
        <f t="shared" si="13"/>
        <v>2.4933486986108435</v>
      </c>
      <c r="C44" s="5">
        <f t="shared" si="14"/>
        <v>117005.42462348132</v>
      </c>
      <c r="D44" s="5">
        <f t="shared" si="15"/>
        <v>111225.31541994287</v>
      </c>
      <c r="E44" s="5">
        <f t="shared" si="1"/>
        <v>101725.31541994287</v>
      </c>
      <c r="F44" s="5">
        <f t="shared" si="2"/>
        <v>40506.986933167464</v>
      </c>
      <c r="G44" s="5">
        <f t="shared" si="3"/>
        <v>70718.328486775397</v>
      </c>
      <c r="H44" s="22">
        <f t="shared" si="16"/>
        <v>52733.200183065936</v>
      </c>
      <c r="I44" s="5">
        <f t="shared" si="17"/>
        <v>120445.73625940658</v>
      </c>
      <c r="J44" s="26">
        <f t="shared" si="19"/>
        <v>0.24751290077191984</v>
      </c>
      <c r="L44" s="22">
        <f t="shared" si="18"/>
        <v>228327.82033389548</v>
      </c>
      <c r="M44" s="5">
        <f>scrimecost*Meta!O41</f>
        <v>664.29600000000005</v>
      </c>
      <c r="N44" s="5">
        <f>L44-Grade9!L44</f>
        <v>8122.448065948789</v>
      </c>
      <c r="O44" s="5">
        <f>Grade9!M44-M44</f>
        <v>13.683999999999969</v>
      </c>
      <c r="P44" s="22">
        <f t="shared" si="22"/>
        <v>567.61273023995045</v>
      </c>
      <c r="Q44" s="22"/>
      <c r="R44" s="22"/>
      <c r="S44" s="22">
        <f t="shared" si="20"/>
        <v>6499.8701285843626</v>
      </c>
      <c r="T44" s="22">
        <f t="shared" si="21"/>
        <v>1442.2834794302023</v>
      </c>
    </row>
    <row r="45" spans="1:20" x14ac:dyDescent="0.2">
      <c r="A45" s="5">
        <v>54</v>
      </c>
      <c r="B45" s="1">
        <f t="shared" si="13"/>
        <v>2.555682416076114</v>
      </c>
      <c r="C45" s="5">
        <f t="shared" si="14"/>
        <v>119930.56023906831</v>
      </c>
      <c r="D45" s="5">
        <f t="shared" si="15"/>
        <v>113983.71830544141</v>
      </c>
      <c r="E45" s="5">
        <f t="shared" si="1"/>
        <v>104483.71830544141</v>
      </c>
      <c r="F45" s="5">
        <f t="shared" si="2"/>
        <v>41595.176871496631</v>
      </c>
      <c r="G45" s="5">
        <f t="shared" si="3"/>
        <v>72388.541433944774</v>
      </c>
      <c r="H45" s="22">
        <f t="shared" si="16"/>
        <v>54051.530187642573</v>
      </c>
      <c r="I45" s="5">
        <f t="shared" si="17"/>
        <v>123359.13440089172</v>
      </c>
      <c r="J45" s="26">
        <f t="shared" si="19"/>
        <v>0.24810867195228803</v>
      </c>
      <c r="L45" s="22">
        <f t="shared" si="18"/>
        <v>234036.01584224284</v>
      </c>
      <c r="M45" s="5">
        <f>scrimecost*Meta!O42</f>
        <v>664.29600000000005</v>
      </c>
      <c r="N45" s="5">
        <f>L45-Grade9!L45</f>
        <v>8325.5092675974593</v>
      </c>
      <c r="O45" s="5">
        <f>Grade9!M45-M45</f>
        <v>13.683999999999969</v>
      </c>
      <c r="P45" s="22">
        <f t="shared" si="22"/>
        <v>581.58328571661207</v>
      </c>
      <c r="Q45" s="22"/>
      <c r="R45" s="22"/>
      <c r="S45" s="22">
        <f t="shared" si="20"/>
        <v>6661.8162562751859</v>
      </c>
      <c r="T45" s="22">
        <f t="shared" si="21"/>
        <v>1420.7966162160997</v>
      </c>
    </row>
    <row r="46" spans="1:20" x14ac:dyDescent="0.2">
      <c r="A46" s="5">
        <v>55</v>
      </c>
      <c r="B46" s="1">
        <f t="shared" si="13"/>
        <v>2.6195744764780171</v>
      </c>
      <c r="C46" s="5">
        <f t="shared" si="14"/>
        <v>122928.82424504503</v>
      </c>
      <c r="D46" s="5">
        <f t="shared" si="15"/>
        <v>116811.08126307746</v>
      </c>
      <c r="E46" s="5">
        <f t="shared" si="1"/>
        <v>107311.08126307746</v>
      </c>
      <c r="F46" s="5">
        <f t="shared" si="2"/>
        <v>42710.571558284057</v>
      </c>
      <c r="G46" s="5">
        <f t="shared" si="3"/>
        <v>74100.509704793396</v>
      </c>
      <c r="H46" s="22">
        <f t="shared" si="16"/>
        <v>55402.818442333642</v>
      </c>
      <c r="I46" s="5">
        <f t="shared" si="17"/>
        <v>126345.36749591402</v>
      </c>
      <c r="J46" s="26">
        <f t="shared" si="19"/>
        <v>0.24868991212825708</v>
      </c>
      <c r="L46" s="22">
        <f t="shared" si="18"/>
        <v>239886.91623829893</v>
      </c>
      <c r="M46" s="5">
        <f>scrimecost*Meta!O43</f>
        <v>368.46</v>
      </c>
      <c r="N46" s="5">
        <f>L46-Grade9!L46</f>
        <v>8533.646999287419</v>
      </c>
      <c r="O46" s="5">
        <f>Grade9!M46-M46</f>
        <v>7.589999999999975</v>
      </c>
      <c r="P46" s="22">
        <f t="shared" si="22"/>
        <v>595.9031050801907</v>
      </c>
      <c r="Q46" s="22"/>
      <c r="R46" s="22"/>
      <c r="S46" s="22">
        <f t="shared" si="20"/>
        <v>6821.8389171583322</v>
      </c>
      <c r="T46" s="22">
        <f t="shared" si="21"/>
        <v>1398.408447827313</v>
      </c>
    </row>
    <row r="47" spans="1:20" x14ac:dyDescent="0.2">
      <c r="A47" s="5">
        <v>56</v>
      </c>
      <c r="B47" s="1">
        <f t="shared" si="13"/>
        <v>2.6850638383899672</v>
      </c>
      <c r="C47" s="5">
        <f t="shared" si="14"/>
        <v>126002.04485117114</v>
      </c>
      <c r="D47" s="5">
        <f t="shared" si="15"/>
        <v>119709.12829465438</v>
      </c>
      <c r="E47" s="5">
        <f t="shared" si="1"/>
        <v>110209.12829465438</v>
      </c>
      <c r="F47" s="5">
        <f t="shared" si="2"/>
        <v>43853.851112241151</v>
      </c>
      <c r="G47" s="5">
        <f t="shared" si="3"/>
        <v>75855.277182413236</v>
      </c>
      <c r="H47" s="22">
        <f t="shared" si="16"/>
        <v>56787.888903391977</v>
      </c>
      <c r="I47" s="5">
        <f t="shared" si="17"/>
        <v>129406.25641831187</v>
      </c>
      <c r="J47" s="26">
        <f t="shared" si="19"/>
        <v>0.24925697571456829</v>
      </c>
      <c r="L47" s="22">
        <f t="shared" si="18"/>
        <v>245884.08914425637</v>
      </c>
      <c r="M47" s="5">
        <f>scrimecost*Meta!O44</f>
        <v>368.46</v>
      </c>
      <c r="N47" s="5">
        <f>L47-Grade9!L47</f>
        <v>8746.988174269587</v>
      </c>
      <c r="O47" s="5">
        <f>Grade9!M47-M47</f>
        <v>7.589999999999975</v>
      </c>
      <c r="P47" s="22">
        <f t="shared" si="22"/>
        <v>610.58091992785842</v>
      </c>
      <c r="Q47" s="22"/>
      <c r="R47" s="22"/>
      <c r="S47" s="22">
        <f t="shared" si="20"/>
        <v>6991.9835675635268</v>
      </c>
      <c r="T47" s="22">
        <f t="shared" si="21"/>
        <v>1377.6100170899001</v>
      </c>
    </row>
    <row r="48" spans="1:20" x14ac:dyDescent="0.2">
      <c r="A48" s="5">
        <v>57</v>
      </c>
      <c r="B48" s="1">
        <f t="shared" si="13"/>
        <v>2.7521904343497163</v>
      </c>
      <c r="C48" s="5">
        <f t="shared" si="14"/>
        <v>129152.09597245042</v>
      </c>
      <c r="D48" s="5">
        <f t="shared" si="15"/>
        <v>122679.62650202074</v>
      </c>
      <c r="E48" s="5">
        <f t="shared" si="1"/>
        <v>113179.62650202074</v>
      </c>
      <c r="F48" s="5">
        <f t="shared" si="2"/>
        <v>45025.71265504718</v>
      </c>
      <c r="G48" s="5">
        <f t="shared" si="3"/>
        <v>77653.913846973563</v>
      </c>
      <c r="H48" s="22">
        <f t="shared" si="16"/>
        <v>58207.586125976777</v>
      </c>
      <c r="I48" s="5">
        <f t="shared" si="17"/>
        <v>132543.66756376968</v>
      </c>
      <c r="J48" s="26">
        <f t="shared" si="19"/>
        <v>0.24981020848170124</v>
      </c>
      <c r="L48" s="22">
        <f t="shared" si="18"/>
        <v>252031.19137286276</v>
      </c>
      <c r="M48" s="5">
        <f>scrimecost*Meta!O45</f>
        <v>368.46</v>
      </c>
      <c r="N48" s="5">
        <f>L48-Grade9!L48</f>
        <v>8965.6628786263173</v>
      </c>
      <c r="O48" s="5">
        <f>Grade9!M48-M48</f>
        <v>7.589999999999975</v>
      </c>
      <c r="P48" s="22">
        <f t="shared" si="22"/>
        <v>625.62568014671797</v>
      </c>
      <c r="Q48" s="22"/>
      <c r="R48" s="22"/>
      <c r="S48" s="22">
        <f t="shared" si="20"/>
        <v>7166.3818342288578</v>
      </c>
      <c r="T48" s="22">
        <f t="shared" si="21"/>
        <v>1357.1228154789858</v>
      </c>
    </row>
    <row r="49" spans="1:20" x14ac:dyDescent="0.2">
      <c r="A49" s="5">
        <v>58</v>
      </c>
      <c r="B49" s="1">
        <f t="shared" si="13"/>
        <v>2.8209951952084591</v>
      </c>
      <c r="C49" s="5">
        <f t="shared" si="14"/>
        <v>132380.89837176166</v>
      </c>
      <c r="D49" s="5">
        <f t="shared" si="15"/>
        <v>125724.38716457124</v>
      </c>
      <c r="E49" s="5">
        <f t="shared" si="1"/>
        <v>116224.38716457124</v>
      </c>
      <c r="F49" s="5">
        <f t="shared" si="2"/>
        <v>46226.870736423349</v>
      </c>
      <c r="G49" s="5">
        <f t="shared" si="3"/>
        <v>79497.516428147879</v>
      </c>
      <c r="H49" s="22">
        <f t="shared" si="16"/>
        <v>59662.77577912619</v>
      </c>
      <c r="I49" s="5">
        <f t="shared" si="17"/>
        <v>135759.51398786387</v>
      </c>
      <c r="J49" s="26">
        <f t="shared" si="19"/>
        <v>0.25034994776670899</v>
      </c>
      <c r="L49" s="22">
        <f t="shared" si="18"/>
        <v>258331.97115718431</v>
      </c>
      <c r="M49" s="5">
        <f>scrimecost*Meta!O46</f>
        <v>368.46</v>
      </c>
      <c r="N49" s="5">
        <f>L49-Grade9!L49</f>
        <v>9189.8044505919388</v>
      </c>
      <c r="O49" s="5">
        <f>Grade9!M49-M49</f>
        <v>7.589999999999975</v>
      </c>
      <c r="P49" s="22">
        <f t="shared" si="22"/>
        <v>641.04655937104917</v>
      </c>
      <c r="Q49" s="22"/>
      <c r="R49" s="22"/>
      <c r="S49" s="22">
        <f t="shared" si="20"/>
        <v>7345.1400575608031</v>
      </c>
      <c r="T49" s="22">
        <f t="shared" si="21"/>
        <v>1336.9421123886045</v>
      </c>
    </row>
    <row r="50" spans="1:20" x14ac:dyDescent="0.2">
      <c r="A50" s="5">
        <v>59</v>
      </c>
      <c r="B50" s="1">
        <f t="shared" si="13"/>
        <v>2.8915200750886707</v>
      </c>
      <c r="C50" s="5">
        <f t="shared" si="14"/>
        <v>135690.42083105573</v>
      </c>
      <c r="D50" s="5">
        <f t="shared" si="15"/>
        <v>128845.26684368555</v>
      </c>
      <c r="E50" s="5">
        <f t="shared" si="1"/>
        <v>119345.26684368555</v>
      </c>
      <c r="F50" s="5">
        <f t="shared" si="2"/>
        <v>47458.05776983394</v>
      </c>
      <c r="G50" s="5">
        <f t="shared" si="3"/>
        <v>81387.209073851613</v>
      </c>
      <c r="H50" s="22">
        <f t="shared" si="16"/>
        <v>61154.34517360435</v>
      </c>
      <c r="I50" s="5">
        <f t="shared" si="17"/>
        <v>139055.75657256052</v>
      </c>
      <c r="J50" s="26">
        <f t="shared" si="19"/>
        <v>0.25087652267891158</v>
      </c>
      <c r="L50" s="22">
        <f t="shared" si="18"/>
        <v>264790.27043611393</v>
      </c>
      <c r="M50" s="5">
        <f>scrimecost*Meta!O47</f>
        <v>368.46</v>
      </c>
      <c r="N50" s="5">
        <f>L50-Grade9!L50</f>
        <v>9419.5495618568093</v>
      </c>
      <c r="O50" s="5">
        <f>Grade9!M50-M50</f>
        <v>7.589999999999975</v>
      </c>
      <c r="P50" s="22">
        <f t="shared" si="22"/>
        <v>656.8529605759885</v>
      </c>
      <c r="Q50" s="22"/>
      <c r="R50" s="22"/>
      <c r="S50" s="22">
        <f t="shared" si="20"/>
        <v>7528.367236476126</v>
      </c>
      <c r="T50" s="22">
        <f t="shared" si="21"/>
        <v>1317.0632519381224</v>
      </c>
    </row>
    <row r="51" spans="1:20" x14ac:dyDescent="0.2">
      <c r="A51" s="5">
        <v>60</v>
      </c>
      <c r="B51" s="1">
        <f t="shared" si="13"/>
        <v>2.9638080769658868</v>
      </c>
      <c r="C51" s="5">
        <f t="shared" si="14"/>
        <v>139082.68135183209</v>
      </c>
      <c r="D51" s="5">
        <f t="shared" si="15"/>
        <v>132044.16851477767</v>
      </c>
      <c r="E51" s="5">
        <f t="shared" si="1"/>
        <v>122544.16851477767</v>
      </c>
      <c r="F51" s="5">
        <f t="shared" si="2"/>
        <v>48720.024479079795</v>
      </c>
      <c r="G51" s="5">
        <f t="shared" si="3"/>
        <v>83324.144035697886</v>
      </c>
      <c r="H51" s="22">
        <f t="shared" si="16"/>
        <v>62683.203802944437</v>
      </c>
      <c r="I51" s="5">
        <f t="shared" si="17"/>
        <v>142434.40522187448</v>
      </c>
      <c r="J51" s="26">
        <f t="shared" si="19"/>
        <v>0.25139025430057288</v>
      </c>
      <c r="L51" s="22">
        <f t="shared" si="18"/>
        <v>271410.02719701675</v>
      </c>
      <c r="M51" s="5">
        <f>scrimecost*Meta!O48</f>
        <v>194.376</v>
      </c>
      <c r="N51" s="5">
        <f>L51-Grade9!L51</f>
        <v>9655.0383009031648</v>
      </c>
      <c r="O51" s="5">
        <f>Grade9!M51-M51</f>
        <v>4.0039999999999907</v>
      </c>
      <c r="P51" s="22">
        <f t="shared" si="22"/>
        <v>673.05452181105159</v>
      </c>
      <c r="Q51" s="22"/>
      <c r="R51" s="22"/>
      <c r="S51" s="22">
        <f t="shared" si="20"/>
        <v>7712.6608148642317</v>
      </c>
      <c r="T51" s="22">
        <f t="shared" si="21"/>
        <v>1296.8907224016334</v>
      </c>
    </row>
    <row r="52" spans="1:20" x14ac:dyDescent="0.2">
      <c r="A52" s="5">
        <v>61</v>
      </c>
      <c r="B52" s="1">
        <f t="shared" si="13"/>
        <v>3.0379032788900342</v>
      </c>
      <c r="C52" s="5">
        <f t="shared" si="14"/>
        <v>142559.74838562787</v>
      </c>
      <c r="D52" s="5">
        <f t="shared" si="15"/>
        <v>135323.04272764709</v>
      </c>
      <c r="E52" s="5">
        <f t="shared" si="1"/>
        <v>125823.04272764709</v>
      </c>
      <c r="F52" s="5">
        <f t="shared" si="2"/>
        <v>50013.540356056779</v>
      </c>
      <c r="G52" s="5">
        <f t="shared" si="3"/>
        <v>85309.502371590308</v>
      </c>
      <c r="H52" s="22">
        <f t="shared" si="16"/>
        <v>64250.28389801806</v>
      </c>
      <c r="I52" s="5">
        <f t="shared" si="17"/>
        <v>145897.52008742135</v>
      </c>
      <c r="J52" s="26">
        <f t="shared" si="19"/>
        <v>0.25189145588268125</v>
      </c>
      <c r="L52" s="22">
        <f t="shared" si="18"/>
        <v>278195.27787694219</v>
      </c>
      <c r="M52" s="5">
        <f>scrimecost*Meta!O49</f>
        <v>194.376</v>
      </c>
      <c r="N52" s="5">
        <f>L52-Grade9!L52</f>
        <v>9896.4142584258225</v>
      </c>
      <c r="O52" s="5">
        <f>Grade9!M52-M52</f>
        <v>4.0039999999999907</v>
      </c>
      <c r="P52" s="22">
        <f t="shared" si="22"/>
        <v>689.66112207699098</v>
      </c>
      <c r="Q52" s="22"/>
      <c r="R52" s="22"/>
      <c r="S52" s="22">
        <f t="shared" si="20"/>
        <v>7905.1638697121443</v>
      </c>
      <c r="T52" s="22">
        <f t="shared" si="21"/>
        <v>1277.6248268787476</v>
      </c>
    </row>
    <row r="53" spans="1:20" x14ac:dyDescent="0.2">
      <c r="A53" s="5">
        <v>62</v>
      </c>
      <c r="B53" s="1">
        <f t="shared" si="13"/>
        <v>3.1138508608622844</v>
      </c>
      <c r="C53" s="5">
        <f t="shared" si="14"/>
        <v>146123.74209526856</v>
      </c>
      <c r="D53" s="5">
        <f t="shared" si="15"/>
        <v>138683.88879583825</v>
      </c>
      <c r="E53" s="5">
        <f t="shared" si="1"/>
        <v>129183.88879583825</v>
      </c>
      <c r="F53" s="5">
        <f t="shared" si="2"/>
        <v>51339.394129958193</v>
      </c>
      <c r="G53" s="5">
        <f t="shared" si="3"/>
        <v>87344.494665880062</v>
      </c>
      <c r="H53" s="22">
        <f t="shared" si="16"/>
        <v>65856.540995468502</v>
      </c>
      <c r="I53" s="5">
        <f t="shared" si="17"/>
        <v>149447.21282460686</v>
      </c>
      <c r="J53" s="26">
        <f t="shared" si="19"/>
        <v>0.2523804330359577</v>
      </c>
      <c r="L53" s="22">
        <f t="shared" si="18"/>
        <v>285150.15982386569</v>
      </c>
      <c r="M53" s="5">
        <f>scrimecost*Meta!O50</f>
        <v>194.376</v>
      </c>
      <c r="N53" s="5">
        <f>L53-Grade9!L53</f>
        <v>10143.824614886427</v>
      </c>
      <c r="O53" s="5">
        <f>Grade9!M53-M53</f>
        <v>4.0039999999999907</v>
      </c>
      <c r="P53" s="22">
        <f t="shared" si="22"/>
        <v>706.68288734957855</v>
      </c>
      <c r="Q53" s="22"/>
      <c r="R53" s="22"/>
      <c r="S53" s="22">
        <f t="shared" si="20"/>
        <v>8102.4795009311674</v>
      </c>
      <c r="T53" s="22">
        <f t="shared" si="21"/>
        <v>1258.6463502783113</v>
      </c>
    </row>
    <row r="54" spans="1:20" x14ac:dyDescent="0.2">
      <c r="A54" s="5">
        <v>63</v>
      </c>
      <c r="B54" s="1">
        <f t="shared" si="13"/>
        <v>3.1916971323838421</v>
      </c>
      <c r="C54" s="5">
        <f t="shared" si="14"/>
        <v>149776.83564765032</v>
      </c>
      <c r="D54" s="5">
        <f t="shared" si="15"/>
        <v>142128.75601573425</v>
      </c>
      <c r="E54" s="5">
        <f t="shared" si="1"/>
        <v>132628.75601573425</v>
      </c>
      <c r="F54" s="5">
        <f t="shared" si="2"/>
        <v>52698.394248207165</v>
      </c>
      <c r="G54" s="5">
        <f t="shared" si="3"/>
        <v>89430.361767527094</v>
      </c>
      <c r="H54" s="22">
        <f t="shared" si="16"/>
        <v>67502.954520355226</v>
      </c>
      <c r="I54" s="5">
        <f t="shared" si="17"/>
        <v>153085.64788022207</v>
      </c>
      <c r="J54" s="26">
        <f t="shared" si="19"/>
        <v>0.25285748391720314</v>
      </c>
      <c r="L54" s="22">
        <f t="shared" si="18"/>
        <v>292278.91381946235</v>
      </c>
      <c r="M54" s="5">
        <f>scrimecost*Meta!O51</f>
        <v>194.376</v>
      </c>
      <c r="N54" s="5">
        <f>L54-Grade9!L54</f>
        <v>10397.420230258605</v>
      </c>
      <c r="O54" s="5">
        <f>Grade9!M54-M54</f>
        <v>4.0039999999999907</v>
      </c>
      <c r="P54" s="22">
        <f t="shared" si="22"/>
        <v>724.13019675398129</v>
      </c>
      <c r="Q54" s="22"/>
      <c r="R54" s="22"/>
      <c r="S54" s="22">
        <f t="shared" si="20"/>
        <v>8304.7280229307089</v>
      </c>
      <c r="T54" s="22">
        <f t="shared" si="21"/>
        <v>1239.9509576440444</v>
      </c>
    </row>
    <row r="55" spans="1:20" x14ac:dyDescent="0.2">
      <c r="A55" s="5">
        <v>64</v>
      </c>
      <c r="B55" s="1">
        <f t="shared" si="13"/>
        <v>3.2714895606934378</v>
      </c>
      <c r="C55" s="5">
        <f t="shared" si="14"/>
        <v>153521.25653884155</v>
      </c>
      <c r="D55" s="5">
        <f t="shared" si="15"/>
        <v>145659.74491612759</v>
      </c>
      <c r="E55" s="5">
        <f t="shared" si="1"/>
        <v>136159.74491612759</v>
      </c>
      <c r="F55" s="5">
        <f t="shared" si="2"/>
        <v>54091.369369412336</v>
      </c>
      <c r="G55" s="5">
        <f t="shared" si="3"/>
        <v>91568.375546715251</v>
      </c>
      <c r="H55" s="22">
        <f t="shared" si="16"/>
        <v>69190.528383364086</v>
      </c>
      <c r="I55" s="5">
        <f t="shared" si="17"/>
        <v>156815.04381222758</v>
      </c>
      <c r="J55" s="26">
        <f t="shared" si="19"/>
        <v>0.25332289941110109</v>
      </c>
      <c r="L55" s="22">
        <f t="shared" si="18"/>
        <v>299585.88666494889</v>
      </c>
      <c r="M55" s="5">
        <f>scrimecost*Meta!O52</f>
        <v>194.376</v>
      </c>
      <c r="N55" s="5">
        <f>L55-Grade9!L55</f>
        <v>10657.355736015073</v>
      </c>
      <c r="O55" s="5">
        <f>Grade9!M55-M55</f>
        <v>4.0039999999999907</v>
      </c>
      <c r="P55" s="22">
        <f t="shared" si="22"/>
        <v>742.01368889349408</v>
      </c>
      <c r="Q55" s="22"/>
      <c r="R55" s="22"/>
      <c r="S55" s="22">
        <f t="shared" si="20"/>
        <v>8512.0327579802288</v>
      </c>
      <c r="T55" s="22">
        <f t="shared" si="21"/>
        <v>1221.5343812176136</v>
      </c>
    </row>
    <row r="56" spans="1:20" x14ac:dyDescent="0.2">
      <c r="A56" s="5">
        <v>65</v>
      </c>
      <c r="B56" s="1">
        <f t="shared" si="13"/>
        <v>3.3532767997107733</v>
      </c>
      <c r="C56" s="5">
        <f t="shared" si="14"/>
        <v>157359.28795231256</v>
      </c>
      <c r="D56" s="5">
        <f t="shared" si="15"/>
        <v>149279.00853903074</v>
      </c>
      <c r="E56" s="5">
        <f t="shared" si="1"/>
        <v>139779.00853903074</v>
      </c>
      <c r="F56" s="5">
        <f t="shared" si="2"/>
        <v>55519.168868647626</v>
      </c>
      <c r="G56" s="5">
        <f t="shared" si="3"/>
        <v>93759.839670383109</v>
      </c>
      <c r="H56" s="22">
        <f t="shared" si="16"/>
        <v>70920.291592948182</v>
      </c>
      <c r="I56" s="5">
        <f t="shared" si="17"/>
        <v>160637.67464253324</v>
      </c>
      <c r="J56" s="26">
        <f t="shared" si="19"/>
        <v>0.25377696330758681</v>
      </c>
      <c r="L56" s="22">
        <f t="shared" si="18"/>
        <v>307075.53383157263</v>
      </c>
      <c r="M56" s="5">
        <f>scrimecost*Meta!O53</f>
        <v>58.74</v>
      </c>
      <c r="N56" s="5">
        <f>L56-Grade9!L56</f>
        <v>10923.789629415434</v>
      </c>
      <c r="O56" s="5">
        <f>Grade9!M56-M56</f>
        <v>1.2100000000000009</v>
      </c>
      <c r="P56" s="22">
        <f t="shared" si="22"/>
        <v>760.34426833649445</v>
      </c>
      <c r="Q56" s="22"/>
      <c r="R56" s="22"/>
      <c r="S56" s="22">
        <f t="shared" si="20"/>
        <v>8721.7819914059728</v>
      </c>
      <c r="T56" s="22">
        <f t="shared" si="21"/>
        <v>1203.0147443599874</v>
      </c>
    </row>
    <row r="57" spans="1:20" x14ac:dyDescent="0.2">
      <c r="A57" s="5">
        <v>66</v>
      </c>
      <c r="C57" s="5"/>
      <c r="H57" s="21"/>
      <c r="I57" s="5"/>
      <c r="M57" s="5">
        <f>scrimecost*Meta!O54</f>
        <v>58.74</v>
      </c>
      <c r="N57" s="5">
        <f>L57-Grade9!L57</f>
        <v>0</v>
      </c>
      <c r="O57" s="5">
        <f>Grade9!M57-M57</f>
        <v>1.2100000000000009</v>
      </c>
      <c r="Q57" s="22"/>
      <c r="R57" s="22"/>
      <c r="S57" s="22">
        <f t="shared" si="20"/>
        <v>1.1858000000000009</v>
      </c>
      <c r="T57" s="22">
        <f t="shared" si="21"/>
        <v>0.15720649454619579</v>
      </c>
    </row>
    <row r="58" spans="1:20" x14ac:dyDescent="0.2">
      <c r="A58" s="5">
        <v>67</v>
      </c>
      <c r="C58" s="5"/>
      <c r="H58" s="21"/>
      <c r="I58" s="5"/>
      <c r="M58" s="5">
        <f>scrimecost*Meta!O55</f>
        <v>58.74</v>
      </c>
      <c r="N58" s="5">
        <f>L58-Grade9!L58</f>
        <v>0</v>
      </c>
      <c r="O58" s="5">
        <f>Grade9!M58-M58</f>
        <v>1.2100000000000009</v>
      </c>
      <c r="Q58" s="22"/>
      <c r="R58" s="22"/>
      <c r="S58" s="22">
        <f t="shared" si="20"/>
        <v>1.1858000000000009</v>
      </c>
      <c r="T58" s="22">
        <f t="shared" si="21"/>
        <v>0.1510997682366319</v>
      </c>
    </row>
    <row r="59" spans="1:20" x14ac:dyDescent="0.2">
      <c r="A59" s="5">
        <v>68</v>
      </c>
      <c r="H59" s="21"/>
      <c r="I59" s="5"/>
      <c r="M59" s="5">
        <f>scrimecost*Meta!O56</f>
        <v>58.74</v>
      </c>
      <c r="N59" s="5">
        <f>L59-Grade9!L59</f>
        <v>0</v>
      </c>
      <c r="O59" s="5">
        <f>Grade9!M59-M59</f>
        <v>1.2100000000000009</v>
      </c>
      <c r="Q59" s="22"/>
      <c r="R59" s="22"/>
      <c r="S59" s="22">
        <f t="shared" si="20"/>
        <v>1.1858000000000009</v>
      </c>
      <c r="T59" s="22">
        <f t="shared" si="21"/>
        <v>0.14523025926549646</v>
      </c>
    </row>
    <row r="60" spans="1:20" x14ac:dyDescent="0.2">
      <c r="A60" s="5">
        <v>69</v>
      </c>
      <c r="H60" s="21"/>
      <c r="I60" s="5"/>
      <c r="M60" s="5">
        <f>scrimecost*Meta!O57</f>
        <v>58.74</v>
      </c>
      <c r="N60" s="5">
        <f>L60-Grade9!L60</f>
        <v>0</v>
      </c>
      <c r="O60" s="5">
        <f>Grade9!M60-M60</f>
        <v>1.2100000000000009</v>
      </c>
      <c r="Q60" s="22"/>
      <c r="R60" s="22"/>
      <c r="S60" s="22">
        <f t="shared" si="20"/>
        <v>1.1858000000000009</v>
      </c>
      <c r="T60" s="22">
        <f t="shared" si="21"/>
        <v>0.13958875286487649</v>
      </c>
    </row>
    <row r="61" spans="1:20" x14ac:dyDescent="0.2">
      <c r="A61" s="5">
        <v>70</v>
      </c>
      <c r="H61" s="21"/>
      <c r="I61" s="5"/>
      <c r="M61" s="5">
        <f>scrimecost*Meta!O58</f>
        <v>58.74</v>
      </c>
      <c r="N61" s="5">
        <f>L61-Grade9!L61</f>
        <v>0</v>
      </c>
      <c r="O61" s="5">
        <f>Grade9!M61-M61</f>
        <v>1.2100000000000009</v>
      </c>
      <c r="Q61" s="22"/>
      <c r="R61" s="22"/>
      <c r="S61" s="22">
        <f t="shared" si="20"/>
        <v>1.1858000000000009</v>
      </c>
      <c r="T61" s="22">
        <f t="shared" si="21"/>
        <v>0.13416639221686485</v>
      </c>
    </row>
    <row r="62" spans="1:20" x14ac:dyDescent="0.2">
      <c r="A62" s="5">
        <v>71</v>
      </c>
      <c r="H62" s="21"/>
      <c r="I62" s="5"/>
      <c r="M62" s="5">
        <f>scrimecost*Meta!O59</f>
        <v>58.74</v>
      </c>
      <c r="N62" s="5">
        <f>L62-Grade9!L62</f>
        <v>0</v>
      </c>
      <c r="O62" s="5">
        <f>Grade9!M62-M62</f>
        <v>1.2100000000000009</v>
      </c>
      <c r="Q62" s="22"/>
      <c r="R62" s="22"/>
      <c r="S62" s="22">
        <f t="shared" si="20"/>
        <v>1.1858000000000009</v>
      </c>
      <c r="T62" s="22">
        <f t="shared" si="21"/>
        <v>0.12895466454890109</v>
      </c>
    </row>
    <row r="63" spans="1:20" x14ac:dyDescent="0.2">
      <c r="A63" s="5">
        <v>72</v>
      </c>
      <c r="H63" s="21"/>
      <c r="M63" s="5">
        <f>scrimecost*Meta!O60</f>
        <v>58.74</v>
      </c>
      <c r="N63" s="5">
        <f>L63-Grade9!L63</f>
        <v>0</v>
      </c>
      <c r="O63" s="5">
        <f>Grade9!M63-M63</f>
        <v>1.2100000000000009</v>
      </c>
      <c r="Q63" s="22"/>
      <c r="R63" s="22"/>
      <c r="S63" s="22">
        <f t="shared" si="20"/>
        <v>1.1858000000000009</v>
      </c>
      <c r="T63" s="22">
        <f t="shared" si="21"/>
        <v>0.12394538776924263</v>
      </c>
    </row>
    <row r="64" spans="1:20" x14ac:dyDescent="0.2">
      <c r="A64" s="5">
        <v>73</v>
      </c>
      <c r="H64" s="21"/>
      <c r="M64" s="5">
        <f>scrimecost*Meta!O61</f>
        <v>58.74</v>
      </c>
      <c r="N64" s="5">
        <f>L64-Grade9!L64</f>
        <v>0</v>
      </c>
      <c r="O64" s="5">
        <f>Grade9!M64-M64</f>
        <v>1.2100000000000009</v>
      </c>
      <c r="Q64" s="22"/>
      <c r="R64" s="22"/>
      <c r="S64" s="22">
        <f t="shared" si="20"/>
        <v>1.1858000000000009</v>
      </c>
      <c r="T64" s="22">
        <f t="shared" si="21"/>
        <v>0.11913069762158393</v>
      </c>
    </row>
    <row r="65" spans="1:20" x14ac:dyDescent="0.2">
      <c r="A65" s="5">
        <v>74</v>
      </c>
      <c r="H65" s="21"/>
      <c r="M65" s="5">
        <f>scrimecost*Meta!O62</f>
        <v>58.74</v>
      </c>
      <c r="N65" s="5">
        <f>L65-Grade9!L65</f>
        <v>0</v>
      </c>
      <c r="O65" s="5">
        <f>Grade9!M65-M65</f>
        <v>1.2100000000000009</v>
      </c>
      <c r="Q65" s="22"/>
      <c r="R65" s="22"/>
      <c r="S65" s="22">
        <f t="shared" si="20"/>
        <v>1.1858000000000009</v>
      </c>
      <c r="T65" s="22">
        <f t="shared" si="21"/>
        <v>0.11450303533865801</v>
      </c>
    </row>
    <row r="66" spans="1:20" x14ac:dyDescent="0.2">
      <c r="A66" s="5">
        <v>75</v>
      </c>
      <c r="H66" s="21"/>
      <c r="M66" s="5">
        <f>scrimecost*Meta!O63</f>
        <v>58.74</v>
      </c>
      <c r="N66" s="5">
        <f>L66-Grade9!L66</f>
        <v>0</v>
      </c>
      <c r="O66" s="5">
        <f>Grade9!M66-M66</f>
        <v>1.2100000000000009</v>
      </c>
      <c r="Q66" s="22"/>
      <c r="R66" s="22"/>
      <c r="S66" s="22">
        <f t="shared" si="20"/>
        <v>1.1858000000000009</v>
      </c>
      <c r="T66" s="22">
        <f t="shared" si="21"/>
        <v>0.11005513577543714</v>
      </c>
    </row>
    <row r="67" spans="1:20" x14ac:dyDescent="0.2">
      <c r="A67" s="5">
        <v>76</v>
      </c>
      <c r="H67" s="21"/>
      <c r="M67" s="5">
        <f>scrimecost*Meta!O64</f>
        <v>58.74</v>
      </c>
      <c r="N67" s="5">
        <f>L67-Grade9!L67</f>
        <v>0</v>
      </c>
      <c r="O67" s="5">
        <f>Grade9!M67-M67</f>
        <v>1.2100000000000009</v>
      </c>
      <c r="Q67" s="22"/>
      <c r="R67" s="22"/>
      <c r="S67" s="22">
        <f t="shared" si="20"/>
        <v>1.1858000000000009</v>
      </c>
      <c r="T67" s="22">
        <f t="shared" si="21"/>
        <v>0.10578001600330204</v>
      </c>
    </row>
    <row r="68" spans="1:20" x14ac:dyDescent="0.2">
      <c r="A68" s="5">
        <v>77</v>
      </c>
      <c r="H68" s="21"/>
      <c r="M68" s="5">
        <f>scrimecost*Meta!O65</f>
        <v>58.74</v>
      </c>
      <c r="N68" s="5">
        <f>L68-Grade9!L68</f>
        <v>0</v>
      </c>
      <c r="O68" s="5">
        <f>Grade9!M68-M68</f>
        <v>1.2100000000000009</v>
      </c>
      <c r="Q68" s="22"/>
      <c r="R68" s="22"/>
      <c r="S68" s="22">
        <f t="shared" si="20"/>
        <v>1.1858000000000009</v>
      </c>
      <c r="T68" s="22">
        <f t="shared" si="21"/>
        <v>0.10167096434727371</v>
      </c>
    </row>
    <row r="69" spans="1:20" x14ac:dyDescent="0.2">
      <c r="A69" s="5">
        <v>78</v>
      </c>
      <c r="H69" s="21"/>
      <c r="M69" s="5">
        <f>scrimecost*Meta!O66</f>
        <v>58.74</v>
      </c>
      <c r="N69" s="5">
        <f>L69-Grade9!L69</f>
        <v>0</v>
      </c>
      <c r="O69" s="5">
        <f>Grade9!M69-M69</f>
        <v>1.2100000000000009</v>
      </c>
      <c r="Q69" s="22"/>
      <c r="R69" s="22"/>
      <c r="S69" s="22">
        <f t="shared" si="20"/>
        <v>1.1858000000000009</v>
      </c>
      <c r="T69" s="22">
        <f t="shared" si="21"/>
        <v>9.7721529849096656E-2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-1.3811818327935654E-8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8" sqref="P8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Meta!A5+6</f>
        <v>17</v>
      </c>
      <c r="C2" s="7">
        <f>Meta!B5</f>
        <v>96752</v>
      </c>
      <c r="D2" s="7">
        <f>Meta!C5</f>
        <v>43605</v>
      </c>
      <c r="E2" s="1">
        <f>Meta!D5</f>
        <v>5.3999999999999999E-2</v>
      </c>
      <c r="F2" s="1">
        <f>Meta!F5</f>
        <v>0.65100000000000002</v>
      </c>
      <c r="G2" s="1">
        <f>Meta!I5</f>
        <v>1.9210422854781857</v>
      </c>
      <c r="H2" s="1">
        <f>Meta!E5</f>
        <v>0.98</v>
      </c>
      <c r="I2" s="13"/>
      <c r="J2" s="1">
        <f>Meta!X4</f>
        <v>0.745</v>
      </c>
      <c r="K2" s="1">
        <f>Meta!D4</f>
        <v>5.7000000000000002E-2</v>
      </c>
      <c r="L2" s="29"/>
      <c r="N2" s="22">
        <f>Meta!T5</f>
        <v>134850</v>
      </c>
      <c r="O2" s="22">
        <f>Meta!U5</f>
        <v>59092</v>
      </c>
      <c r="P2" s="1">
        <f>Meta!V5</f>
        <v>3.6999999999999998E-2</v>
      </c>
      <c r="Q2" s="1">
        <f>Meta!X5</f>
        <v>0.754</v>
      </c>
      <c r="R2" s="22">
        <f>Meta!W5</f>
        <v>1046</v>
      </c>
      <c r="T2" s="12">
        <f>IRR(S5:S69)+1</f>
        <v>1.0393244390511744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B7" s="1">
        <v>1</v>
      </c>
      <c r="C7" s="5">
        <f>0.1*Grade10!C7</f>
        <v>4692.7020151120578</v>
      </c>
      <c r="D7" s="5">
        <f t="shared" ref="D7:D36" si="0">IF(A7&lt;startage,1,0)*(C7*(1-initialunempprob))+IF(A7=startage,1,0)*(C7*(1-unempprob))+IF(A7&gt;startage,1,0)*(C7*(1-unempprob)+unempprob*300*52)</f>
        <v>4425.2180002506702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338.52917701917625</v>
      </c>
      <c r="G7" s="5">
        <f t="shared" ref="G7:G56" si="3">D7-F7</f>
        <v>4086.6888232314941</v>
      </c>
      <c r="H7" s="22">
        <f>0.1*Grade10!H7</f>
        <v>2114.9548882771983</v>
      </c>
      <c r="I7" s="5">
        <f t="shared" ref="I7:I36" si="4">G7+IF(A7&lt;startage,1,0)*(H7*(1-initialunempprob))+IF(A7&gt;=startage,1,0)*(H7*(1-unempprob))</f>
        <v>6081.0912828768924</v>
      </c>
      <c r="J7" s="26">
        <f t="shared" ref="J7:J38" si="5">(F7-(IF(A7&gt;startage,1,0)*(unempprob*300*52)))/(IF(A7&lt;startage,1,0)*((C7+H7)*(1-initialunempprob))+IF(A7&gt;=startage,1,0)*((C7+H7)*(1-unempprob)))</f>
        <v>5.2733518925923692E-2</v>
      </c>
      <c r="L7" s="22">
        <f>0.1*Grade10!L7</f>
        <v>9157.4764677362291</v>
      </c>
      <c r="M7" s="5">
        <f>scrimecost*Meta!O4</f>
        <v>2456.0079999999998</v>
      </c>
      <c r="N7" s="5">
        <f>L7-Grade10!L7</f>
        <v>-82417.288209626058</v>
      </c>
      <c r="O7" s="5"/>
      <c r="P7" s="22"/>
      <c r="Q7" s="22">
        <f>0.05*feel*Grade10!G7</f>
        <v>456.10075324012638</v>
      </c>
      <c r="R7" s="22">
        <f>hstuition</f>
        <v>11298</v>
      </c>
      <c r="S7" s="22">
        <f t="shared" ref="S7:S38" si="6">IF(A7&lt;startage,1,0)*(N7-Q7-R7)+IF(A7&gt;=startage,1,0)*completionprob*(N7*spart+O7+P7)</f>
        <v>-94171.388962866185</v>
      </c>
      <c r="T7" s="22">
        <f t="shared" ref="T7:T38" si="7">S7/sreturn^(A7-startage+1)</f>
        <v>-94171.388962866185</v>
      </c>
    </row>
    <row r="8" spans="1:20" x14ac:dyDescent="0.2">
      <c r="A8" s="5">
        <v>17</v>
      </c>
      <c r="B8" s="1">
        <f t="shared" ref="B8:B36" si="8">(1+experiencepremium)^(A8-startage)</f>
        <v>1</v>
      </c>
      <c r="C8" s="5">
        <f t="shared" ref="C8:C36" si="9">pretaxincome*B8/expnorm</f>
        <v>50364.326038724597</v>
      </c>
      <c r="D8" s="5">
        <f t="shared" si="0"/>
        <v>47644.652432633469</v>
      </c>
      <c r="E8" s="5">
        <f t="shared" si="1"/>
        <v>38144.652432633469</v>
      </c>
      <c r="F8" s="5">
        <f t="shared" si="2"/>
        <v>13120.444262518175</v>
      </c>
      <c r="G8" s="5">
        <f t="shared" si="3"/>
        <v>34524.208170115293</v>
      </c>
      <c r="H8" s="22">
        <f t="shared" ref="H8:H36" si="10">benefits*B8/expnorm</f>
        <v>22698.615397289836</v>
      </c>
      <c r="I8" s="5">
        <f t="shared" si="4"/>
        <v>55997.098335951479</v>
      </c>
      <c r="J8" s="26">
        <f t="shared" si="5"/>
        <v>0.18982799111854823</v>
      </c>
      <c r="L8" s="22">
        <f t="shared" ref="L8:L36" si="11">(sincome+sbenefits)*(1-sunemp)*B8/expnorm</f>
        <v>97221.257133082938</v>
      </c>
      <c r="M8" s="5">
        <f>scrimecost*Meta!O5</f>
        <v>2836.7520000000004</v>
      </c>
      <c r="N8" s="5">
        <f>L8-Grade10!L8</f>
        <v>3357.1233387865941</v>
      </c>
      <c r="O8" s="5">
        <f>Grade10!M8-M8</f>
        <v>59.66399999999976</v>
      </c>
      <c r="P8" s="22">
        <f t="shared" ref="P8:P39" si="12">(spart-initialspart)*(L8*J8+nptrans)</f>
        <v>225.08384342033685</v>
      </c>
      <c r="Q8" s="22"/>
      <c r="R8" s="22"/>
      <c r="S8" s="22">
        <f t="shared" si="6"/>
        <v>2759.6984640481201</v>
      </c>
      <c r="T8" s="22">
        <f t="shared" si="7"/>
        <v>2655.2810271328926</v>
      </c>
    </row>
    <row r="9" spans="1:20" x14ac:dyDescent="0.2">
      <c r="A9" s="5">
        <v>18</v>
      </c>
      <c r="B9" s="1">
        <f t="shared" si="8"/>
        <v>1.0249999999999999</v>
      </c>
      <c r="C9" s="5">
        <f t="shared" si="9"/>
        <v>51623.434189692707</v>
      </c>
      <c r="D9" s="5">
        <f t="shared" si="0"/>
        <v>49678.1687434493</v>
      </c>
      <c r="E9" s="5">
        <f t="shared" si="1"/>
        <v>40178.1687434493</v>
      </c>
      <c r="F9" s="5">
        <f t="shared" si="2"/>
        <v>13987.738969081125</v>
      </c>
      <c r="G9" s="5">
        <f t="shared" si="3"/>
        <v>35690.429774368175</v>
      </c>
      <c r="H9" s="22">
        <f t="shared" si="10"/>
        <v>23266.080782222078</v>
      </c>
      <c r="I9" s="5">
        <f t="shared" si="4"/>
        <v>57700.142194350257</v>
      </c>
      <c r="J9" s="26">
        <f t="shared" si="5"/>
        <v>0.18554943453283246</v>
      </c>
      <c r="L9" s="22">
        <f t="shared" si="11"/>
        <v>99651.788561410009</v>
      </c>
      <c r="M9" s="5">
        <f>scrimecost*Meta!O6</f>
        <v>3447.616</v>
      </c>
      <c r="N9" s="5">
        <f>L9-Grade10!L9</f>
        <v>3441.0514222562633</v>
      </c>
      <c r="O9" s="5">
        <f>Grade10!M9-M9</f>
        <v>72.511999999999716</v>
      </c>
      <c r="P9" s="22">
        <f t="shared" si="12"/>
        <v>225.39899715979527</v>
      </c>
      <c r="Q9" s="22"/>
      <c r="R9" s="22"/>
      <c r="S9" s="22">
        <f t="shared" si="6"/>
        <v>2834.6144941501971</v>
      </c>
      <c r="T9" s="22">
        <f t="shared" si="7"/>
        <v>2624.1685382428823</v>
      </c>
    </row>
    <row r="10" spans="1:20" x14ac:dyDescent="0.2">
      <c r="A10" s="5">
        <v>19</v>
      </c>
      <c r="B10" s="1">
        <f t="shared" si="8"/>
        <v>1.0506249999999999</v>
      </c>
      <c r="C10" s="5">
        <f t="shared" si="9"/>
        <v>52914.020044435027</v>
      </c>
      <c r="D10" s="5">
        <f t="shared" si="0"/>
        <v>50899.062962035532</v>
      </c>
      <c r="E10" s="5">
        <f t="shared" si="1"/>
        <v>41399.062962035532</v>
      </c>
      <c r="F10" s="5">
        <f t="shared" si="2"/>
        <v>14508.450353308155</v>
      </c>
      <c r="G10" s="5">
        <f t="shared" si="3"/>
        <v>36390.612608727373</v>
      </c>
      <c r="H10" s="22">
        <f t="shared" si="10"/>
        <v>23847.732801777631</v>
      </c>
      <c r="I10" s="5">
        <f t="shared" si="4"/>
        <v>58950.567839209012</v>
      </c>
      <c r="J10" s="26">
        <f t="shared" si="5"/>
        <v>0.18819453030816552</v>
      </c>
      <c r="L10" s="22">
        <f t="shared" si="11"/>
        <v>102143.08327544526</v>
      </c>
      <c r="M10" s="5">
        <f>scrimecost*Meta!O7</f>
        <v>3685.058</v>
      </c>
      <c r="N10" s="5">
        <f>L10-Grade10!L10</f>
        <v>3527.0777078126703</v>
      </c>
      <c r="O10" s="5">
        <f>Grade10!M10-M10</f>
        <v>77.506000000000313</v>
      </c>
      <c r="P10" s="22">
        <f t="shared" si="12"/>
        <v>231.99092623125253</v>
      </c>
      <c r="Q10" s="22"/>
      <c r="R10" s="22"/>
      <c r="S10" s="22">
        <f t="shared" si="6"/>
        <v>2909.5352475635659</v>
      </c>
      <c r="T10" s="22">
        <f t="shared" si="7"/>
        <v>2591.6133243350091</v>
      </c>
    </row>
    <row r="11" spans="1:20" x14ac:dyDescent="0.2">
      <c r="A11" s="5">
        <v>20</v>
      </c>
      <c r="B11" s="1">
        <f t="shared" si="8"/>
        <v>1.0768906249999999</v>
      </c>
      <c r="C11" s="5">
        <f t="shared" si="9"/>
        <v>54236.870545545898</v>
      </c>
      <c r="D11" s="5">
        <f t="shared" si="0"/>
        <v>52150.479536086415</v>
      </c>
      <c r="E11" s="5">
        <f t="shared" si="1"/>
        <v>42650.479536086415</v>
      </c>
      <c r="F11" s="5">
        <f t="shared" si="2"/>
        <v>15042.179522140856</v>
      </c>
      <c r="G11" s="5">
        <f t="shared" si="3"/>
        <v>37108.300013945562</v>
      </c>
      <c r="H11" s="22">
        <f t="shared" si="10"/>
        <v>24443.926121822071</v>
      </c>
      <c r="I11" s="5">
        <f t="shared" si="4"/>
        <v>60232.25412518924</v>
      </c>
      <c r="J11" s="26">
        <f t="shared" si="5"/>
        <v>0.19077511155239282</v>
      </c>
      <c r="L11" s="22">
        <f t="shared" si="11"/>
        <v>104696.66035733138</v>
      </c>
      <c r="M11" s="5">
        <f>scrimecost*Meta!O8</f>
        <v>3529.2040000000002</v>
      </c>
      <c r="N11" s="5">
        <f>L11-Grade10!L11</f>
        <v>3615.2546505079954</v>
      </c>
      <c r="O11" s="5">
        <f>Grade10!M11-M11</f>
        <v>74.228000000000065</v>
      </c>
      <c r="P11" s="22">
        <f t="shared" si="12"/>
        <v>238.74765352949609</v>
      </c>
      <c r="Q11" s="22"/>
      <c r="R11" s="22"/>
      <c r="S11" s="22">
        <f t="shared" si="6"/>
        <v>2978.1001068122737</v>
      </c>
      <c r="T11" s="22">
        <f t="shared" si="7"/>
        <v>2552.3177097360431</v>
      </c>
    </row>
    <row r="12" spans="1:20" x14ac:dyDescent="0.2">
      <c r="A12" s="5">
        <v>21</v>
      </c>
      <c r="B12" s="1">
        <f t="shared" si="8"/>
        <v>1.1038128906249998</v>
      </c>
      <c r="C12" s="5">
        <f t="shared" si="9"/>
        <v>55592.792309184544</v>
      </c>
      <c r="D12" s="5">
        <f t="shared" si="0"/>
        <v>53433.18152448858</v>
      </c>
      <c r="E12" s="5">
        <f t="shared" si="1"/>
        <v>43933.18152448858</v>
      </c>
      <c r="F12" s="5">
        <f t="shared" si="2"/>
        <v>15589.25192019438</v>
      </c>
      <c r="G12" s="5">
        <f t="shared" si="3"/>
        <v>37843.929604294201</v>
      </c>
      <c r="H12" s="22">
        <f t="shared" si="10"/>
        <v>25055.024274867621</v>
      </c>
      <c r="I12" s="5">
        <f t="shared" si="4"/>
        <v>61545.98256831897</v>
      </c>
      <c r="J12" s="26">
        <f t="shared" si="5"/>
        <v>0.19329275179066349</v>
      </c>
      <c r="L12" s="22">
        <f t="shared" si="11"/>
        <v>107314.07686626466</v>
      </c>
      <c r="M12" s="5">
        <f>scrimecost*Meta!O9</f>
        <v>3204.944</v>
      </c>
      <c r="N12" s="5">
        <f>L12-Grade10!L12</f>
        <v>3705.6360167707026</v>
      </c>
      <c r="O12" s="5">
        <f>Grade10!M12-M12</f>
        <v>67.407999999999902</v>
      </c>
      <c r="P12" s="22">
        <f t="shared" si="12"/>
        <v>245.6732990101959</v>
      </c>
      <c r="Q12" s="22"/>
      <c r="R12" s="22"/>
      <c r="S12" s="22">
        <f t="shared" si="6"/>
        <v>3044.9882385421993</v>
      </c>
      <c r="T12" s="22">
        <f t="shared" si="7"/>
        <v>2510.9029195289777</v>
      </c>
    </row>
    <row r="13" spans="1:20" x14ac:dyDescent="0.2">
      <c r="A13" s="5">
        <v>22</v>
      </c>
      <c r="B13" s="1">
        <f t="shared" si="8"/>
        <v>1.1314082128906247</v>
      </c>
      <c r="C13" s="5">
        <f t="shared" si="9"/>
        <v>56982.612116914148</v>
      </c>
      <c r="D13" s="5">
        <f t="shared" si="0"/>
        <v>54747.951062600783</v>
      </c>
      <c r="E13" s="5">
        <f t="shared" si="1"/>
        <v>45247.951062600783</v>
      </c>
      <c r="F13" s="5">
        <f t="shared" si="2"/>
        <v>16150.001128199234</v>
      </c>
      <c r="G13" s="5">
        <f t="shared" si="3"/>
        <v>38597.949934401549</v>
      </c>
      <c r="H13" s="22">
        <f t="shared" si="10"/>
        <v>25681.399881739311</v>
      </c>
      <c r="I13" s="5">
        <f t="shared" si="4"/>
        <v>62892.554222526938</v>
      </c>
      <c r="J13" s="26">
        <f t="shared" si="5"/>
        <v>0.19574898616946401</v>
      </c>
      <c r="L13" s="22">
        <f t="shared" si="11"/>
        <v>109996.92878792126</v>
      </c>
      <c r="M13" s="5">
        <f>scrimecost*Meta!O10</f>
        <v>2937.1679999999997</v>
      </c>
      <c r="N13" s="5">
        <f>L13-Grade10!L13</f>
        <v>3798.2769171899563</v>
      </c>
      <c r="O13" s="5">
        <f>Grade10!M13-M13</f>
        <v>61.776000000000295</v>
      </c>
      <c r="P13" s="22">
        <f t="shared" si="12"/>
        <v>252.77208562791307</v>
      </c>
      <c r="Q13" s="22"/>
      <c r="R13" s="22"/>
      <c r="S13" s="22">
        <f t="shared" si="6"/>
        <v>3114.8799035653574</v>
      </c>
      <c r="T13" s="22">
        <f t="shared" si="7"/>
        <v>2471.3512152207477</v>
      </c>
    </row>
    <row r="14" spans="1:20" x14ac:dyDescent="0.2">
      <c r="A14" s="5">
        <v>23</v>
      </c>
      <c r="B14" s="1">
        <f t="shared" si="8"/>
        <v>1.1596934182128902</v>
      </c>
      <c r="C14" s="5">
        <f t="shared" si="9"/>
        <v>58407.177419837004</v>
      </c>
      <c r="D14" s="5">
        <f t="shared" si="0"/>
        <v>56095.589839165805</v>
      </c>
      <c r="E14" s="5">
        <f t="shared" si="1"/>
        <v>46595.589839165805</v>
      </c>
      <c r="F14" s="5">
        <f t="shared" si="2"/>
        <v>16724.769066404217</v>
      </c>
      <c r="G14" s="5">
        <f t="shared" si="3"/>
        <v>39370.820772761588</v>
      </c>
      <c r="H14" s="22">
        <f t="shared" si="10"/>
        <v>26323.434878782791</v>
      </c>
      <c r="I14" s="5">
        <f t="shared" si="4"/>
        <v>64272.790168090112</v>
      </c>
      <c r="J14" s="26">
        <f t="shared" si="5"/>
        <v>0.19814531239268413</v>
      </c>
      <c r="L14" s="22">
        <f t="shared" si="11"/>
        <v>112746.85200761929</v>
      </c>
      <c r="M14" s="5">
        <f>scrimecost*Meta!O11</f>
        <v>2744.7040000000002</v>
      </c>
      <c r="N14" s="5">
        <f>L14-Grade10!L14</f>
        <v>3893.2338401197048</v>
      </c>
      <c r="O14" s="5">
        <f>Grade10!M14-M14</f>
        <v>57.728000000000065</v>
      </c>
      <c r="P14" s="22">
        <f t="shared" si="12"/>
        <v>260.04834191107329</v>
      </c>
      <c r="Q14" s="22"/>
      <c r="R14" s="22"/>
      <c r="S14" s="22">
        <f t="shared" si="6"/>
        <v>3188.209164214104</v>
      </c>
      <c r="T14" s="22">
        <f t="shared" si="7"/>
        <v>2433.8220915898346</v>
      </c>
    </row>
    <row r="15" spans="1:20" x14ac:dyDescent="0.2">
      <c r="A15" s="5">
        <v>24</v>
      </c>
      <c r="B15" s="1">
        <f t="shared" si="8"/>
        <v>1.1886857536682125</v>
      </c>
      <c r="C15" s="5">
        <f t="shared" si="9"/>
        <v>59867.356855332924</v>
      </c>
      <c r="D15" s="5">
        <f t="shared" si="0"/>
        <v>57476.919585144948</v>
      </c>
      <c r="E15" s="5">
        <f t="shared" si="1"/>
        <v>47976.919585144948</v>
      </c>
      <c r="F15" s="5">
        <f t="shared" si="2"/>
        <v>17313.906203064322</v>
      </c>
      <c r="G15" s="5">
        <f t="shared" si="3"/>
        <v>40163.013382080622</v>
      </c>
      <c r="H15" s="22">
        <f t="shared" si="10"/>
        <v>26981.520750752363</v>
      </c>
      <c r="I15" s="5">
        <f t="shared" si="4"/>
        <v>65687.532012292359</v>
      </c>
      <c r="J15" s="26">
        <f t="shared" si="5"/>
        <v>0.20048319163485004</v>
      </c>
      <c r="L15" s="22">
        <f t="shared" si="11"/>
        <v>115565.52330780977</v>
      </c>
      <c r="M15" s="5">
        <f>scrimecost*Meta!O12</f>
        <v>2622.3220000000001</v>
      </c>
      <c r="N15" s="5">
        <f>L15-Grade10!L15</f>
        <v>3990.5646861226851</v>
      </c>
      <c r="O15" s="5">
        <f>Grade10!M15-M15</f>
        <v>55.153999999999996</v>
      </c>
      <c r="P15" s="22">
        <f t="shared" si="12"/>
        <v>267.50650460131243</v>
      </c>
      <c r="Q15" s="22"/>
      <c r="R15" s="22"/>
      <c r="S15" s="22">
        <f t="shared" si="6"/>
        <v>3264.9153523790606</v>
      </c>
      <c r="T15" s="22">
        <f t="shared" si="7"/>
        <v>2398.0752648481762</v>
      </c>
    </row>
    <row r="16" spans="1:20" x14ac:dyDescent="0.2">
      <c r="A16" s="5">
        <v>25</v>
      </c>
      <c r="B16" s="1">
        <f t="shared" si="8"/>
        <v>1.2184028975099177</v>
      </c>
      <c r="C16" s="5">
        <f t="shared" si="9"/>
        <v>61364.040776716247</v>
      </c>
      <c r="D16" s="5">
        <f t="shared" si="0"/>
        <v>58892.78257477357</v>
      </c>
      <c r="E16" s="5">
        <f t="shared" si="1"/>
        <v>49392.78257477357</v>
      </c>
      <c r="F16" s="5">
        <f t="shared" si="2"/>
        <v>17917.771768140927</v>
      </c>
      <c r="G16" s="5">
        <f t="shared" si="3"/>
        <v>40975.010806632643</v>
      </c>
      <c r="H16" s="22">
        <f t="shared" si="10"/>
        <v>27656.058769521169</v>
      </c>
      <c r="I16" s="5">
        <f t="shared" si="4"/>
        <v>67137.642402599668</v>
      </c>
      <c r="J16" s="26">
        <f t="shared" si="5"/>
        <v>0.20276404943208509</v>
      </c>
      <c r="L16" s="22">
        <f t="shared" si="11"/>
        <v>118454.661390505</v>
      </c>
      <c r="M16" s="5">
        <f>scrimecost*Meta!O13</f>
        <v>2201.83</v>
      </c>
      <c r="N16" s="5">
        <f>L16-Grade10!L16</f>
        <v>4090.3288032757846</v>
      </c>
      <c r="O16" s="5">
        <f>Grade10!M16-M16</f>
        <v>46.309999999999945</v>
      </c>
      <c r="P16" s="22">
        <f t="shared" si="12"/>
        <v>275.15112135880759</v>
      </c>
      <c r="Q16" s="22"/>
      <c r="R16" s="22"/>
      <c r="S16" s="22">
        <f t="shared" si="6"/>
        <v>3337.4576582481741</v>
      </c>
      <c r="T16" s="22">
        <f t="shared" si="7"/>
        <v>2358.6065947678139</v>
      </c>
    </row>
    <row r="17" spans="1:20" x14ac:dyDescent="0.2">
      <c r="A17" s="5">
        <v>26</v>
      </c>
      <c r="B17" s="1">
        <f t="shared" si="8"/>
        <v>1.2488629699476654</v>
      </c>
      <c r="C17" s="5">
        <f t="shared" si="9"/>
        <v>62898.141796134143</v>
      </c>
      <c r="D17" s="5">
        <f t="shared" si="0"/>
        <v>60344.042139142897</v>
      </c>
      <c r="E17" s="5">
        <f t="shared" si="1"/>
        <v>50844.042139142897</v>
      </c>
      <c r="F17" s="5">
        <f t="shared" si="2"/>
        <v>18536.733972344446</v>
      </c>
      <c r="G17" s="5">
        <f t="shared" si="3"/>
        <v>41807.308166798452</v>
      </c>
      <c r="H17" s="22">
        <f t="shared" si="10"/>
        <v>28347.460238759191</v>
      </c>
      <c r="I17" s="5">
        <f t="shared" si="4"/>
        <v>68624.005552664647</v>
      </c>
      <c r="J17" s="26">
        <f t="shared" si="5"/>
        <v>0.20498927655133875</v>
      </c>
      <c r="L17" s="22">
        <f t="shared" si="11"/>
        <v>121416.02792526761</v>
      </c>
      <c r="M17" s="5">
        <f>scrimecost*Meta!O14</f>
        <v>2201.83</v>
      </c>
      <c r="N17" s="5">
        <f>L17-Grade10!L17</f>
        <v>4192.587023357657</v>
      </c>
      <c r="O17" s="5">
        <f>Grade10!M17-M17</f>
        <v>46.309999999999945</v>
      </c>
      <c r="P17" s="22">
        <f t="shared" si="12"/>
        <v>282.98685353524002</v>
      </c>
      <c r="Q17" s="22"/>
      <c r="R17" s="22"/>
      <c r="S17" s="22">
        <f t="shared" si="6"/>
        <v>3420.6973197639754</v>
      </c>
      <c r="T17" s="22">
        <f t="shared" si="7"/>
        <v>2325.9654088094508</v>
      </c>
    </row>
    <row r="18" spans="1:20" x14ac:dyDescent="0.2">
      <c r="A18" s="5">
        <v>27</v>
      </c>
      <c r="B18" s="1">
        <f t="shared" si="8"/>
        <v>1.2800845441963571</v>
      </c>
      <c r="C18" s="5">
        <f t="shared" si="9"/>
        <v>64470.5953410375</v>
      </c>
      <c r="D18" s="5">
        <f t="shared" si="0"/>
        <v>61831.583192621474</v>
      </c>
      <c r="E18" s="5">
        <f t="shared" si="1"/>
        <v>52331.583192621474</v>
      </c>
      <c r="F18" s="5">
        <f t="shared" si="2"/>
        <v>19171.170231653057</v>
      </c>
      <c r="G18" s="5">
        <f t="shared" si="3"/>
        <v>42660.412960968417</v>
      </c>
      <c r="H18" s="22">
        <f t="shared" si="10"/>
        <v>29056.146744728172</v>
      </c>
      <c r="I18" s="5">
        <f t="shared" si="4"/>
        <v>70147.527781481273</v>
      </c>
      <c r="J18" s="26">
        <f t="shared" si="5"/>
        <v>0.20716022983841556</v>
      </c>
      <c r="L18" s="22">
        <f t="shared" si="11"/>
        <v>124451.42862339929</v>
      </c>
      <c r="M18" s="5">
        <f>scrimecost*Meta!O15</f>
        <v>2201.83</v>
      </c>
      <c r="N18" s="5">
        <f>L18-Grade10!L18</f>
        <v>4297.4016989415832</v>
      </c>
      <c r="O18" s="5">
        <f>Grade10!M18-M18</f>
        <v>46.309999999999945</v>
      </c>
      <c r="P18" s="22">
        <f t="shared" si="12"/>
        <v>291.01847901608335</v>
      </c>
      <c r="Q18" s="22"/>
      <c r="R18" s="22"/>
      <c r="S18" s="22">
        <f t="shared" si="6"/>
        <v>3506.0179728176763</v>
      </c>
      <c r="T18" s="22">
        <f t="shared" si="7"/>
        <v>2293.7791611093694</v>
      </c>
    </row>
    <row r="19" spans="1:20" x14ac:dyDescent="0.2">
      <c r="A19" s="5">
        <v>28</v>
      </c>
      <c r="B19" s="1">
        <f t="shared" si="8"/>
        <v>1.312086657801266</v>
      </c>
      <c r="C19" s="5">
        <f t="shared" si="9"/>
        <v>66082.360224563425</v>
      </c>
      <c r="D19" s="5">
        <f t="shared" si="0"/>
        <v>63356.312772436999</v>
      </c>
      <c r="E19" s="5">
        <f t="shared" si="1"/>
        <v>53856.312772436999</v>
      </c>
      <c r="F19" s="5">
        <f t="shared" si="2"/>
        <v>19821.467397444379</v>
      </c>
      <c r="G19" s="5">
        <f t="shared" si="3"/>
        <v>43534.845374992619</v>
      </c>
      <c r="H19" s="22">
        <f t="shared" si="10"/>
        <v>29782.550413346376</v>
      </c>
      <c r="I19" s="5">
        <f t="shared" si="4"/>
        <v>71709.138066018291</v>
      </c>
      <c r="J19" s="26">
        <f t="shared" si="5"/>
        <v>0.20927823304531973</v>
      </c>
      <c r="L19" s="22">
        <f t="shared" si="11"/>
        <v>127562.71433898428</v>
      </c>
      <c r="M19" s="5">
        <f>scrimecost*Meta!O16</f>
        <v>2201.83</v>
      </c>
      <c r="N19" s="5">
        <f>L19-Grade10!L19</f>
        <v>4404.8367414151435</v>
      </c>
      <c r="O19" s="5">
        <f>Grade10!M19-M19</f>
        <v>46.309999999999945</v>
      </c>
      <c r="P19" s="22">
        <f t="shared" si="12"/>
        <v>299.25089513394778</v>
      </c>
      <c r="Q19" s="22"/>
      <c r="R19" s="22"/>
      <c r="S19" s="22">
        <f t="shared" si="6"/>
        <v>3593.4716421977464</v>
      </c>
      <c r="T19" s="22">
        <f t="shared" si="7"/>
        <v>2262.0413899484997</v>
      </c>
    </row>
    <row r="20" spans="1:20" x14ac:dyDescent="0.2">
      <c r="A20" s="5">
        <v>29</v>
      </c>
      <c r="B20" s="1">
        <f t="shared" si="8"/>
        <v>1.3448888242462975</v>
      </c>
      <c r="C20" s="5">
        <f t="shared" si="9"/>
        <v>67734.419230177518</v>
      </c>
      <c r="D20" s="5">
        <f t="shared" si="0"/>
        <v>64919.160591747932</v>
      </c>
      <c r="E20" s="5">
        <f t="shared" si="1"/>
        <v>55419.160591747932</v>
      </c>
      <c r="F20" s="5">
        <f t="shared" si="2"/>
        <v>20488.021992380491</v>
      </c>
      <c r="G20" s="5">
        <f t="shared" si="3"/>
        <v>44431.138599367441</v>
      </c>
      <c r="H20" s="22">
        <f t="shared" si="10"/>
        <v>30527.114173680035</v>
      </c>
      <c r="I20" s="5">
        <f t="shared" si="4"/>
        <v>73309.788607668757</v>
      </c>
      <c r="J20" s="26">
        <f t="shared" si="5"/>
        <v>0.21134457763742137</v>
      </c>
      <c r="L20" s="22">
        <f t="shared" si="11"/>
        <v>130751.78219745889</v>
      </c>
      <c r="M20" s="5">
        <f>scrimecost*Meta!O17</f>
        <v>2201.83</v>
      </c>
      <c r="N20" s="5">
        <f>L20-Grade10!L20</f>
        <v>4514.9576599505235</v>
      </c>
      <c r="O20" s="5">
        <f>Grade10!M20-M20</f>
        <v>46.309999999999945</v>
      </c>
      <c r="P20" s="22">
        <f t="shared" si="12"/>
        <v>307.68912165475882</v>
      </c>
      <c r="Q20" s="22"/>
      <c r="R20" s="22"/>
      <c r="S20" s="22">
        <f t="shared" si="6"/>
        <v>3683.111653312304</v>
      </c>
      <c r="T20" s="22">
        <f t="shared" si="7"/>
        <v>2230.7457299138182</v>
      </c>
    </row>
    <row r="21" spans="1:20" x14ac:dyDescent="0.2">
      <c r="A21" s="5">
        <v>30</v>
      </c>
      <c r="B21" s="1">
        <f t="shared" si="8"/>
        <v>1.3785110448524549</v>
      </c>
      <c r="C21" s="5">
        <f t="shared" si="9"/>
        <v>69427.779710931936</v>
      </c>
      <c r="D21" s="5">
        <f t="shared" si="0"/>
        <v>66521.079606541607</v>
      </c>
      <c r="E21" s="5">
        <f t="shared" si="1"/>
        <v>57021.079606541607</v>
      </c>
      <c r="F21" s="5">
        <f t="shared" si="2"/>
        <v>21171.240452189995</v>
      </c>
      <c r="G21" s="5">
        <f t="shared" si="3"/>
        <v>45349.839154351612</v>
      </c>
      <c r="H21" s="22">
        <f t="shared" si="10"/>
        <v>31290.292028022031</v>
      </c>
      <c r="I21" s="5">
        <f t="shared" si="4"/>
        <v>74950.45541286045</v>
      </c>
      <c r="J21" s="26">
        <f t="shared" si="5"/>
        <v>0.21336052358093516</v>
      </c>
      <c r="L21" s="22">
        <f t="shared" si="11"/>
        <v>134020.57675239534</v>
      </c>
      <c r="M21" s="5">
        <f>scrimecost*Meta!O18</f>
        <v>1775.0620000000001</v>
      </c>
      <c r="N21" s="5">
        <f>L21-Grade10!L21</f>
        <v>4627.8316014492739</v>
      </c>
      <c r="O21" s="5">
        <f>Grade10!M21-M21</f>
        <v>37.333999999999833</v>
      </c>
      <c r="P21" s="22">
        <f t="shared" si="12"/>
        <v>316.33830383859004</v>
      </c>
      <c r="Q21" s="22"/>
      <c r="R21" s="22"/>
      <c r="S21" s="22">
        <f t="shared" si="6"/>
        <v>3766.1961847047155</v>
      </c>
      <c r="T21" s="22">
        <f t="shared" si="7"/>
        <v>2194.7597407566782</v>
      </c>
    </row>
    <row r="22" spans="1:20" x14ac:dyDescent="0.2">
      <c r="A22" s="5">
        <v>31</v>
      </c>
      <c r="B22" s="1">
        <f t="shared" si="8"/>
        <v>1.4129738209737661</v>
      </c>
      <c r="C22" s="5">
        <f t="shared" si="9"/>
        <v>71163.474203705235</v>
      </c>
      <c r="D22" s="5">
        <f t="shared" si="0"/>
        <v>68163.046596705142</v>
      </c>
      <c r="E22" s="5">
        <f t="shared" si="1"/>
        <v>58663.046596705142</v>
      </c>
      <c r="F22" s="5">
        <f t="shared" si="2"/>
        <v>21871.539373494743</v>
      </c>
      <c r="G22" s="5">
        <f t="shared" si="3"/>
        <v>46291.507223210399</v>
      </c>
      <c r="H22" s="22">
        <f t="shared" si="10"/>
        <v>32072.54932872258</v>
      </c>
      <c r="I22" s="5">
        <f t="shared" si="4"/>
        <v>76632.138888181958</v>
      </c>
      <c r="J22" s="26">
        <f t="shared" si="5"/>
        <v>0.2153273001111925</v>
      </c>
      <c r="L22" s="22">
        <f t="shared" si="11"/>
        <v>137371.09117120522</v>
      </c>
      <c r="M22" s="5">
        <f>scrimecost*Meta!O19</f>
        <v>1775.0620000000001</v>
      </c>
      <c r="N22" s="5">
        <f>L22-Grade10!L22</f>
        <v>4743.5273914854915</v>
      </c>
      <c r="O22" s="5">
        <f>Grade10!M22-M22</f>
        <v>37.333999999999833</v>
      </c>
      <c r="P22" s="22">
        <f t="shared" si="12"/>
        <v>325.20371557701714</v>
      </c>
      <c r="Q22" s="22"/>
      <c r="R22" s="22"/>
      <c r="S22" s="22">
        <f t="shared" si="6"/>
        <v>3860.374221381936</v>
      </c>
      <c r="T22" s="22">
        <f t="shared" si="7"/>
        <v>2164.5235404950495</v>
      </c>
    </row>
    <row r="23" spans="1:20" x14ac:dyDescent="0.2">
      <c r="A23" s="5">
        <v>32</v>
      </c>
      <c r="B23" s="1">
        <f t="shared" si="8"/>
        <v>1.4482981664981105</v>
      </c>
      <c r="C23" s="5">
        <f t="shared" si="9"/>
        <v>72942.561058797888</v>
      </c>
      <c r="D23" s="5">
        <f t="shared" si="0"/>
        <v>69846.062761622787</v>
      </c>
      <c r="E23" s="5">
        <f t="shared" si="1"/>
        <v>60346.062761622787</v>
      </c>
      <c r="F23" s="5">
        <f t="shared" si="2"/>
        <v>22589.345767832117</v>
      </c>
      <c r="G23" s="5">
        <f t="shared" si="3"/>
        <v>47256.716993790673</v>
      </c>
      <c r="H23" s="22">
        <f t="shared" si="10"/>
        <v>32874.363061940647</v>
      </c>
      <c r="I23" s="5">
        <f t="shared" si="4"/>
        <v>78355.864450386522</v>
      </c>
      <c r="J23" s="26">
        <f t="shared" si="5"/>
        <v>0.21724610648217529</v>
      </c>
      <c r="L23" s="22">
        <f t="shared" si="11"/>
        <v>140805.36845048537</v>
      </c>
      <c r="M23" s="5">
        <f>scrimecost*Meta!O20</f>
        <v>1775.0620000000001</v>
      </c>
      <c r="N23" s="5">
        <f>L23-Grade10!L23</f>
        <v>4862.1155762726557</v>
      </c>
      <c r="O23" s="5">
        <f>Grade10!M23-M23</f>
        <v>37.333999999999833</v>
      </c>
      <c r="P23" s="22">
        <f t="shared" si="12"/>
        <v>334.29076260890497</v>
      </c>
      <c r="Q23" s="22"/>
      <c r="R23" s="22"/>
      <c r="S23" s="22">
        <f t="shared" si="6"/>
        <v>3956.9067089761174</v>
      </c>
      <c r="T23" s="22">
        <f t="shared" si="7"/>
        <v>2134.7035784599843</v>
      </c>
    </row>
    <row r="24" spans="1:20" x14ac:dyDescent="0.2">
      <c r="A24" s="5">
        <v>33</v>
      </c>
      <c r="B24" s="1">
        <f t="shared" si="8"/>
        <v>1.4845056206605631</v>
      </c>
      <c r="C24" s="5">
        <f t="shared" si="9"/>
        <v>74766.12508526782</v>
      </c>
      <c r="D24" s="5">
        <f t="shared" si="0"/>
        <v>71571.154330663354</v>
      </c>
      <c r="E24" s="5">
        <f t="shared" si="1"/>
        <v>62071.154330663354</v>
      </c>
      <c r="F24" s="5">
        <f t="shared" si="2"/>
        <v>23325.097322027919</v>
      </c>
      <c r="G24" s="5">
        <f t="shared" si="3"/>
        <v>48246.057008635435</v>
      </c>
      <c r="H24" s="22">
        <f t="shared" si="10"/>
        <v>33696.22213848916</v>
      </c>
      <c r="I24" s="5">
        <f t="shared" si="4"/>
        <v>80122.683151646183</v>
      </c>
      <c r="J24" s="26">
        <f t="shared" si="5"/>
        <v>0.21911811269776832</v>
      </c>
      <c r="L24" s="22">
        <f t="shared" si="11"/>
        <v>144325.50266174748</v>
      </c>
      <c r="M24" s="5">
        <f>scrimecost*Meta!O21</f>
        <v>1775.0620000000001</v>
      </c>
      <c r="N24" s="5">
        <f>L24-Grade10!L24</f>
        <v>4983.6684656794532</v>
      </c>
      <c r="O24" s="5">
        <f>Grade10!M24-M24</f>
        <v>37.333999999999833</v>
      </c>
      <c r="P24" s="22">
        <f t="shared" si="12"/>
        <v>343.60498581658993</v>
      </c>
      <c r="Q24" s="22"/>
      <c r="R24" s="22"/>
      <c r="S24" s="22">
        <f t="shared" si="6"/>
        <v>4055.8525087601197</v>
      </c>
      <c r="T24" s="22">
        <f t="shared" si="7"/>
        <v>2105.2941364363351</v>
      </c>
    </row>
    <row r="25" spans="1:20" x14ac:dyDescent="0.2">
      <c r="A25" s="5">
        <v>34</v>
      </c>
      <c r="B25" s="1">
        <f t="shared" si="8"/>
        <v>1.521618261177077</v>
      </c>
      <c r="C25" s="5">
        <f t="shared" si="9"/>
        <v>76635.278212399513</v>
      </c>
      <c r="D25" s="5">
        <f t="shared" si="0"/>
        <v>73339.373188929923</v>
      </c>
      <c r="E25" s="5">
        <f t="shared" si="1"/>
        <v>63839.373188929923</v>
      </c>
      <c r="F25" s="5">
        <f t="shared" si="2"/>
        <v>24079.242665078615</v>
      </c>
      <c r="G25" s="5">
        <f t="shared" si="3"/>
        <v>49260.130523851309</v>
      </c>
      <c r="H25" s="22">
        <f t="shared" si="10"/>
        <v>34538.627691951384</v>
      </c>
      <c r="I25" s="5">
        <f t="shared" si="4"/>
        <v>81933.672320437312</v>
      </c>
      <c r="J25" s="26">
        <f t="shared" si="5"/>
        <v>0.22094446022517611</v>
      </c>
      <c r="L25" s="22">
        <f t="shared" si="11"/>
        <v>147933.64022829116</v>
      </c>
      <c r="M25" s="5">
        <f>scrimecost*Meta!O22</f>
        <v>1775.0620000000001</v>
      </c>
      <c r="N25" s="5">
        <f>L25-Grade10!L25</f>
        <v>5108.260177321441</v>
      </c>
      <c r="O25" s="5">
        <f>Grade10!M25-M25</f>
        <v>37.333999999999833</v>
      </c>
      <c r="P25" s="22">
        <f t="shared" si="12"/>
        <v>353.152064604467</v>
      </c>
      <c r="Q25" s="22"/>
      <c r="R25" s="22"/>
      <c r="S25" s="22">
        <f t="shared" si="6"/>
        <v>4157.2719535387369</v>
      </c>
      <c r="T25" s="22">
        <f t="shared" si="7"/>
        <v>2076.2895743174836</v>
      </c>
    </row>
    <row r="26" spans="1:20" x14ac:dyDescent="0.2">
      <c r="A26" s="5">
        <v>35</v>
      </c>
      <c r="B26" s="1">
        <f t="shared" si="8"/>
        <v>1.559658717706504</v>
      </c>
      <c r="C26" s="5">
        <f t="shared" si="9"/>
        <v>78551.160167709488</v>
      </c>
      <c r="D26" s="5">
        <f t="shared" si="0"/>
        <v>75151.797518653169</v>
      </c>
      <c r="E26" s="5">
        <f t="shared" si="1"/>
        <v>65651.797518653169</v>
      </c>
      <c r="F26" s="5">
        <f t="shared" si="2"/>
        <v>24852.241641705579</v>
      </c>
      <c r="G26" s="5">
        <f t="shared" si="3"/>
        <v>50299.55587694759</v>
      </c>
      <c r="H26" s="22">
        <f t="shared" si="10"/>
        <v>35402.093384250169</v>
      </c>
      <c r="I26" s="5">
        <f t="shared" si="4"/>
        <v>83789.936218448245</v>
      </c>
      <c r="J26" s="26">
        <f t="shared" si="5"/>
        <v>0.22272626269093979</v>
      </c>
      <c r="L26" s="22">
        <f t="shared" si="11"/>
        <v>151631.98123399846</v>
      </c>
      <c r="M26" s="5">
        <f>scrimecost*Meta!O23</f>
        <v>1377.5819999999999</v>
      </c>
      <c r="N26" s="5">
        <f>L26-Grade10!L26</f>
        <v>5235.9666817544785</v>
      </c>
      <c r="O26" s="5">
        <f>Grade10!M26-M26</f>
        <v>28.97400000000016</v>
      </c>
      <c r="P26" s="22">
        <f t="shared" si="12"/>
        <v>362.93782036204107</v>
      </c>
      <c r="Q26" s="22"/>
      <c r="R26" s="22"/>
      <c r="S26" s="22">
        <f t="shared" si="6"/>
        <v>4253.0340844368193</v>
      </c>
      <c r="T26" s="22">
        <f t="shared" si="7"/>
        <v>2043.7473717831226</v>
      </c>
    </row>
    <row r="27" spans="1:20" x14ac:dyDescent="0.2">
      <c r="A27" s="5">
        <v>36</v>
      </c>
      <c r="B27" s="1">
        <f t="shared" si="8"/>
        <v>1.5986501856491666</v>
      </c>
      <c r="C27" s="5">
        <f t="shared" si="9"/>
        <v>80514.939171902239</v>
      </c>
      <c r="D27" s="5">
        <f t="shared" si="0"/>
        <v>77009.532456619505</v>
      </c>
      <c r="E27" s="5">
        <f t="shared" si="1"/>
        <v>67509.532456619505</v>
      </c>
      <c r="F27" s="5">
        <f t="shared" si="2"/>
        <v>25644.565592748222</v>
      </c>
      <c r="G27" s="5">
        <f t="shared" si="3"/>
        <v>51364.966863871283</v>
      </c>
      <c r="H27" s="22">
        <f t="shared" si="10"/>
        <v>36287.145718856424</v>
      </c>
      <c r="I27" s="5">
        <f t="shared" si="4"/>
        <v>85692.606713909452</v>
      </c>
      <c r="J27" s="26">
        <f t="shared" si="5"/>
        <v>0.22446460655997755</v>
      </c>
      <c r="L27" s="22">
        <f t="shared" si="11"/>
        <v>155422.7807648484</v>
      </c>
      <c r="M27" s="5">
        <f>scrimecost*Meta!O24</f>
        <v>1377.5819999999999</v>
      </c>
      <c r="N27" s="5">
        <f>L27-Grade10!L27</f>
        <v>5366.8658487983339</v>
      </c>
      <c r="O27" s="5">
        <f>Grade10!M27-M27</f>
        <v>28.97400000000016</v>
      </c>
      <c r="P27" s="22">
        <f t="shared" si="12"/>
        <v>372.96822001355446</v>
      </c>
      <c r="Q27" s="22"/>
      <c r="R27" s="22"/>
      <c r="S27" s="22">
        <f t="shared" si="6"/>
        <v>4359.5878886073478</v>
      </c>
      <c r="T27" s="22">
        <f t="shared" si="7"/>
        <v>2015.6849171865497</v>
      </c>
    </row>
    <row r="28" spans="1:20" x14ac:dyDescent="0.2">
      <c r="A28" s="5">
        <v>37</v>
      </c>
      <c r="B28" s="1">
        <f t="shared" si="8"/>
        <v>1.6386164402903955</v>
      </c>
      <c r="C28" s="5">
        <f t="shared" si="9"/>
        <v>82527.812651199769</v>
      </c>
      <c r="D28" s="5">
        <f t="shared" si="0"/>
        <v>78913.710768034973</v>
      </c>
      <c r="E28" s="5">
        <f t="shared" si="1"/>
        <v>69413.710768034973</v>
      </c>
      <c r="F28" s="5">
        <f t="shared" si="2"/>
        <v>26456.697642566916</v>
      </c>
      <c r="G28" s="5">
        <f t="shared" si="3"/>
        <v>52457.01312546806</v>
      </c>
      <c r="H28" s="22">
        <f t="shared" si="10"/>
        <v>37194.324361827828</v>
      </c>
      <c r="I28" s="5">
        <f t="shared" si="4"/>
        <v>87642.843971757189</v>
      </c>
      <c r="J28" s="26">
        <f t="shared" si="5"/>
        <v>0.22616055179806313</v>
      </c>
      <c r="L28" s="22">
        <f t="shared" si="11"/>
        <v>159308.3502839696</v>
      </c>
      <c r="M28" s="5">
        <f>scrimecost*Meta!O25</f>
        <v>1377.5819999999999</v>
      </c>
      <c r="N28" s="5">
        <f>L28-Grade10!L28</f>
        <v>5501.0374950183323</v>
      </c>
      <c r="O28" s="5">
        <f>Grade10!M28-M28</f>
        <v>28.97400000000016</v>
      </c>
      <c r="P28" s="22">
        <f t="shared" si="12"/>
        <v>383.24937965635553</v>
      </c>
      <c r="Q28" s="22"/>
      <c r="R28" s="22"/>
      <c r="S28" s="22">
        <f t="shared" si="6"/>
        <v>4468.8055378821755</v>
      </c>
      <c r="T28" s="22">
        <f t="shared" si="7"/>
        <v>1988.0052442310391</v>
      </c>
    </row>
    <row r="29" spans="1:20" x14ac:dyDescent="0.2">
      <c r="A29" s="5">
        <v>38</v>
      </c>
      <c r="B29" s="1">
        <f t="shared" si="8"/>
        <v>1.6795818512976552</v>
      </c>
      <c r="C29" s="5">
        <f t="shared" si="9"/>
        <v>84591.00796747976</v>
      </c>
      <c r="D29" s="5">
        <f t="shared" si="0"/>
        <v>80865.493537235845</v>
      </c>
      <c r="E29" s="5">
        <f t="shared" si="1"/>
        <v>71365.493537235845</v>
      </c>
      <c r="F29" s="5">
        <f t="shared" si="2"/>
        <v>27289.132993631087</v>
      </c>
      <c r="G29" s="5">
        <f t="shared" si="3"/>
        <v>53576.360543604758</v>
      </c>
      <c r="H29" s="22">
        <f t="shared" si="10"/>
        <v>38124.182470873522</v>
      </c>
      <c r="I29" s="5">
        <f t="shared" si="4"/>
        <v>89641.837161051109</v>
      </c>
      <c r="J29" s="26">
        <f t="shared" si="5"/>
        <v>0.22781513251814661</v>
      </c>
      <c r="L29" s="22">
        <f t="shared" si="11"/>
        <v>163291.0590410688</v>
      </c>
      <c r="M29" s="5">
        <f>scrimecost*Meta!O26</f>
        <v>1377.5819999999999</v>
      </c>
      <c r="N29" s="5">
        <f>L29-Grade10!L29</f>
        <v>5638.5634323937411</v>
      </c>
      <c r="O29" s="5">
        <f>Grade10!M29-M29</f>
        <v>28.97400000000016</v>
      </c>
      <c r="P29" s="22">
        <f t="shared" si="12"/>
        <v>393.78756829022666</v>
      </c>
      <c r="Q29" s="22"/>
      <c r="R29" s="22"/>
      <c r="S29" s="22">
        <f t="shared" si="6"/>
        <v>4580.7536283888057</v>
      </c>
      <c r="T29" s="22">
        <f t="shared" si="7"/>
        <v>1960.7032281311192</v>
      </c>
    </row>
    <row r="30" spans="1:20" x14ac:dyDescent="0.2">
      <c r="A30" s="5">
        <v>39</v>
      </c>
      <c r="B30" s="1">
        <f t="shared" si="8"/>
        <v>1.7215713975800966</v>
      </c>
      <c r="C30" s="5">
        <f t="shared" si="9"/>
        <v>86705.783166666748</v>
      </c>
      <c r="D30" s="5">
        <f t="shared" si="0"/>
        <v>82866.07087566673</v>
      </c>
      <c r="E30" s="5">
        <f t="shared" si="1"/>
        <v>73366.07087566673</v>
      </c>
      <c r="F30" s="5">
        <f t="shared" si="2"/>
        <v>28142.379228471862</v>
      </c>
      <c r="G30" s="5">
        <f t="shared" si="3"/>
        <v>54723.691647194864</v>
      </c>
      <c r="H30" s="22">
        <f t="shared" si="10"/>
        <v>39077.287032645356</v>
      </c>
      <c r="I30" s="5">
        <f t="shared" si="4"/>
        <v>91690.805180077368</v>
      </c>
      <c r="J30" s="26">
        <f t="shared" si="5"/>
        <v>0.22942935761091104</v>
      </c>
      <c r="L30" s="22">
        <f t="shared" si="11"/>
        <v>167373.33551709552</v>
      </c>
      <c r="M30" s="5">
        <f>scrimecost*Meta!O27</f>
        <v>1377.5819999999999</v>
      </c>
      <c r="N30" s="5">
        <f>L30-Grade10!L30</f>
        <v>5779.5275182035693</v>
      </c>
      <c r="O30" s="5">
        <f>Grade10!M30-M30</f>
        <v>28.97400000000016</v>
      </c>
      <c r="P30" s="22">
        <f t="shared" si="12"/>
        <v>404.58921163994472</v>
      </c>
      <c r="Q30" s="22"/>
      <c r="R30" s="22"/>
      <c r="S30" s="22">
        <f t="shared" si="6"/>
        <v>4695.5004211581272</v>
      </c>
      <c r="T30" s="22">
        <f t="shared" si="7"/>
        <v>1933.7738090245816</v>
      </c>
    </row>
    <row r="31" spans="1:20" x14ac:dyDescent="0.2">
      <c r="A31" s="5">
        <v>40</v>
      </c>
      <c r="B31" s="1">
        <f t="shared" si="8"/>
        <v>1.7646106825195991</v>
      </c>
      <c r="C31" s="5">
        <f t="shared" si="9"/>
        <v>88873.427745833425</v>
      </c>
      <c r="D31" s="5">
        <f t="shared" si="0"/>
        <v>84916.662647558405</v>
      </c>
      <c r="E31" s="5">
        <f t="shared" si="1"/>
        <v>75416.662647558405</v>
      </c>
      <c r="F31" s="5">
        <f t="shared" si="2"/>
        <v>29016.95661918366</v>
      </c>
      <c r="G31" s="5">
        <f t="shared" si="3"/>
        <v>55899.706028374741</v>
      </c>
      <c r="H31" s="22">
        <f t="shared" si="10"/>
        <v>40054.219208461494</v>
      </c>
      <c r="I31" s="5">
        <f t="shared" si="4"/>
        <v>93790.997399579312</v>
      </c>
      <c r="J31" s="26">
        <f t="shared" si="5"/>
        <v>0.23100421135994947</v>
      </c>
      <c r="L31" s="22">
        <f t="shared" si="11"/>
        <v>171557.6689050229</v>
      </c>
      <c r="M31" s="5">
        <f>scrimecost*Meta!O28</f>
        <v>1204.992</v>
      </c>
      <c r="N31" s="5">
        <f>L31-Grade10!L31</f>
        <v>5924.0157061586797</v>
      </c>
      <c r="O31" s="5">
        <f>Grade10!M31-M31</f>
        <v>25.344000000000051</v>
      </c>
      <c r="P31" s="22">
        <f t="shared" si="12"/>
        <v>415.66089607340564</v>
      </c>
      <c r="Q31" s="22"/>
      <c r="R31" s="22"/>
      <c r="S31" s="22">
        <f t="shared" si="6"/>
        <v>4809.5584837467095</v>
      </c>
      <c r="T31" s="22">
        <f t="shared" si="7"/>
        <v>1905.802360588272</v>
      </c>
    </row>
    <row r="32" spans="1:20" x14ac:dyDescent="0.2">
      <c r="A32" s="5">
        <v>41</v>
      </c>
      <c r="B32" s="1">
        <f t="shared" si="8"/>
        <v>1.8087259495825889</v>
      </c>
      <c r="C32" s="5">
        <f t="shared" si="9"/>
        <v>91095.263439479269</v>
      </c>
      <c r="D32" s="5">
        <f t="shared" si="0"/>
        <v>87018.519213747379</v>
      </c>
      <c r="E32" s="5">
        <f t="shared" si="1"/>
        <v>77518.519213747379</v>
      </c>
      <c r="F32" s="5">
        <f t="shared" si="2"/>
        <v>29913.398444663257</v>
      </c>
      <c r="G32" s="5">
        <f t="shared" si="3"/>
        <v>57105.120769084126</v>
      </c>
      <c r="H32" s="22">
        <f t="shared" si="10"/>
        <v>41055.574688673034</v>
      </c>
      <c r="I32" s="5">
        <f t="shared" si="4"/>
        <v>95943.694424568821</v>
      </c>
      <c r="J32" s="26">
        <f t="shared" si="5"/>
        <v>0.23254065404193819</v>
      </c>
      <c r="L32" s="22">
        <f t="shared" si="11"/>
        <v>175846.61062764848</v>
      </c>
      <c r="M32" s="5">
        <f>scrimecost*Meta!O29</f>
        <v>1204.992</v>
      </c>
      <c r="N32" s="5">
        <f>L32-Grade10!L32</f>
        <v>6072.116098812694</v>
      </c>
      <c r="O32" s="5">
        <f>Grade10!M32-M32</f>
        <v>25.344000000000051</v>
      </c>
      <c r="P32" s="22">
        <f t="shared" si="12"/>
        <v>427.00937261770309</v>
      </c>
      <c r="Q32" s="22"/>
      <c r="R32" s="22"/>
      <c r="S32" s="22">
        <f t="shared" si="6"/>
        <v>4930.1143329000251</v>
      </c>
      <c r="T32" s="22">
        <f t="shared" si="7"/>
        <v>1879.6565477279726</v>
      </c>
    </row>
    <row r="33" spans="1:20" x14ac:dyDescent="0.2">
      <c r="A33" s="5">
        <v>42</v>
      </c>
      <c r="B33" s="1">
        <f t="shared" si="8"/>
        <v>1.8539440983221533</v>
      </c>
      <c r="C33" s="5">
        <f t="shared" si="9"/>
        <v>93372.64502546622</v>
      </c>
      <c r="D33" s="5">
        <f t="shared" si="0"/>
        <v>89172.922194091036</v>
      </c>
      <c r="E33" s="5">
        <f t="shared" si="1"/>
        <v>79672.922194091036</v>
      </c>
      <c r="F33" s="5">
        <f t="shared" si="2"/>
        <v>30832.251315779828</v>
      </c>
      <c r="G33" s="5">
        <f t="shared" si="3"/>
        <v>58340.670878311212</v>
      </c>
      <c r="H33" s="22">
        <f t="shared" si="10"/>
        <v>42081.964055889846</v>
      </c>
      <c r="I33" s="5">
        <f t="shared" si="4"/>
        <v>98150.208875183002</v>
      </c>
      <c r="J33" s="26">
        <f t="shared" si="5"/>
        <v>0.23403962251217111</v>
      </c>
      <c r="L33" s="22">
        <f t="shared" si="11"/>
        <v>180242.77589333968</v>
      </c>
      <c r="M33" s="5">
        <f>scrimecost*Meta!O30</f>
        <v>1204.992</v>
      </c>
      <c r="N33" s="5">
        <f>L33-Grade10!L33</f>
        <v>6223.9190012830077</v>
      </c>
      <c r="O33" s="5">
        <f>Grade10!M33-M33</f>
        <v>25.344000000000051</v>
      </c>
      <c r="P33" s="22">
        <f t="shared" si="12"/>
        <v>438.64156107560808</v>
      </c>
      <c r="Q33" s="22"/>
      <c r="R33" s="22"/>
      <c r="S33" s="22">
        <f t="shared" si="6"/>
        <v>5053.6840782821364</v>
      </c>
      <c r="T33" s="22">
        <f t="shared" si="7"/>
        <v>1853.8665169991511</v>
      </c>
    </row>
    <row r="34" spans="1:20" x14ac:dyDescent="0.2">
      <c r="A34" s="5">
        <v>43</v>
      </c>
      <c r="B34" s="1">
        <f t="shared" si="8"/>
        <v>1.9002927007802071</v>
      </c>
      <c r="C34" s="5">
        <f t="shared" si="9"/>
        <v>95706.961151102878</v>
      </c>
      <c r="D34" s="5">
        <f t="shared" si="0"/>
        <v>91381.185248943308</v>
      </c>
      <c r="E34" s="5">
        <f t="shared" si="1"/>
        <v>81881.185248943308</v>
      </c>
      <c r="F34" s="5">
        <f t="shared" si="2"/>
        <v>31774.075508674319</v>
      </c>
      <c r="G34" s="5">
        <f t="shared" si="3"/>
        <v>59607.109740268992</v>
      </c>
      <c r="H34" s="22">
        <f t="shared" si="10"/>
        <v>43134.013157287096</v>
      </c>
      <c r="I34" s="5">
        <f t="shared" si="4"/>
        <v>100411.88618706258</v>
      </c>
      <c r="J34" s="26">
        <f t="shared" si="5"/>
        <v>0.23550203077581297</v>
      </c>
      <c r="L34" s="22">
        <f t="shared" si="11"/>
        <v>184748.84529067314</v>
      </c>
      <c r="M34" s="5">
        <f>scrimecost*Meta!O31</f>
        <v>1204.992</v>
      </c>
      <c r="N34" s="5">
        <f>L34-Grade10!L34</f>
        <v>6379.5169763150625</v>
      </c>
      <c r="O34" s="5">
        <f>Grade10!M34-M34</f>
        <v>25.344000000000051</v>
      </c>
      <c r="P34" s="22">
        <f t="shared" si="12"/>
        <v>450.5645542449605</v>
      </c>
      <c r="Q34" s="22"/>
      <c r="R34" s="22"/>
      <c r="S34" s="22">
        <f t="shared" si="6"/>
        <v>5180.343067298787</v>
      </c>
      <c r="T34" s="22">
        <f t="shared" si="7"/>
        <v>1828.4275378129626</v>
      </c>
    </row>
    <row r="35" spans="1:20" x14ac:dyDescent="0.2">
      <c r="A35" s="5">
        <v>44</v>
      </c>
      <c r="B35" s="1">
        <f t="shared" si="8"/>
        <v>1.9478000182997122</v>
      </c>
      <c r="C35" s="5">
        <f t="shared" si="9"/>
        <v>98099.635179880439</v>
      </c>
      <c r="D35" s="5">
        <f t="shared" si="0"/>
        <v>93644.654880166883</v>
      </c>
      <c r="E35" s="5">
        <f t="shared" si="1"/>
        <v>84144.654880166883</v>
      </c>
      <c r="F35" s="5">
        <f t="shared" si="2"/>
        <v>32755.784952796181</v>
      </c>
      <c r="G35" s="5">
        <f t="shared" si="3"/>
        <v>60888.869927370702</v>
      </c>
      <c r="H35" s="22">
        <f t="shared" si="10"/>
        <v>44212.36348621927</v>
      </c>
      <c r="I35" s="5">
        <f t="shared" si="4"/>
        <v>102713.76578533414</v>
      </c>
      <c r="J35" s="26">
        <f t="shared" si="5"/>
        <v>0.23705014016728634</v>
      </c>
      <c r="L35" s="22">
        <f t="shared" si="11"/>
        <v>189367.56642293997</v>
      </c>
      <c r="M35" s="5">
        <f>scrimecost*Meta!O32</f>
        <v>1204.992</v>
      </c>
      <c r="N35" s="5">
        <f>L35-Grade10!L35</f>
        <v>6539.0049007229391</v>
      </c>
      <c r="O35" s="5">
        <f>Grade10!M35-M35</f>
        <v>25.344000000000051</v>
      </c>
      <c r="P35" s="22">
        <f t="shared" si="12"/>
        <v>462.99247347326286</v>
      </c>
      <c r="Q35" s="22"/>
      <c r="R35" s="22"/>
      <c r="S35" s="22">
        <f t="shared" si="6"/>
        <v>5310.3712452459922</v>
      </c>
      <c r="T35" s="22">
        <f t="shared" si="7"/>
        <v>1803.4037800445749</v>
      </c>
    </row>
    <row r="36" spans="1:20" x14ac:dyDescent="0.2">
      <c r="A36" s="5">
        <v>45</v>
      </c>
      <c r="B36" s="1">
        <f t="shared" si="8"/>
        <v>1.9964950187572048</v>
      </c>
      <c r="C36" s="5">
        <f t="shared" si="9"/>
        <v>100552.12605937744</v>
      </c>
      <c r="D36" s="5">
        <f t="shared" si="0"/>
        <v>95964.711252171037</v>
      </c>
      <c r="E36" s="5">
        <f t="shared" si="1"/>
        <v>86464.711252171037</v>
      </c>
      <c r="F36" s="5">
        <f t="shared" si="2"/>
        <v>33814.890686616076</v>
      </c>
      <c r="G36" s="5">
        <f t="shared" si="3"/>
        <v>62149.820565554961</v>
      </c>
      <c r="H36" s="22">
        <f t="shared" si="10"/>
        <v>45317.672573374744</v>
      </c>
      <c r="I36" s="5">
        <f t="shared" si="4"/>
        <v>105020.33881996747</v>
      </c>
      <c r="J36" s="26">
        <f t="shared" si="5"/>
        <v>0.23894350745987841</v>
      </c>
      <c r="L36" s="22">
        <f t="shared" si="11"/>
        <v>194101.75558351344</v>
      </c>
      <c r="M36" s="5">
        <f>scrimecost*Meta!O33</f>
        <v>973.82600000000002</v>
      </c>
      <c r="N36" s="5">
        <f>L36-Grade10!L36</f>
        <v>6702.4800232409325</v>
      </c>
      <c r="O36" s="5">
        <f>Grade10!M36-M36</f>
        <v>20.482000000000085</v>
      </c>
      <c r="P36" s="22">
        <f t="shared" si="12"/>
        <v>476.40018854920311</v>
      </c>
      <c r="Q36" s="22"/>
      <c r="R36" s="22"/>
      <c r="S36" s="22">
        <f t="shared" si="6"/>
        <v>5439.5410835514094</v>
      </c>
      <c r="T36" s="22">
        <f t="shared" si="7"/>
        <v>1777.3756001503443</v>
      </c>
    </row>
    <row r="37" spans="1:20" x14ac:dyDescent="0.2">
      <c r="A37" s="5">
        <v>46</v>
      </c>
      <c r="B37" s="1">
        <f t="shared" ref="B37:B56" si="13">(1+experiencepremium)^(A37-startage)</f>
        <v>2.0464073942261352</v>
      </c>
      <c r="C37" s="5">
        <f t="shared" ref="C37:C56" si="14">pretaxincome*B37/expnorm</f>
        <v>103065.9292108619</v>
      </c>
      <c r="D37" s="5">
        <f t="shared" ref="D37:D56" si="15">IF(A37&lt;startage,1,0)*(C37*(1-initialunempprob))+IF(A37=startage,1,0)*(C37*(1-unempprob))+IF(A37&gt;startage,1,0)*(C37*(1-unempprob)+unempprob*300*52)</f>
        <v>98342.769033475342</v>
      </c>
      <c r="E37" s="5">
        <f t="shared" si="1"/>
        <v>88842.769033475342</v>
      </c>
      <c r="F37" s="5">
        <f t="shared" si="2"/>
        <v>34900.474063781498</v>
      </c>
      <c r="G37" s="5">
        <f t="shared" si="3"/>
        <v>63442.294969693845</v>
      </c>
      <c r="H37" s="22">
        <f t="shared" ref="H37:H56" si="16">benefits*B37/expnorm</f>
        <v>46450.614387709116</v>
      </c>
      <c r="I37" s="5">
        <f t="shared" ref="I37:I56" si="17">G37+IF(A37&lt;startage,1,0)*(H37*(1-initialunempprob))+IF(A37&gt;=startage,1,0)*(H37*(1-unempprob))</f>
        <v>107384.57618046667</v>
      </c>
      <c r="J37" s="26">
        <f t="shared" si="5"/>
        <v>0.24079069506240736</v>
      </c>
      <c r="L37" s="22">
        <f t="shared" ref="L37:L56" si="18">(sincome+sbenefits)*(1-sunemp)*B37/expnorm</f>
        <v>198954.2994731013</v>
      </c>
      <c r="M37" s="5">
        <f>scrimecost*Meta!O34</f>
        <v>973.82600000000002</v>
      </c>
      <c r="N37" s="5">
        <f>L37-Grade10!L37</f>
        <v>6870.042023822054</v>
      </c>
      <c r="O37" s="5">
        <f>Grade10!M37-M37</f>
        <v>20.482000000000085</v>
      </c>
      <c r="P37" s="22">
        <f t="shared" si="12"/>
        <v>490.14309650204211</v>
      </c>
      <c r="Q37" s="22"/>
      <c r="R37" s="22"/>
      <c r="S37" s="22">
        <f t="shared" si="6"/>
        <v>5576.8240468145923</v>
      </c>
      <c r="T37" s="22">
        <f t="shared" si="7"/>
        <v>1753.2859615604091</v>
      </c>
    </row>
    <row r="38" spans="1:20" x14ac:dyDescent="0.2">
      <c r="A38" s="5">
        <v>47</v>
      </c>
      <c r="B38" s="1">
        <f t="shared" si="13"/>
        <v>2.097567579081788</v>
      </c>
      <c r="C38" s="5">
        <f t="shared" si="14"/>
        <v>105642.57744113341</v>
      </c>
      <c r="D38" s="5">
        <f t="shared" si="15"/>
        <v>100780.2782593122</v>
      </c>
      <c r="E38" s="5">
        <f t="shared" si="1"/>
        <v>91280.278259312196</v>
      </c>
      <c r="F38" s="5">
        <f t="shared" si="2"/>
        <v>36013.197025376016</v>
      </c>
      <c r="G38" s="5">
        <f t="shared" si="3"/>
        <v>64767.08123393618</v>
      </c>
      <c r="H38" s="22">
        <f t="shared" si="16"/>
        <v>47611.879747401836</v>
      </c>
      <c r="I38" s="5">
        <f t="shared" si="17"/>
        <v>109807.91947497832</v>
      </c>
      <c r="J38" s="26">
        <f t="shared" si="5"/>
        <v>0.24259282930877688</v>
      </c>
      <c r="L38" s="22">
        <f t="shared" si="18"/>
        <v>203928.15695992881</v>
      </c>
      <c r="M38" s="5">
        <f>scrimecost*Meta!O35</f>
        <v>973.82600000000002</v>
      </c>
      <c r="N38" s="5">
        <f>L38-Grade10!L38</f>
        <v>7041.7930744175392</v>
      </c>
      <c r="O38" s="5">
        <f>Grade10!M38-M38</f>
        <v>20.482000000000085</v>
      </c>
      <c r="P38" s="22">
        <f t="shared" si="12"/>
        <v>504.22957715370165</v>
      </c>
      <c r="Q38" s="22"/>
      <c r="R38" s="22"/>
      <c r="S38" s="22">
        <f t="shared" si="6"/>
        <v>5717.5390841592352</v>
      </c>
      <c r="T38" s="22">
        <f t="shared" si="7"/>
        <v>1729.5129394838873</v>
      </c>
    </row>
    <row r="39" spans="1:20" x14ac:dyDescent="0.2">
      <c r="A39" s="5">
        <v>48</v>
      </c>
      <c r="B39" s="1">
        <f t="shared" si="13"/>
        <v>2.1500067685588333</v>
      </c>
      <c r="C39" s="5">
        <f t="shared" si="14"/>
        <v>108283.64187716179</v>
      </c>
      <c r="D39" s="5">
        <f t="shared" si="15"/>
        <v>103278.72521579504</v>
      </c>
      <c r="E39" s="5">
        <f t="shared" si="1"/>
        <v>93778.725215795042</v>
      </c>
      <c r="F39" s="5">
        <f t="shared" si="2"/>
        <v>37153.738061010437</v>
      </c>
      <c r="G39" s="5">
        <f t="shared" si="3"/>
        <v>66124.987154784612</v>
      </c>
      <c r="H39" s="22">
        <f t="shared" si="16"/>
        <v>48802.1767410869</v>
      </c>
      <c r="I39" s="5">
        <f t="shared" si="17"/>
        <v>112291.84635185282</v>
      </c>
      <c r="J39" s="26">
        <f t="shared" ref="J39:J56" si="19">(F39-(IF(A39&gt;startage,1,0)*(unempprob*300*52)))/(IF(A39&lt;startage,1,0)*((C39+H39)*(1-initialunempprob))+IF(A39&gt;=startage,1,0)*((C39+H39)*(1-unempprob)))</f>
        <v>0.24435100906133267</v>
      </c>
      <c r="L39" s="22">
        <f t="shared" si="18"/>
        <v>209026.36088392706</v>
      </c>
      <c r="M39" s="5">
        <f>scrimecost*Meta!O36</f>
        <v>973.82600000000002</v>
      </c>
      <c r="N39" s="5">
        <f>L39-Grade10!L39</f>
        <v>7217.8379012780497</v>
      </c>
      <c r="O39" s="5">
        <f>Grade10!M39-M39</f>
        <v>20.482000000000085</v>
      </c>
      <c r="P39" s="22">
        <f t="shared" si="12"/>
        <v>518.66821982165311</v>
      </c>
      <c r="Q39" s="22"/>
      <c r="R39" s="22"/>
      <c r="S39" s="22">
        <f t="shared" ref="S39:S69" si="20">IF(A39&lt;startage,1,0)*(N39-Q39-R39)+IF(A39&gt;=startage,1,0)*completionprob*(N39*spart+O39+P39)</f>
        <v>5861.7719974375959</v>
      </c>
      <c r="T39" s="22">
        <f t="shared" ref="T39:T69" si="21">S39/sreturn^(A39-startage+1)</f>
        <v>1706.0527527673378</v>
      </c>
    </row>
    <row r="40" spans="1:20" x14ac:dyDescent="0.2">
      <c r="A40" s="5">
        <v>49</v>
      </c>
      <c r="B40" s="1">
        <f t="shared" si="13"/>
        <v>2.2037569377728037</v>
      </c>
      <c r="C40" s="5">
        <f t="shared" si="14"/>
        <v>110990.7329240908</v>
      </c>
      <c r="D40" s="5">
        <f t="shared" si="15"/>
        <v>105839.63334618989</v>
      </c>
      <c r="E40" s="5">
        <f t="shared" si="1"/>
        <v>96339.63334618989</v>
      </c>
      <c r="F40" s="5">
        <f t="shared" si="2"/>
        <v>38322.792622535686</v>
      </c>
      <c r="G40" s="5">
        <f t="shared" si="3"/>
        <v>67516.840723654197</v>
      </c>
      <c r="H40" s="22">
        <f t="shared" si="16"/>
        <v>50022.231159614057</v>
      </c>
      <c r="I40" s="5">
        <f t="shared" si="17"/>
        <v>114837.87140064909</v>
      </c>
      <c r="J40" s="26">
        <f t="shared" si="19"/>
        <v>0.24606630638089919</v>
      </c>
      <c r="L40" s="22">
        <f t="shared" si="18"/>
        <v>214252.01990602521</v>
      </c>
      <c r="M40" s="5">
        <f>scrimecost*Meta!O37</f>
        <v>973.82600000000002</v>
      </c>
      <c r="N40" s="5">
        <f>L40-Grade10!L40</f>
        <v>7398.2838488099515</v>
      </c>
      <c r="O40" s="5">
        <f>Grade10!M40-M40</f>
        <v>20.482000000000085</v>
      </c>
      <c r="P40" s="22">
        <f t="shared" ref="P40:P56" si="22">(spart-initialspart)*(L40*J40+nptrans)</f>
        <v>533.46782855630306</v>
      </c>
      <c r="Q40" s="22"/>
      <c r="R40" s="22"/>
      <c r="S40" s="22">
        <f t="shared" si="20"/>
        <v>6009.6107335478264</v>
      </c>
      <c r="T40" s="22">
        <f t="shared" si="21"/>
        <v>1682.9016503272564</v>
      </c>
    </row>
    <row r="41" spans="1:20" x14ac:dyDescent="0.2">
      <c r="A41" s="5">
        <v>50</v>
      </c>
      <c r="B41" s="1">
        <f t="shared" si="13"/>
        <v>2.2588508612171236</v>
      </c>
      <c r="C41" s="5">
        <f t="shared" si="14"/>
        <v>113765.50124719307</v>
      </c>
      <c r="D41" s="5">
        <f t="shared" si="15"/>
        <v>108464.56417984463</v>
      </c>
      <c r="E41" s="5">
        <f t="shared" si="1"/>
        <v>98964.56417984463</v>
      </c>
      <c r="F41" s="5">
        <f t="shared" si="2"/>
        <v>39417.870568948711</v>
      </c>
      <c r="G41" s="5">
        <f t="shared" si="3"/>
        <v>69046.69361089592</v>
      </c>
      <c r="H41" s="22">
        <f t="shared" si="16"/>
        <v>51272.786938604411</v>
      </c>
      <c r="I41" s="5">
        <f t="shared" si="17"/>
        <v>117550.7500548157</v>
      </c>
      <c r="J41" s="26">
        <f t="shared" si="19"/>
        <v>0.24707874445964156</v>
      </c>
      <c r="L41" s="22">
        <f t="shared" si="18"/>
        <v>219608.32040367581</v>
      </c>
      <c r="M41" s="5">
        <f>scrimecost*Meta!O38</f>
        <v>650.61199999999997</v>
      </c>
      <c r="N41" s="5">
        <f>L41-Grade10!L41</f>
        <v>7583.2409450302075</v>
      </c>
      <c r="O41" s="5">
        <f>Grade10!M41-M41</f>
        <v>13.684000000000083</v>
      </c>
      <c r="P41" s="22">
        <f t="shared" si="22"/>
        <v>547.33093270407858</v>
      </c>
      <c r="Q41" s="22"/>
      <c r="R41" s="22"/>
      <c r="S41" s="22">
        <f t="shared" si="20"/>
        <v>6153.203033151718</v>
      </c>
      <c r="T41" s="22">
        <f t="shared" si="21"/>
        <v>1657.9159140071085</v>
      </c>
    </row>
    <row r="42" spans="1:20" x14ac:dyDescent="0.2">
      <c r="A42" s="5">
        <v>51</v>
      </c>
      <c r="B42" s="1">
        <f t="shared" si="13"/>
        <v>2.3153221327475517</v>
      </c>
      <c r="C42" s="5">
        <f t="shared" si="14"/>
        <v>116609.6387783729</v>
      </c>
      <c r="D42" s="5">
        <f t="shared" si="15"/>
        <v>111155.11828434076</v>
      </c>
      <c r="E42" s="5">
        <f t="shared" si="1"/>
        <v>101655.11828434076</v>
      </c>
      <c r="F42" s="5">
        <f t="shared" si="2"/>
        <v>40479.294163172424</v>
      </c>
      <c r="G42" s="5">
        <f t="shared" si="3"/>
        <v>70675.824121168334</v>
      </c>
      <c r="H42" s="22">
        <f t="shared" si="16"/>
        <v>52554.60661206951</v>
      </c>
      <c r="I42" s="5">
        <f t="shared" si="17"/>
        <v>120392.48197618609</v>
      </c>
      <c r="J42" s="26">
        <f t="shared" si="19"/>
        <v>0.24768511331729118</v>
      </c>
      <c r="L42" s="22">
        <f t="shared" si="18"/>
        <v>225098.52841376769</v>
      </c>
      <c r="M42" s="5">
        <f>scrimecost*Meta!O39</f>
        <v>650.61199999999997</v>
      </c>
      <c r="N42" s="5">
        <f>L42-Grade10!L42</f>
        <v>7772.821968655946</v>
      </c>
      <c r="O42" s="5">
        <f>Grade10!M42-M42</f>
        <v>13.684000000000083</v>
      </c>
      <c r="P42" s="22">
        <f t="shared" si="22"/>
        <v>560.76799065947637</v>
      </c>
      <c r="Q42" s="22"/>
      <c r="R42" s="22"/>
      <c r="S42" s="22">
        <f t="shared" si="20"/>
        <v>6306.4565599255393</v>
      </c>
      <c r="T42" s="22">
        <f t="shared" si="21"/>
        <v>1634.9163003639994</v>
      </c>
    </row>
    <row r="43" spans="1:20" x14ac:dyDescent="0.2">
      <c r="A43" s="5">
        <v>52</v>
      </c>
      <c r="B43" s="1">
        <f t="shared" si="13"/>
        <v>2.3732051860662402</v>
      </c>
      <c r="C43" s="5">
        <f t="shared" si="14"/>
        <v>119524.87974783219</v>
      </c>
      <c r="D43" s="5">
        <f t="shared" si="15"/>
        <v>113912.93624144925</v>
      </c>
      <c r="E43" s="5">
        <f t="shared" si="1"/>
        <v>104412.93624144925</v>
      </c>
      <c r="F43" s="5">
        <f t="shared" si="2"/>
        <v>41567.253347251732</v>
      </c>
      <c r="G43" s="5">
        <f t="shared" si="3"/>
        <v>72345.682894197525</v>
      </c>
      <c r="H43" s="22">
        <f t="shared" si="16"/>
        <v>53868.471777371247</v>
      </c>
      <c r="I43" s="5">
        <f t="shared" si="17"/>
        <v>123305.25719559073</v>
      </c>
      <c r="J43" s="26">
        <f t="shared" si="19"/>
        <v>0.24827669269060784</v>
      </c>
      <c r="L43" s="22">
        <f t="shared" si="18"/>
        <v>230725.99162411189</v>
      </c>
      <c r="M43" s="5">
        <f>scrimecost*Meta!O40</f>
        <v>650.61199999999997</v>
      </c>
      <c r="N43" s="5">
        <f>L43-Grade10!L43</f>
        <v>7967.1425178723584</v>
      </c>
      <c r="O43" s="5">
        <f>Grade10!M43-M43</f>
        <v>13.684000000000083</v>
      </c>
      <c r="P43" s="22">
        <f t="shared" si="22"/>
        <v>574.54097506375899</v>
      </c>
      <c r="Q43" s="22"/>
      <c r="R43" s="22"/>
      <c r="S43" s="22">
        <f t="shared" si="20"/>
        <v>6463.5414248687275</v>
      </c>
      <c r="T43" s="22">
        <f t="shared" si="21"/>
        <v>1612.2393331165144</v>
      </c>
    </row>
    <row r="44" spans="1:20" x14ac:dyDescent="0.2">
      <c r="A44" s="5">
        <v>53</v>
      </c>
      <c r="B44" s="1">
        <f t="shared" si="13"/>
        <v>2.4325353157178964</v>
      </c>
      <c r="C44" s="5">
        <f t="shared" si="14"/>
        <v>122513.001741528</v>
      </c>
      <c r="D44" s="5">
        <f t="shared" si="15"/>
        <v>116739.69964748548</v>
      </c>
      <c r="E44" s="5">
        <f t="shared" si="1"/>
        <v>107239.69964748548</v>
      </c>
      <c r="F44" s="5">
        <f t="shared" si="2"/>
        <v>42682.411510933023</v>
      </c>
      <c r="G44" s="5">
        <f t="shared" si="3"/>
        <v>74057.288136552466</v>
      </c>
      <c r="H44" s="22">
        <f t="shared" si="16"/>
        <v>55215.183571805537</v>
      </c>
      <c r="I44" s="5">
        <f t="shared" si="17"/>
        <v>126290.8517954805</v>
      </c>
      <c r="J44" s="26">
        <f t="shared" si="19"/>
        <v>0.24885384329872171</v>
      </c>
      <c r="L44" s="22">
        <f t="shared" si="18"/>
        <v>236494.14141471469</v>
      </c>
      <c r="M44" s="5">
        <f>scrimecost*Meta!O41</f>
        <v>650.61199999999997</v>
      </c>
      <c r="N44" s="5">
        <f>L44-Grade10!L44</f>
        <v>8166.3210808192089</v>
      </c>
      <c r="O44" s="5">
        <f>Grade10!M44-M44</f>
        <v>13.684000000000083</v>
      </c>
      <c r="P44" s="22">
        <f t="shared" si="22"/>
        <v>588.65828407814877</v>
      </c>
      <c r="Q44" s="22"/>
      <c r="R44" s="22"/>
      <c r="S44" s="22">
        <f t="shared" si="20"/>
        <v>6624.553411435515</v>
      </c>
      <c r="T44" s="22">
        <f t="shared" si="21"/>
        <v>1589.8803514282108</v>
      </c>
    </row>
    <row r="45" spans="1:20" x14ac:dyDescent="0.2">
      <c r="A45" s="5">
        <v>54</v>
      </c>
      <c r="B45" s="1">
        <f t="shared" si="13"/>
        <v>2.4933486986108435</v>
      </c>
      <c r="C45" s="5">
        <f t="shared" si="14"/>
        <v>125575.82678506621</v>
      </c>
      <c r="D45" s="5">
        <f t="shared" si="15"/>
        <v>119637.13213867262</v>
      </c>
      <c r="E45" s="5">
        <f t="shared" si="1"/>
        <v>110137.13213867262</v>
      </c>
      <c r="F45" s="5">
        <f t="shared" si="2"/>
        <v>43825.448628706348</v>
      </c>
      <c r="G45" s="5">
        <f t="shared" si="3"/>
        <v>75811.683509966271</v>
      </c>
      <c r="H45" s="22">
        <f t="shared" si="16"/>
        <v>56595.563161100668</v>
      </c>
      <c r="I45" s="5">
        <f t="shared" si="17"/>
        <v>129351.08626036751</v>
      </c>
      <c r="J45" s="26">
        <f t="shared" si="19"/>
        <v>0.24941691706273514</v>
      </c>
      <c r="L45" s="22">
        <f t="shared" si="18"/>
        <v>242406.49495008253</v>
      </c>
      <c r="M45" s="5">
        <f>scrimecost*Meta!O42</f>
        <v>650.61199999999997</v>
      </c>
      <c r="N45" s="5">
        <f>L45-Grade10!L45</f>
        <v>8370.4791078396956</v>
      </c>
      <c r="O45" s="5">
        <f>Grade10!M45-M45</f>
        <v>13.684000000000083</v>
      </c>
      <c r="P45" s="22">
        <f t="shared" si="22"/>
        <v>603.12852581789809</v>
      </c>
      <c r="Q45" s="22"/>
      <c r="R45" s="22"/>
      <c r="S45" s="22">
        <f t="shared" si="20"/>
        <v>6789.5906976664473</v>
      </c>
      <c r="T45" s="22">
        <f t="shared" si="21"/>
        <v>1567.8347667965797</v>
      </c>
    </row>
    <row r="46" spans="1:20" x14ac:dyDescent="0.2">
      <c r="A46" s="5">
        <v>55</v>
      </c>
      <c r="B46" s="1">
        <f t="shared" si="13"/>
        <v>2.555682416076114</v>
      </c>
      <c r="C46" s="5">
        <f t="shared" si="14"/>
        <v>128715.22245469282</v>
      </c>
      <c r="D46" s="5">
        <f t="shared" si="15"/>
        <v>122607.0004421394</v>
      </c>
      <c r="E46" s="5">
        <f t="shared" si="1"/>
        <v>113107.0004421394</v>
      </c>
      <c r="F46" s="5">
        <f t="shared" si="2"/>
        <v>44997.061674423989</v>
      </c>
      <c r="G46" s="5">
        <f t="shared" si="3"/>
        <v>77609.938767715415</v>
      </c>
      <c r="H46" s="22">
        <f t="shared" si="16"/>
        <v>58010.452240128172</v>
      </c>
      <c r="I46" s="5">
        <f t="shared" si="17"/>
        <v>132487.82658687665</v>
      </c>
      <c r="J46" s="26">
        <f t="shared" si="19"/>
        <v>0.24996625732030925</v>
      </c>
      <c r="L46" s="22">
        <f t="shared" si="18"/>
        <v>248466.65732383452</v>
      </c>
      <c r="M46" s="5">
        <f>scrimecost*Meta!O43</f>
        <v>360.86999999999995</v>
      </c>
      <c r="N46" s="5">
        <f>L46-Grade10!L46</f>
        <v>8579.7410855355847</v>
      </c>
      <c r="O46" s="5">
        <f>Grade10!M46-M46</f>
        <v>7.5900000000000318</v>
      </c>
      <c r="P46" s="22">
        <f t="shared" si="22"/>
        <v>617.96052360114106</v>
      </c>
      <c r="Q46" s="22"/>
      <c r="R46" s="22"/>
      <c r="S46" s="22">
        <f t="shared" si="20"/>
        <v>6952.781796053072</v>
      </c>
      <c r="T46" s="22">
        <f t="shared" si="21"/>
        <v>1544.7711743116092</v>
      </c>
    </row>
    <row r="47" spans="1:20" x14ac:dyDescent="0.2">
      <c r="A47" s="5">
        <v>56</v>
      </c>
      <c r="B47" s="1">
        <f t="shared" si="13"/>
        <v>2.6195744764780171</v>
      </c>
      <c r="C47" s="5">
        <f t="shared" si="14"/>
        <v>131933.10301606017</v>
      </c>
      <c r="D47" s="5">
        <f t="shared" si="15"/>
        <v>125651.11545319291</v>
      </c>
      <c r="E47" s="5">
        <f t="shared" si="1"/>
        <v>116151.11545319291</v>
      </c>
      <c r="F47" s="5">
        <f t="shared" si="2"/>
        <v>46197.965046284597</v>
      </c>
      <c r="G47" s="5">
        <f t="shared" si="3"/>
        <v>79453.150406908302</v>
      </c>
      <c r="H47" s="22">
        <f t="shared" si="16"/>
        <v>59460.713546131381</v>
      </c>
      <c r="I47" s="5">
        <f t="shared" si="17"/>
        <v>135702.9854215486</v>
      </c>
      <c r="J47" s="26">
        <f t="shared" si="19"/>
        <v>0.25050219903501575</v>
      </c>
      <c r="L47" s="22">
        <f t="shared" si="18"/>
        <v>254678.32375693042</v>
      </c>
      <c r="M47" s="5">
        <f>scrimecost*Meta!O44</f>
        <v>360.86999999999995</v>
      </c>
      <c r="N47" s="5">
        <f>L47-Grade10!L47</f>
        <v>8794.2346126740449</v>
      </c>
      <c r="O47" s="5">
        <f>Grade10!M47-M47</f>
        <v>7.5900000000000318</v>
      </c>
      <c r="P47" s="22">
        <f t="shared" si="22"/>
        <v>633.16332132896537</v>
      </c>
      <c r="Q47" s="22"/>
      <c r="R47" s="22"/>
      <c r="S47" s="22">
        <f t="shared" si="20"/>
        <v>7126.1740948994911</v>
      </c>
      <c r="T47" s="22">
        <f t="shared" si="21"/>
        <v>1523.3891059623243</v>
      </c>
    </row>
    <row r="48" spans="1:20" x14ac:dyDescent="0.2">
      <c r="A48" s="5">
        <v>57</v>
      </c>
      <c r="B48" s="1">
        <f t="shared" si="13"/>
        <v>2.6850638383899672</v>
      </c>
      <c r="C48" s="5">
        <f t="shared" si="14"/>
        <v>135231.43059146163</v>
      </c>
      <c r="D48" s="5">
        <f t="shared" si="15"/>
        <v>128771.33333952268</v>
      </c>
      <c r="E48" s="5">
        <f t="shared" si="1"/>
        <v>119271.33333952268</v>
      </c>
      <c r="F48" s="5">
        <f t="shared" si="2"/>
        <v>47428.891002441698</v>
      </c>
      <c r="G48" s="5">
        <f t="shared" si="3"/>
        <v>81342.442337080982</v>
      </c>
      <c r="H48" s="22">
        <f t="shared" si="16"/>
        <v>60947.231384784653</v>
      </c>
      <c r="I48" s="5">
        <f t="shared" si="17"/>
        <v>138998.52322708725</v>
      </c>
      <c r="J48" s="26">
        <f t="shared" si="19"/>
        <v>0.25102506900058302</v>
      </c>
      <c r="L48" s="22">
        <f t="shared" si="18"/>
        <v>261045.28185085367</v>
      </c>
      <c r="M48" s="5">
        <f>scrimecost*Meta!O45</f>
        <v>360.86999999999995</v>
      </c>
      <c r="N48" s="5">
        <f>L48-Grade10!L48</f>
        <v>9014.0904779909179</v>
      </c>
      <c r="O48" s="5">
        <f>Grade10!M48-M48</f>
        <v>7.5900000000000318</v>
      </c>
      <c r="P48" s="22">
        <f t="shared" si="22"/>
        <v>648.74618899998529</v>
      </c>
      <c r="Q48" s="22"/>
      <c r="R48" s="22"/>
      <c r="S48" s="22">
        <f t="shared" si="20"/>
        <v>7303.9012012170342</v>
      </c>
      <c r="T48" s="22">
        <f t="shared" si="21"/>
        <v>1502.3051907031877</v>
      </c>
    </row>
    <row r="49" spans="1:20" x14ac:dyDescent="0.2">
      <c r="A49" s="5">
        <v>58</v>
      </c>
      <c r="B49" s="1">
        <f t="shared" si="13"/>
        <v>2.7521904343497163</v>
      </c>
      <c r="C49" s="5">
        <f t="shared" si="14"/>
        <v>138612.21635624819</v>
      </c>
      <c r="D49" s="5">
        <f t="shared" si="15"/>
        <v>131969.55667301078</v>
      </c>
      <c r="E49" s="5">
        <f t="shared" si="1"/>
        <v>122469.55667301078</v>
      </c>
      <c r="F49" s="5">
        <f t="shared" si="2"/>
        <v>48690.590107502758</v>
      </c>
      <c r="G49" s="5">
        <f t="shared" si="3"/>
        <v>83278.966565508017</v>
      </c>
      <c r="H49" s="22">
        <f t="shared" si="16"/>
        <v>62470.91216940427</v>
      </c>
      <c r="I49" s="5">
        <f t="shared" si="17"/>
        <v>142376.44947776446</v>
      </c>
      <c r="J49" s="26">
        <f t="shared" si="19"/>
        <v>0.25153518604016095</v>
      </c>
      <c r="L49" s="22">
        <f t="shared" si="18"/>
        <v>267571.41389712499</v>
      </c>
      <c r="M49" s="5">
        <f>scrimecost*Meta!O46</f>
        <v>360.86999999999995</v>
      </c>
      <c r="N49" s="5">
        <f>L49-Grade10!L49</f>
        <v>9239.442739940685</v>
      </c>
      <c r="O49" s="5">
        <f>Grade10!M49-M49</f>
        <v>7.5900000000000318</v>
      </c>
      <c r="P49" s="22">
        <f t="shared" si="22"/>
        <v>664.71862836278069</v>
      </c>
      <c r="Q49" s="22"/>
      <c r="R49" s="22"/>
      <c r="S49" s="22">
        <f t="shared" si="20"/>
        <v>7486.0714851924959</v>
      </c>
      <c r="T49" s="22">
        <f t="shared" si="21"/>
        <v>1481.5151884995046</v>
      </c>
    </row>
    <row r="50" spans="1:20" x14ac:dyDescent="0.2">
      <c r="A50" s="5">
        <v>59</v>
      </c>
      <c r="B50" s="1">
        <f t="shared" si="13"/>
        <v>2.8209951952084591</v>
      </c>
      <c r="C50" s="5">
        <f t="shared" si="14"/>
        <v>142077.52176515438</v>
      </c>
      <c r="D50" s="5">
        <f t="shared" si="15"/>
        <v>135247.73558983603</v>
      </c>
      <c r="E50" s="5">
        <f t="shared" si="1"/>
        <v>125747.73558983603</v>
      </c>
      <c r="F50" s="5">
        <f t="shared" si="2"/>
        <v>49983.831690190309</v>
      </c>
      <c r="G50" s="5">
        <f t="shared" si="3"/>
        <v>85263.903899645724</v>
      </c>
      <c r="H50" s="22">
        <f t="shared" si="16"/>
        <v>64032.684973639378</v>
      </c>
      <c r="I50" s="5">
        <f t="shared" si="17"/>
        <v>145838.82388470857</v>
      </c>
      <c r="J50" s="26">
        <f t="shared" si="19"/>
        <v>0.25203286120072466</v>
      </c>
      <c r="L50" s="22">
        <f t="shared" si="18"/>
        <v>274260.69924455311</v>
      </c>
      <c r="M50" s="5">
        <f>scrimecost*Meta!O47</f>
        <v>360.86999999999995</v>
      </c>
      <c r="N50" s="5">
        <f>L50-Grade10!L50</f>
        <v>9470.4288084391737</v>
      </c>
      <c r="O50" s="5">
        <f>Grade10!M50-M50</f>
        <v>7.5900000000000318</v>
      </c>
      <c r="P50" s="22">
        <f t="shared" si="22"/>
        <v>681.09037870964585</v>
      </c>
      <c r="Q50" s="22"/>
      <c r="R50" s="22"/>
      <c r="S50" s="22">
        <f t="shared" si="20"/>
        <v>7672.7960262673278</v>
      </c>
      <c r="T50" s="22">
        <f t="shared" si="21"/>
        <v>1461.0149227019319</v>
      </c>
    </row>
    <row r="51" spans="1:20" x14ac:dyDescent="0.2">
      <c r="A51" s="5">
        <v>60</v>
      </c>
      <c r="B51" s="1">
        <f t="shared" si="13"/>
        <v>2.8915200750886707</v>
      </c>
      <c r="C51" s="5">
        <f t="shared" si="14"/>
        <v>145629.45980928326</v>
      </c>
      <c r="D51" s="5">
        <f t="shared" si="15"/>
        <v>138607.86897958195</v>
      </c>
      <c r="E51" s="5">
        <f t="shared" si="1"/>
        <v>129107.86897958195</v>
      </c>
      <c r="F51" s="5">
        <f t="shared" si="2"/>
        <v>51309.404312445076</v>
      </c>
      <c r="G51" s="5">
        <f t="shared" si="3"/>
        <v>87298.464667136868</v>
      </c>
      <c r="H51" s="22">
        <f t="shared" si="16"/>
        <v>65633.502097980352</v>
      </c>
      <c r="I51" s="5">
        <f t="shared" si="17"/>
        <v>149387.75765182628</v>
      </c>
      <c r="J51" s="26">
        <f t="shared" si="19"/>
        <v>0.25251839794273812</v>
      </c>
      <c r="L51" s="22">
        <f t="shared" si="18"/>
        <v>281117.21672566695</v>
      </c>
      <c r="M51" s="5">
        <f>scrimecost*Meta!O48</f>
        <v>190.37199999999999</v>
      </c>
      <c r="N51" s="5">
        <f>L51-Grade10!L51</f>
        <v>9707.1895286501967</v>
      </c>
      <c r="O51" s="5">
        <f>Grade10!M51-M51</f>
        <v>4.0040000000000191</v>
      </c>
      <c r="P51" s="22">
        <f t="shared" si="22"/>
        <v>697.871422815183</v>
      </c>
      <c r="Q51" s="22"/>
      <c r="R51" s="22"/>
      <c r="S51" s="22">
        <f t="shared" si="20"/>
        <v>7860.6744008690821</v>
      </c>
      <c r="T51" s="22">
        <f t="shared" si="21"/>
        <v>1440.1564267321628</v>
      </c>
    </row>
    <row r="52" spans="1:20" x14ac:dyDescent="0.2">
      <c r="A52" s="5">
        <v>61</v>
      </c>
      <c r="B52" s="1">
        <f t="shared" si="13"/>
        <v>2.9638080769658868</v>
      </c>
      <c r="C52" s="5">
        <f t="shared" si="14"/>
        <v>149270.1963045153</v>
      </c>
      <c r="D52" s="5">
        <f t="shared" si="15"/>
        <v>142052.00570407146</v>
      </c>
      <c r="E52" s="5">
        <f t="shared" si="1"/>
        <v>132552.00570407146</v>
      </c>
      <c r="F52" s="5">
        <f t="shared" si="2"/>
        <v>52668.116250256193</v>
      </c>
      <c r="G52" s="5">
        <f t="shared" si="3"/>
        <v>89383.889453815267</v>
      </c>
      <c r="H52" s="22">
        <f t="shared" si="16"/>
        <v>67274.339650429843</v>
      </c>
      <c r="I52" s="5">
        <f t="shared" si="17"/>
        <v>153025.41476312189</v>
      </c>
      <c r="J52" s="26">
        <f t="shared" si="19"/>
        <v>0.25299209232519021</v>
      </c>
      <c r="L52" s="22">
        <f t="shared" si="18"/>
        <v>288145.14714380854</v>
      </c>
      <c r="M52" s="5">
        <f>scrimecost*Meta!O49</f>
        <v>190.37199999999999</v>
      </c>
      <c r="N52" s="5">
        <f>L52-Grade10!L52</f>
        <v>9949.8692668663571</v>
      </c>
      <c r="O52" s="5">
        <f>Grade10!M52-M52</f>
        <v>4.0040000000000191</v>
      </c>
      <c r="P52" s="22">
        <f t="shared" si="22"/>
        <v>715.071993023358</v>
      </c>
      <c r="Q52" s="22"/>
      <c r="R52" s="22"/>
      <c r="S52" s="22">
        <f t="shared" si="20"/>
        <v>8056.8518718357791</v>
      </c>
      <c r="T52" s="22">
        <f t="shared" si="21"/>
        <v>1420.2477131984547</v>
      </c>
    </row>
    <row r="53" spans="1:20" x14ac:dyDescent="0.2">
      <c r="A53" s="5">
        <v>62</v>
      </c>
      <c r="B53" s="1">
        <f t="shared" si="13"/>
        <v>3.0379032788900342</v>
      </c>
      <c r="C53" s="5">
        <f t="shared" si="14"/>
        <v>153001.95121212819</v>
      </c>
      <c r="D53" s="5">
        <f t="shared" si="15"/>
        <v>145582.24584667326</v>
      </c>
      <c r="E53" s="5">
        <f t="shared" si="1"/>
        <v>136082.24584667326</v>
      </c>
      <c r="F53" s="5">
        <f t="shared" si="2"/>
        <v>54060.795986512603</v>
      </c>
      <c r="G53" s="5">
        <f t="shared" si="3"/>
        <v>91521.449860160661</v>
      </c>
      <c r="H53" s="22">
        <f t="shared" si="16"/>
        <v>68956.198141690606</v>
      </c>
      <c r="I53" s="5">
        <f t="shared" si="17"/>
        <v>156754.01330219998</v>
      </c>
      <c r="J53" s="26">
        <f t="shared" si="19"/>
        <v>0.25345423318611915</v>
      </c>
      <c r="L53" s="22">
        <f t="shared" si="18"/>
        <v>295348.77582240378</v>
      </c>
      <c r="M53" s="5">
        <f>scrimecost*Meta!O50</f>
        <v>190.37199999999999</v>
      </c>
      <c r="N53" s="5">
        <f>L53-Grade10!L53</f>
        <v>10198.615998538095</v>
      </c>
      <c r="O53" s="5">
        <f>Grade10!M53-M53</f>
        <v>4.0040000000000191</v>
      </c>
      <c r="P53" s="22">
        <f t="shared" si="22"/>
        <v>732.70257748673794</v>
      </c>
      <c r="Q53" s="22"/>
      <c r="R53" s="22"/>
      <c r="S53" s="22">
        <f t="shared" si="20"/>
        <v>8257.9337795767715</v>
      </c>
      <c r="T53" s="22">
        <f t="shared" si="21"/>
        <v>1400.6156541937712</v>
      </c>
    </row>
    <row r="54" spans="1:20" x14ac:dyDescent="0.2">
      <c r="A54" s="5">
        <v>63</v>
      </c>
      <c r="B54" s="1">
        <f t="shared" si="13"/>
        <v>3.1138508608622844</v>
      </c>
      <c r="C54" s="5">
        <f t="shared" si="14"/>
        <v>156826.99999243135</v>
      </c>
      <c r="D54" s="5">
        <f t="shared" si="15"/>
        <v>149200.74199284005</v>
      </c>
      <c r="E54" s="5">
        <f t="shared" si="1"/>
        <v>139700.74199284005</v>
      </c>
      <c r="F54" s="5">
        <f t="shared" si="2"/>
        <v>55488.292716175398</v>
      </c>
      <c r="G54" s="5">
        <f t="shared" si="3"/>
        <v>93712.449276664644</v>
      </c>
      <c r="H54" s="22">
        <f t="shared" si="16"/>
        <v>70680.103095232858</v>
      </c>
      <c r="I54" s="5">
        <f t="shared" si="17"/>
        <v>160575.82680475491</v>
      </c>
      <c r="J54" s="26">
        <f t="shared" si="19"/>
        <v>0.25390510231873265</v>
      </c>
      <c r="L54" s="22">
        <f t="shared" si="18"/>
        <v>302732.49521796376</v>
      </c>
      <c r="M54" s="5">
        <f>scrimecost*Meta!O51</f>
        <v>190.37199999999999</v>
      </c>
      <c r="N54" s="5">
        <f>L54-Grade10!L54</f>
        <v>10453.58139850141</v>
      </c>
      <c r="O54" s="5">
        <f>Grade10!M54-M54</f>
        <v>4.0040000000000191</v>
      </c>
      <c r="P54" s="22">
        <f t="shared" si="22"/>
        <v>750.77392656170161</v>
      </c>
      <c r="Q54" s="22"/>
      <c r="R54" s="22"/>
      <c r="S54" s="22">
        <f t="shared" si="20"/>
        <v>8464.0427350111295</v>
      </c>
      <c r="T54" s="22">
        <f t="shared" si="21"/>
        <v>1381.2563510919167</v>
      </c>
    </row>
    <row r="55" spans="1:20" x14ac:dyDescent="0.2">
      <c r="A55" s="5">
        <v>64</v>
      </c>
      <c r="B55" s="1">
        <f t="shared" si="13"/>
        <v>3.1916971323838421</v>
      </c>
      <c r="C55" s="5">
        <f t="shared" si="14"/>
        <v>160747.67499224219</v>
      </c>
      <c r="D55" s="5">
        <f t="shared" si="15"/>
        <v>152909.7005426611</v>
      </c>
      <c r="E55" s="5">
        <f t="shared" si="1"/>
        <v>143409.7005426611</v>
      </c>
      <c r="F55" s="5">
        <f t="shared" si="2"/>
        <v>56951.476864079799</v>
      </c>
      <c r="G55" s="5">
        <f t="shared" si="3"/>
        <v>95958.2236785813</v>
      </c>
      <c r="H55" s="22">
        <f t="shared" si="16"/>
        <v>72447.105672613689</v>
      </c>
      <c r="I55" s="5">
        <f t="shared" si="17"/>
        <v>164493.18564487383</v>
      </c>
      <c r="J55" s="26">
        <f t="shared" si="19"/>
        <v>0.25434497464323369</v>
      </c>
      <c r="L55" s="22">
        <f t="shared" si="18"/>
        <v>310300.80759841297</v>
      </c>
      <c r="M55" s="5">
        <f>scrimecost*Meta!O52</f>
        <v>190.37199999999999</v>
      </c>
      <c r="N55" s="5">
        <f>L55-Grade10!L55</f>
        <v>10714.920933464076</v>
      </c>
      <c r="O55" s="5">
        <f>Grade10!M55-M55</f>
        <v>4.0040000000000191</v>
      </c>
      <c r="P55" s="22">
        <f t="shared" si="22"/>
        <v>769.29705936354026</v>
      </c>
      <c r="Q55" s="22"/>
      <c r="R55" s="22"/>
      <c r="S55" s="22">
        <f t="shared" si="20"/>
        <v>8675.3044143315437</v>
      </c>
      <c r="T55" s="22">
        <f t="shared" si="21"/>
        <v>1362.1659622400698</v>
      </c>
    </row>
    <row r="56" spans="1:20" x14ac:dyDescent="0.2">
      <c r="A56" s="5">
        <v>65</v>
      </c>
      <c r="B56" s="1">
        <f t="shared" si="13"/>
        <v>3.2714895606934378</v>
      </c>
      <c r="C56" s="5">
        <f t="shared" si="14"/>
        <v>164766.36686704823</v>
      </c>
      <c r="D56" s="5">
        <f t="shared" si="15"/>
        <v>156711.38305622761</v>
      </c>
      <c r="E56" s="5">
        <f t="shared" si="1"/>
        <v>147211.38305622761</v>
      </c>
      <c r="F56" s="5">
        <f t="shared" si="2"/>
        <v>58451.240615681796</v>
      </c>
      <c r="G56" s="5">
        <f t="shared" si="3"/>
        <v>98260.142440545809</v>
      </c>
      <c r="H56" s="22">
        <f t="shared" si="16"/>
        <v>74258.283314429034</v>
      </c>
      <c r="I56" s="5">
        <f t="shared" si="17"/>
        <v>168508.47845599568</v>
      </c>
      <c r="J56" s="26">
        <f t="shared" si="19"/>
        <v>0.25477411837445424</v>
      </c>
      <c r="L56" s="22">
        <f t="shared" si="18"/>
        <v>318058.32778837322</v>
      </c>
      <c r="M56" s="5">
        <f>scrimecost*Meta!O53</f>
        <v>57.53</v>
      </c>
      <c r="N56" s="5">
        <f>L56-Grade10!L56</f>
        <v>10982.793956800597</v>
      </c>
      <c r="O56" s="5">
        <f>Grade10!M56-M56</f>
        <v>1.2100000000000009</v>
      </c>
      <c r="P56" s="22">
        <f t="shared" si="22"/>
        <v>788.28327048542451</v>
      </c>
      <c r="Q56" s="22"/>
      <c r="R56" s="22"/>
      <c r="S56" s="22">
        <f t="shared" si="20"/>
        <v>8889.1095156348129</v>
      </c>
      <c r="T56" s="22">
        <f t="shared" si="21"/>
        <v>1342.927039087311</v>
      </c>
    </row>
    <row r="57" spans="1:20" x14ac:dyDescent="0.2">
      <c r="A57" s="5">
        <v>66</v>
      </c>
      <c r="C57" s="5"/>
      <c r="H57" s="21"/>
      <c r="I57" s="5"/>
      <c r="M57" s="5">
        <f>scrimecost*Meta!O54</f>
        <v>57.53</v>
      </c>
      <c r="N57" s="5">
        <f>L57-Grade10!L57</f>
        <v>0</v>
      </c>
      <c r="O57" s="5">
        <f>Grade10!M57-M57</f>
        <v>1.2100000000000009</v>
      </c>
      <c r="Q57" s="22"/>
      <c r="R57" s="22"/>
      <c r="S57" s="22">
        <f t="shared" si="20"/>
        <v>1.1858000000000009</v>
      </c>
      <c r="T57" s="22">
        <f t="shared" si="21"/>
        <v>0.17236713688359254</v>
      </c>
    </row>
    <row r="58" spans="1:20" x14ac:dyDescent="0.2">
      <c r="A58" s="5">
        <v>67</v>
      </c>
      <c r="C58" s="5"/>
      <c r="H58" s="21"/>
      <c r="I58" s="5"/>
      <c r="M58" s="5">
        <f>scrimecost*Meta!O55</f>
        <v>57.53</v>
      </c>
      <c r="N58" s="5">
        <f>L58-Grade10!L58</f>
        <v>0</v>
      </c>
      <c r="O58" s="5">
        <f>Grade10!M58-M58</f>
        <v>1.2100000000000009</v>
      </c>
      <c r="Q58" s="22"/>
      <c r="R58" s="22"/>
      <c r="S58" s="22">
        <f t="shared" si="20"/>
        <v>1.1858000000000009</v>
      </c>
      <c r="T58" s="22">
        <f t="shared" si="21"/>
        <v>0.16584536108950818</v>
      </c>
    </row>
    <row r="59" spans="1:20" x14ac:dyDescent="0.2">
      <c r="A59" s="5">
        <v>68</v>
      </c>
      <c r="H59" s="21"/>
      <c r="I59" s="5"/>
      <c r="M59" s="5">
        <f>scrimecost*Meta!O56</f>
        <v>57.53</v>
      </c>
      <c r="N59" s="5">
        <f>L59-Grade10!L59</f>
        <v>0</v>
      </c>
      <c r="O59" s="5">
        <f>Grade10!M59-M59</f>
        <v>1.2100000000000009</v>
      </c>
      <c r="Q59" s="22"/>
      <c r="R59" s="22"/>
      <c r="S59" s="22">
        <f t="shared" si="20"/>
        <v>1.1858000000000009</v>
      </c>
      <c r="T59" s="22">
        <f t="shared" si="21"/>
        <v>0.15957034671571144</v>
      </c>
    </row>
    <row r="60" spans="1:20" x14ac:dyDescent="0.2">
      <c r="A60" s="5">
        <v>69</v>
      </c>
      <c r="H60" s="21"/>
      <c r="I60" s="5"/>
      <c r="M60" s="5">
        <f>scrimecost*Meta!O57</f>
        <v>57.53</v>
      </c>
      <c r="N60" s="5">
        <f>L60-Grade10!L60</f>
        <v>0</v>
      </c>
      <c r="O60" s="5">
        <f>Grade10!M60-M60</f>
        <v>1.2100000000000009</v>
      </c>
      <c r="Q60" s="22"/>
      <c r="R60" s="22"/>
      <c r="S60" s="22">
        <f t="shared" si="20"/>
        <v>1.1858000000000009</v>
      </c>
      <c r="T60" s="22">
        <f t="shared" si="21"/>
        <v>0.15353275716424725</v>
      </c>
    </row>
    <row r="61" spans="1:20" x14ac:dyDescent="0.2">
      <c r="A61" s="5">
        <v>70</v>
      </c>
      <c r="H61" s="21"/>
      <c r="I61" s="5"/>
      <c r="M61" s="5">
        <f>scrimecost*Meta!O58</f>
        <v>57.53</v>
      </c>
      <c r="N61" s="5">
        <f>L61-Grade10!L61</f>
        <v>0</v>
      </c>
      <c r="O61" s="5">
        <f>Grade10!M61-M61</f>
        <v>1.2100000000000009</v>
      </c>
      <c r="Q61" s="22"/>
      <c r="R61" s="22"/>
      <c r="S61" s="22">
        <f t="shared" si="20"/>
        <v>1.1858000000000009</v>
      </c>
      <c r="T61" s="22">
        <f t="shared" si="21"/>
        <v>0.14772360910170759</v>
      </c>
    </row>
    <row r="62" spans="1:20" x14ac:dyDescent="0.2">
      <c r="A62" s="5">
        <v>71</v>
      </c>
      <c r="H62" s="21"/>
      <c r="I62" s="5"/>
      <c r="M62" s="5">
        <f>scrimecost*Meta!O59</f>
        <v>57.53</v>
      </c>
      <c r="N62" s="5">
        <f>L62-Grade10!L62</f>
        <v>0</v>
      </c>
      <c r="O62" s="5">
        <f>Grade10!M62-M62</f>
        <v>1.2100000000000009</v>
      </c>
      <c r="Q62" s="22"/>
      <c r="R62" s="22"/>
      <c r="S62" s="22">
        <f t="shared" si="20"/>
        <v>1.1858000000000009</v>
      </c>
      <c r="T62" s="22">
        <f t="shared" si="21"/>
        <v>0.1421342590929241</v>
      </c>
    </row>
    <row r="63" spans="1:20" x14ac:dyDescent="0.2">
      <c r="A63" s="5">
        <v>72</v>
      </c>
      <c r="H63" s="21"/>
      <c r="M63" s="5">
        <f>scrimecost*Meta!O60</f>
        <v>57.53</v>
      </c>
      <c r="N63" s="5">
        <f>L63-Grade10!L63</f>
        <v>0</v>
      </c>
      <c r="O63" s="5">
        <f>Grade10!M63-M63</f>
        <v>1.2100000000000009</v>
      </c>
      <c r="Q63" s="22"/>
      <c r="R63" s="22"/>
      <c r="S63" s="22">
        <f t="shared" si="20"/>
        <v>1.1858000000000009</v>
      </c>
      <c r="T63" s="22">
        <f t="shared" si="21"/>
        <v>0.13675639074039483</v>
      </c>
    </row>
    <row r="64" spans="1:20" x14ac:dyDescent="0.2">
      <c r="A64" s="5">
        <v>73</v>
      </c>
      <c r="H64" s="21"/>
      <c r="M64" s="5">
        <f>scrimecost*Meta!O61</f>
        <v>57.53</v>
      </c>
      <c r="N64" s="5">
        <f>L64-Grade10!L64</f>
        <v>0</v>
      </c>
      <c r="O64" s="5">
        <f>Grade10!M64-M64</f>
        <v>1.2100000000000009</v>
      </c>
      <c r="Q64" s="22"/>
      <c r="R64" s="22"/>
      <c r="S64" s="22">
        <f t="shared" si="20"/>
        <v>1.1858000000000009</v>
      </c>
      <c r="T64" s="22">
        <f t="shared" si="21"/>
        <v>0.1315820023103115</v>
      </c>
    </row>
    <row r="65" spans="1:20" x14ac:dyDescent="0.2">
      <c r="A65" s="5">
        <v>74</v>
      </c>
      <c r="H65" s="21"/>
      <c r="M65" s="5">
        <f>scrimecost*Meta!O62</f>
        <v>57.53</v>
      </c>
      <c r="N65" s="5">
        <f>L65-Grade10!L65</f>
        <v>0</v>
      </c>
      <c r="O65" s="5">
        <f>Grade10!M65-M65</f>
        <v>1.2100000000000009</v>
      </c>
      <c r="Q65" s="22"/>
      <c r="R65" s="22"/>
      <c r="S65" s="22">
        <f t="shared" si="20"/>
        <v>1.1858000000000009</v>
      </c>
      <c r="T65" s="22">
        <f t="shared" si="21"/>
        <v>0.12660339482677427</v>
      </c>
    </row>
    <row r="66" spans="1:20" x14ac:dyDescent="0.2">
      <c r="A66" s="5">
        <v>75</v>
      </c>
      <c r="H66" s="21"/>
      <c r="M66" s="5">
        <f>scrimecost*Meta!O63</f>
        <v>57.53</v>
      </c>
      <c r="N66" s="5">
        <f>L66-Grade10!L66</f>
        <v>0</v>
      </c>
      <c r="O66" s="5">
        <f>Grade10!M66-M66</f>
        <v>1.2100000000000009</v>
      </c>
      <c r="Q66" s="22"/>
      <c r="R66" s="22"/>
      <c r="S66" s="22">
        <f t="shared" si="20"/>
        <v>1.1858000000000009</v>
      </c>
      <c r="T66" s="22">
        <f t="shared" si="21"/>
        <v>0.12181316061648056</v>
      </c>
    </row>
    <row r="67" spans="1:20" x14ac:dyDescent="0.2">
      <c r="A67" s="5">
        <v>76</v>
      </c>
      <c r="H67" s="21"/>
      <c r="M67" s="5">
        <f>scrimecost*Meta!O64</f>
        <v>57.53</v>
      </c>
      <c r="N67" s="5">
        <f>L67-Grade10!L67</f>
        <v>0</v>
      </c>
      <c r="O67" s="5">
        <f>Grade10!M67-M67</f>
        <v>1.2100000000000009</v>
      </c>
      <c r="Q67" s="22"/>
      <c r="R67" s="22"/>
      <c r="S67" s="22">
        <f t="shared" si="20"/>
        <v>1.1858000000000009</v>
      </c>
      <c r="T67" s="22">
        <f t="shared" si="21"/>
        <v>0.11720417228684325</v>
      </c>
    </row>
    <row r="68" spans="1:20" x14ac:dyDescent="0.2">
      <c r="A68" s="5">
        <v>77</v>
      </c>
      <c r="H68" s="21"/>
      <c r="M68" s="5">
        <f>scrimecost*Meta!O65</f>
        <v>57.53</v>
      </c>
      <c r="N68" s="5">
        <f>L68-Grade10!L68</f>
        <v>0</v>
      </c>
      <c r="O68" s="5">
        <f>Grade10!M68-M68</f>
        <v>1.2100000000000009</v>
      </c>
      <c r="Q68" s="22"/>
      <c r="R68" s="22"/>
      <c r="S68" s="22">
        <f t="shared" si="20"/>
        <v>1.1858000000000009</v>
      </c>
      <c r="T68" s="22">
        <f t="shared" si="21"/>
        <v>0.11276957212113853</v>
      </c>
    </row>
    <row r="69" spans="1:20" x14ac:dyDescent="0.2">
      <c r="A69" s="5">
        <v>78</v>
      </c>
      <c r="H69" s="21"/>
      <c r="M69" s="5">
        <f>scrimecost*Meta!O66</f>
        <v>57.53</v>
      </c>
      <c r="N69" s="5">
        <f>L69-Grade10!L69</f>
        <v>0</v>
      </c>
      <c r="O69" s="5">
        <f>Grade10!M69-M69</f>
        <v>1.2100000000000009</v>
      </c>
      <c r="Q69" s="22"/>
      <c r="R69" s="22"/>
      <c r="S69" s="22">
        <f t="shared" si="20"/>
        <v>1.1858000000000009</v>
      </c>
      <c r="T69" s="22">
        <f t="shared" si="21"/>
        <v>0.10850276187490475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-3.9078803096281867E-8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9" sqref="P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Meta!A6+6</f>
        <v>18</v>
      </c>
      <c r="C2" s="7">
        <f>Meta!B6</f>
        <v>115657</v>
      </c>
      <c r="D2" s="7">
        <f>Meta!C6</f>
        <v>52125</v>
      </c>
      <c r="E2" s="1">
        <f>Meta!D6</f>
        <v>4.4999999999999998E-2</v>
      </c>
      <c r="F2" s="1">
        <f>Meta!F6</f>
        <v>0.70899999999999996</v>
      </c>
      <c r="G2" s="1">
        <f>Meta!I6</f>
        <v>1.8929079672445346</v>
      </c>
      <c r="H2" s="1">
        <f>Meta!E6</f>
        <v>0.98</v>
      </c>
      <c r="I2" s="13"/>
      <c r="J2" s="1">
        <f>Meta!X5</f>
        <v>0.754</v>
      </c>
      <c r="K2" s="1">
        <f>Meta!D5</f>
        <v>5.3999999999999999E-2</v>
      </c>
      <c r="L2" s="29"/>
      <c r="N2" s="22">
        <f>Meta!T6</f>
        <v>141061</v>
      </c>
      <c r="O2" s="22">
        <f>Meta!U6</f>
        <v>61814</v>
      </c>
      <c r="P2" s="1">
        <f>Meta!V6</f>
        <v>3.5999999999999997E-2</v>
      </c>
      <c r="Q2" s="1">
        <f>Meta!X6</f>
        <v>0.76200000000000001</v>
      </c>
      <c r="R2" s="22">
        <f>Meta!W6</f>
        <v>1025</v>
      </c>
      <c r="T2" s="12">
        <f>IRR(S5:S69)+1</f>
        <v>1.0403101762126814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B8" s="1">
        <v>1</v>
      </c>
      <c r="C8" s="5">
        <f>0.1*Grade11!C8</f>
        <v>5036.4326038724603</v>
      </c>
      <c r="D8" s="5">
        <f t="shared" ref="D8:D36" si="0">IF(A8&lt;startage,1,0)*(C8*(1-initialunempprob))+IF(A8=startage,1,0)*(C8*(1-unempprob))+IF(A8&gt;startage,1,0)*(C8*(1-unempprob)+unempprob*300*52)</f>
        <v>4764.4652432633475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364.48159110964605</v>
      </c>
      <c r="G8" s="5">
        <f t="shared" ref="G8:G56" si="3">D8-F8</f>
        <v>4399.9836521537018</v>
      </c>
      <c r="H8" s="22">
        <f>0.1*Grade11!H8</f>
        <v>2269.8615397289836</v>
      </c>
      <c r="I8" s="5">
        <f t="shared" ref="I8:I36" si="4">G8+IF(A8&lt;startage,1,0)*(H8*(1-initialunempprob))+IF(A8&gt;=startage,1,0)*(H8*(1-unempprob))</f>
        <v>6547.2726687373197</v>
      </c>
      <c r="J8" s="26">
        <f t="shared" ref="J8:J39" si="5">(F8-(IF(A8&gt;startage,1,0)*(unempprob*300*52)))/(IF(A8&lt;startage,1,0)*((C8+H8)*(1-initialunempprob))+IF(A8&gt;=startage,1,0)*((C8+H8)*(1-unempprob)))</f>
        <v>5.2733586497289049E-2</v>
      </c>
      <c r="L8" s="22">
        <f>0.1*Grade11!L8</f>
        <v>9722.1257133082945</v>
      </c>
      <c r="M8" s="5">
        <f>scrimecost*Meta!O5</f>
        <v>2779.8</v>
      </c>
      <c r="N8" s="5">
        <f>L8-Grade11!L8</f>
        <v>-87499.13141977464</v>
      </c>
      <c r="O8" s="5"/>
      <c r="P8" s="22"/>
      <c r="Q8" s="22">
        <f>0.05*feel*Grade11!G8</f>
        <v>483.33891438161419</v>
      </c>
      <c r="R8" s="22">
        <f>hstuition</f>
        <v>11298</v>
      </c>
      <c r="S8" s="22">
        <f t="shared" ref="S8:S39" si="6">IF(A8&lt;startage,1,0)*(N8-Q8-R8)+IF(A8&gt;=startage,1,0)*completionprob*(N8*spart+O8+P8)</f>
        <v>-99280.470334156256</v>
      </c>
      <c r="T8" s="22">
        <f t="shared" ref="T8:T39" si="7">S8/sreturn^(A8-startage+1)</f>
        <v>-99280.470334156256</v>
      </c>
    </row>
    <row r="9" spans="1:20" x14ac:dyDescent="0.2">
      <c r="A9" s="5">
        <v>18</v>
      </c>
      <c r="B9" s="1">
        <f t="shared" ref="B9:B36" si="8">(1+experiencepremium)^(A9-startage)</f>
        <v>1</v>
      </c>
      <c r="C9" s="5">
        <f t="shared" ref="C9:C36" si="9">pretaxincome*B9/expnorm</f>
        <v>61100.170743303177</v>
      </c>
      <c r="D9" s="5">
        <f t="shared" si="0"/>
        <v>58350.663059854531</v>
      </c>
      <c r="E9" s="5">
        <f t="shared" si="1"/>
        <v>48850.663059854531</v>
      </c>
      <c r="F9" s="5">
        <f t="shared" si="2"/>
        <v>17686.557795027955</v>
      </c>
      <c r="G9" s="5">
        <f t="shared" si="3"/>
        <v>40664.105264826576</v>
      </c>
      <c r="H9" s="22">
        <f t="shared" ref="H9:H36" si="10">benefits*B9/expnorm</f>
        <v>27536.996463635387</v>
      </c>
      <c r="I9" s="5">
        <f t="shared" si="4"/>
        <v>66961.936887598364</v>
      </c>
      <c r="J9" s="26">
        <f t="shared" si="5"/>
        <v>0.20894119690303281</v>
      </c>
      <c r="L9" s="22">
        <f t="shared" ref="L9:L36" si="11">(sincome+sbenefits)*(1-sunemp)*B9/expnorm</f>
        <v>103318.01830000707</v>
      </c>
      <c r="M9" s="5">
        <f>scrimecost*Meta!O6</f>
        <v>3378.3999999999996</v>
      </c>
      <c r="N9" s="5">
        <f>L9-Grade11!L9</f>
        <v>3666.2297385970596</v>
      </c>
      <c r="O9" s="5">
        <f>Grade11!M9-M9</f>
        <v>69.216000000000349</v>
      </c>
      <c r="P9" s="22">
        <f t="shared" ref="P9:P56" si="12">(spart-initialspart)*(L9*J9+nptrans)</f>
        <v>225.13112324202359</v>
      </c>
      <c r="Q9" s="22"/>
      <c r="R9" s="22"/>
      <c r="S9" s="22">
        <f t="shared" si="6"/>
        <v>3026.2539003719235</v>
      </c>
      <c r="T9" s="22">
        <f t="shared" si="7"/>
        <v>2908.9919233407891</v>
      </c>
    </row>
    <row r="10" spans="1:20" x14ac:dyDescent="0.2">
      <c r="A10" s="5">
        <v>19</v>
      </c>
      <c r="B10" s="1">
        <f t="shared" si="8"/>
        <v>1.0249999999999999</v>
      </c>
      <c r="C10" s="5">
        <f t="shared" si="9"/>
        <v>62627.675011885753</v>
      </c>
      <c r="D10" s="5">
        <f t="shared" si="0"/>
        <v>60511.429636350891</v>
      </c>
      <c r="E10" s="5">
        <f t="shared" si="1"/>
        <v>51011.429636350891</v>
      </c>
      <c r="F10" s="5">
        <f t="shared" si="2"/>
        <v>18608.124739903655</v>
      </c>
      <c r="G10" s="5">
        <f t="shared" si="3"/>
        <v>41903.30489644724</v>
      </c>
      <c r="H10" s="22">
        <f t="shared" si="10"/>
        <v>28225.421375226269</v>
      </c>
      <c r="I10" s="5">
        <f t="shared" si="4"/>
        <v>68858.582309788326</v>
      </c>
      <c r="J10" s="26">
        <f t="shared" si="5"/>
        <v>0.20637567219178693</v>
      </c>
      <c r="L10" s="22">
        <f t="shared" si="11"/>
        <v>105900.96875750723</v>
      </c>
      <c r="M10" s="5">
        <f>scrimecost*Meta!O7</f>
        <v>3611.0750000000003</v>
      </c>
      <c r="N10" s="5">
        <f>L10-Grade11!L10</f>
        <v>3757.8854820619745</v>
      </c>
      <c r="O10" s="5">
        <f>Grade11!M10-M10</f>
        <v>73.98299999999972</v>
      </c>
      <c r="P10" s="22">
        <f t="shared" si="12"/>
        <v>227.27506890473606</v>
      </c>
      <c r="Q10" s="22"/>
      <c r="R10" s="22"/>
      <c r="S10" s="22">
        <f t="shared" si="6"/>
        <v>3101.4714701112412</v>
      </c>
      <c r="T10" s="22">
        <f t="shared" si="7"/>
        <v>2865.7750483313894</v>
      </c>
    </row>
    <row r="11" spans="1:20" x14ac:dyDescent="0.2">
      <c r="A11" s="5">
        <v>20</v>
      </c>
      <c r="B11" s="1">
        <f t="shared" si="8"/>
        <v>1.0506249999999999</v>
      </c>
      <c r="C11" s="5">
        <f t="shared" si="9"/>
        <v>64193.3668871829</v>
      </c>
      <c r="D11" s="5">
        <f t="shared" si="0"/>
        <v>62006.665377259669</v>
      </c>
      <c r="E11" s="5">
        <f t="shared" si="1"/>
        <v>52506.665377259669</v>
      </c>
      <c r="F11" s="5">
        <f t="shared" si="2"/>
        <v>19245.842783401247</v>
      </c>
      <c r="G11" s="5">
        <f t="shared" si="3"/>
        <v>42760.822593858422</v>
      </c>
      <c r="H11" s="22">
        <f t="shared" si="10"/>
        <v>28931.056909606927</v>
      </c>
      <c r="I11" s="5">
        <f t="shared" si="4"/>
        <v>70389.981942533035</v>
      </c>
      <c r="J11" s="26">
        <f t="shared" si="5"/>
        <v>0.20851282220850689</v>
      </c>
      <c r="L11" s="22">
        <f t="shared" si="11"/>
        <v>108548.4929764449</v>
      </c>
      <c r="M11" s="5">
        <f>scrimecost*Meta!O8</f>
        <v>3458.35</v>
      </c>
      <c r="N11" s="5">
        <f>L11-Grade11!L11</f>
        <v>3851.8326191135275</v>
      </c>
      <c r="O11" s="5">
        <f>Grade11!M11-M11</f>
        <v>70.854000000000269</v>
      </c>
      <c r="P11" s="22">
        <f t="shared" si="12"/>
        <v>233.50202093599074</v>
      </c>
      <c r="Q11" s="22"/>
      <c r="R11" s="22"/>
      <c r="S11" s="22">
        <f t="shared" si="6"/>
        <v>3174.6634271664889</v>
      </c>
      <c r="T11" s="22">
        <f t="shared" si="7"/>
        <v>2819.7405421820636</v>
      </c>
    </row>
    <row r="12" spans="1:20" x14ac:dyDescent="0.2">
      <c r="A12" s="5">
        <v>21</v>
      </c>
      <c r="B12" s="1">
        <f t="shared" si="8"/>
        <v>1.0768906249999999</v>
      </c>
      <c r="C12" s="5">
        <f t="shared" si="9"/>
        <v>65798.201059362458</v>
      </c>
      <c r="D12" s="5">
        <f t="shared" si="0"/>
        <v>63539.282011691146</v>
      </c>
      <c r="E12" s="5">
        <f t="shared" si="1"/>
        <v>54039.282011691146</v>
      </c>
      <c r="F12" s="5">
        <f t="shared" si="2"/>
        <v>19899.503777986272</v>
      </c>
      <c r="G12" s="5">
        <f t="shared" si="3"/>
        <v>43639.77823370487</v>
      </c>
      <c r="H12" s="22">
        <f t="shared" si="10"/>
        <v>29654.333332347098</v>
      </c>
      <c r="I12" s="5">
        <f t="shared" si="4"/>
        <v>71959.666566096348</v>
      </c>
      <c r="J12" s="26">
        <f t="shared" si="5"/>
        <v>0.21059784661506289</v>
      </c>
      <c r="L12" s="22">
        <f t="shared" si="11"/>
        <v>111262.20530085603</v>
      </c>
      <c r="M12" s="5">
        <f>scrimecost*Meta!O9</f>
        <v>3140.6</v>
      </c>
      <c r="N12" s="5">
        <f>L12-Grade11!L12</f>
        <v>3948.1284345913737</v>
      </c>
      <c r="O12" s="5">
        <f>Grade11!M12-M12</f>
        <v>64.344000000000051</v>
      </c>
      <c r="P12" s="22">
        <f t="shared" si="12"/>
        <v>239.88464676802673</v>
      </c>
      <c r="Q12" s="22"/>
      <c r="R12" s="22"/>
      <c r="S12" s="22">
        <f t="shared" si="6"/>
        <v>3246.4484636481207</v>
      </c>
      <c r="T12" s="22">
        <f t="shared" si="7"/>
        <v>2771.7695923376641</v>
      </c>
    </row>
    <row r="13" spans="1:20" x14ac:dyDescent="0.2">
      <c r="A13" s="5">
        <v>22</v>
      </c>
      <c r="B13" s="1">
        <f t="shared" si="8"/>
        <v>1.1038128906249998</v>
      </c>
      <c r="C13" s="5">
        <f t="shared" si="9"/>
        <v>67443.156085846524</v>
      </c>
      <c r="D13" s="5">
        <f t="shared" si="0"/>
        <v>65110.214061983424</v>
      </c>
      <c r="E13" s="5">
        <f t="shared" si="1"/>
        <v>55610.214061983424</v>
      </c>
      <c r="F13" s="5">
        <f t="shared" si="2"/>
        <v>20569.506297435932</v>
      </c>
      <c r="G13" s="5">
        <f t="shared" si="3"/>
        <v>44540.707764547493</v>
      </c>
      <c r="H13" s="22">
        <f t="shared" si="10"/>
        <v>30395.691665655773</v>
      </c>
      <c r="I13" s="5">
        <f t="shared" si="4"/>
        <v>73568.593305248753</v>
      </c>
      <c r="J13" s="26">
        <f t="shared" si="5"/>
        <v>0.21263201676780055</v>
      </c>
      <c r="L13" s="22">
        <f t="shared" si="11"/>
        <v>114043.76043337744</v>
      </c>
      <c r="M13" s="5">
        <f>scrimecost*Meta!O10</f>
        <v>2878.2</v>
      </c>
      <c r="N13" s="5">
        <f>L13-Grade11!L13</f>
        <v>4046.8316454561718</v>
      </c>
      <c r="O13" s="5">
        <f>Grade11!M13-M13</f>
        <v>58.967999999999847</v>
      </c>
      <c r="P13" s="22">
        <f t="shared" si="12"/>
        <v>246.42683824586376</v>
      </c>
      <c r="Q13" s="22"/>
      <c r="R13" s="22"/>
      <c r="S13" s="22">
        <f t="shared" si="6"/>
        <v>3321.2989410417972</v>
      </c>
      <c r="T13" s="22">
        <f t="shared" si="7"/>
        <v>2725.7984067062425</v>
      </c>
    </row>
    <row r="14" spans="1:20" x14ac:dyDescent="0.2">
      <c r="A14" s="5">
        <v>23</v>
      </c>
      <c r="B14" s="1">
        <f t="shared" si="8"/>
        <v>1.1314082128906247</v>
      </c>
      <c r="C14" s="5">
        <f t="shared" si="9"/>
        <v>69129.234987992677</v>
      </c>
      <c r="D14" s="5">
        <f t="shared" si="0"/>
        <v>66720.419413533004</v>
      </c>
      <c r="E14" s="5">
        <f t="shared" si="1"/>
        <v>57220.419413533004</v>
      </c>
      <c r="F14" s="5">
        <f t="shared" si="2"/>
        <v>21256.258879871828</v>
      </c>
      <c r="G14" s="5">
        <f t="shared" si="3"/>
        <v>45464.160533661176</v>
      </c>
      <c r="H14" s="22">
        <f t="shared" si="10"/>
        <v>31155.583957297164</v>
      </c>
      <c r="I14" s="5">
        <f t="shared" si="4"/>
        <v>75217.74321287997</v>
      </c>
      <c r="J14" s="26">
        <f t="shared" si="5"/>
        <v>0.21461657301437384</v>
      </c>
      <c r="L14" s="22">
        <f t="shared" si="11"/>
        <v>116894.85444421186</v>
      </c>
      <c r="M14" s="5">
        <f>scrimecost*Meta!O11</f>
        <v>2689.6</v>
      </c>
      <c r="N14" s="5">
        <f>L14-Grade11!L14</f>
        <v>4148.0024365925638</v>
      </c>
      <c r="O14" s="5">
        <f>Grade11!M14-M14</f>
        <v>55.104000000000269</v>
      </c>
      <c r="P14" s="22">
        <f t="shared" si="12"/>
        <v>253.13258451064661</v>
      </c>
      <c r="Q14" s="22"/>
      <c r="R14" s="22"/>
      <c r="S14" s="22">
        <f t="shared" si="6"/>
        <v>3399.6341523702968</v>
      </c>
      <c r="T14" s="22">
        <f t="shared" si="7"/>
        <v>2681.9773330625899</v>
      </c>
    </row>
    <row r="15" spans="1:20" x14ac:dyDescent="0.2">
      <c r="A15" s="5">
        <v>24</v>
      </c>
      <c r="B15" s="1">
        <f t="shared" si="8"/>
        <v>1.1596934182128902</v>
      </c>
      <c r="C15" s="5">
        <f t="shared" si="9"/>
        <v>70857.465862692479</v>
      </c>
      <c r="D15" s="5">
        <f t="shared" si="0"/>
        <v>68370.87989887131</v>
      </c>
      <c r="E15" s="5">
        <f t="shared" si="1"/>
        <v>58870.87989887131</v>
      </c>
      <c r="F15" s="5">
        <f t="shared" si="2"/>
        <v>21960.180276868614</v>
      </c>
      <c r="G15" s="5">
        <f t="shared" si="3"/>
        <v>46410.699622002692</v>
      </c>
      <c r="H15" s="22">
        <f t="shared" si="10"/>
        <v>31934.473556229594</v>
      </c>
      <c r="I15" s="5">
        <f t="shared" si="4"/>
        <v>76908.121868201953</v>
      </c>
      <c r="J15" s="26">
        <f t="shared" si="5"/>
        <v>0.21655272545005499</v>
      </c>
      <c r="L15" s="22">
        <f t="shared" si="11"/>
        <v>119817.22580531714</v>
      </c>
      <c r="M15" s="5">
        <f>scrimecost*Meta!O12</f>
        <v>2569.6750000000002</v>
      </c>
      <c r="N15" s="5">
        <f>L15-Grade11!L15</f>
        <v>4251.7024975073728</v>
      </c>
      <c r="O15" s="5">
        <f>Grade11!M15-M15</f>
        <v>52.646999999999935</v>
      </c>
      <c r="P15" s="22">
        <f t="shared" si="12"/>
        <v>260.00597443204896</v>
      </c>
      <c r="Q15" s="22"/>
      <c r="R15" s="22"/>
      <c r="S15" s="22">
        <f t="shared" si="6"/>
        <v>3481.4012719820134</v>
      </c>
      <c r="T15" s="22">
        <f t="shared" si="7"/>
        <v>2640.062184950536</v>
      </c>
    </row>
    <row r="16" spans="1:20" x14ac:dyDescent="0.2">
      <c r="A16" s="5">
        <v>25</v>
      </c>
      <c r="B16" s="1">
        <f t="shared" si="8"/>
        <v>1.1886857536682125</v>
      </c>
      <c r="C16" s="5">
        <f t="shared" si="9"/>
        <v>72628.902509259802</v>
      </c>
      <c r="D16" s="5">
        <f t="shared" si="0"/>
        <v>70062.601896343112</v>
      </c>
      <c r="E16" s="5">
        <f t="shared" si="1"/>
        <v>60562.601896343112</v>
      </c>
      <c r="F16" s="5">
        <f t="shared" si="2"/>
        <v>22681.699708790336</v>
      </c>
      <c r="G16" s="5">
        <f t="shared" si="3"/>
        <v>47380.902187552776</v>
      </c>
      <c r="H16" s="22">
        <f t="shared" si="10"/>
        <v>32732.835395135331</v>
      </c>
      <c r="I16" s="5">
        <f t="shared" si="4"/>
        <v>78640.759989907019</v>
      </c>
      <c r="J16" s="26">
        <f t="shared" si="5"/>
        <v>0.21844165465559773</v>
      </c>
      <c r="L16" s="22">
        <f t="shared" si="11"/>
        <v>122812.65645045007</v>
      </c>
      <c r="M16" s="5">
        <f>scrimecost*Meta!O13</f>
        <v>2157.625</v>
      </c>
      <c r="N16" s="5">
        <f>L16-Grade11!L16</f>
        <v>4357.9950599450676</v>
      </c>
      <c r="O16" s="5">
        <f>Grade11!M16-M16</f>
        <v>44.204999999999927</v>
      </c>
      <c r="P16" s="22">
        <f t="shared" si="12"/>
        <v>267.05119910148647</v>
      </c>
      <c r="Q16" s="22"/>
      <c r="R16" s="22"/>
      <c r="S16" s="22">
        <f t="shared" si="6"/>
        <v>3559.4074660840351</v>
      </c>
      <c r="T16" s="22">
        <f t="shared" si="7"/>
        <v>2594.6270005462679</v>
      </c>
    </row>
    <row r="17" spans="1:20" x14ac:dyDescent="0.2">
      <c r="A17" s="5">
        <v>26</v>
      </c>
      <c r="B17" s="1">
        <f t="shared" si="8"/>
        <v>1.2184028975099177</v>
      </c>
      <c r="C17" s="5">
        <f t="shared" si="9"/>
        <v>74444.625071991293</v>
      </c>
      <c r="D17" s="5">
        <f t="shared" si="0"/>
        <v>71796.61694375168</v>
      </c>
      <c r="E17" s="5">
        <f t="shared" si="1"/>
        <v>62296.61694375168</v>
      </c>
      <c r="F17" s="5">
        <f t="shared" si="2"/>
        <v>23421.257126510092</v>
      </c>
      <c r="G17" s="5">
        <f t="shared" si="3"/>
        <v>48375.359817241588</v>
      </c>
      <c r="H17" s="22">
        <f t="shared" si="10"/>
        <v>33551.156280013711</v>
      </c>
      <c r="I17" s="5">
        <f t="shared" si="4"/>
        <v>80416.714064654676</v>
      </c>
      <c r="J17" s="26">
        <f t="shared" si="5"/>
        <v>0.22028451241710281</v>
      </c>
      <c r="L17" s="22">
        <f t="shared" si="11"/>
        <v>125882.9728617113</v>
      </c>
      <c r="M17" s="5">
        <f>scrimecost*Meta!O14</f>
        <v>2157.625</v>
      </c>
      <c r="N17" s="5">
        <f>L17-Grade11!L17</f>
        <v>4466.9449364436878</v>
      </c>
      <c r="O17" s="5">
        <f>Grade11!M17-M17</f>
        <v>44.204999999999927</v>
      </c>
      <c r="P17" s="22">
        <f t="shared" si="12"/>
        <v>274.27255438765991</v>
      </c>
      <c r="Q17" s="22"/>
      <c r="R17" s="22"/>
      <c r="S17" s="22">
        <f t="shared" si="6"/>
        <v>3647.843804038595</v>
      </c>
      <c r="T17" s="22">
        <f t="shared" si="7"/>
        <v>2556.0574659147578</v>
      </c>
    </row>
    <row r="18" spans="1:20" x14ac:dyDescent="0.2">
      <c r="A18" s="5">
        <v>27</v>
      </c>
      <c r="B18" s="1">
        <f t="shared" si="8"/>
        <v>1.2488629699476654</v>
      </c>
      <c r="C18" s="5">
        <f t="shared" si="9"/>
        <v>76305.740698791065</v>
      </c>
      <c r="D18" s="5">
        <f t="shared" si="0"/>
        <v>73573.982367345467</v>
      </c>
      <c r="E18" s="5">
        <f t="shared" si="1"/>
        <v>64073.982367345467</v>
      </c>
      <c r="F18" s="5">
        <f t="shared" si="2"/>
        <v>24179.303479672843</v>
      </c>
      <c r="G18" s="5">
        <f t="shared" si="3"/>
        <v>49394.67888767262</v>
      </c>
      <c r="H18" s="22">
        <f t="shared" si="10"/>
        <v>34389.935187014053</v>
      </c>
      <c r="I18" s="5">
        <f t="shared" si="4"/>
        <v>82237.066991271044</v>
      </c>
      <c r="J18" s="26">
        <f t="shared" si="5"/>
        <v>0.22208242242832724</v>
      </c>
      <c r="L18" s="22">
        <f t="shared" si="11"/>
        <v>129030.04718325408</v>
      </c>
      <c r="M18" s="5">
        <f>scrimecost*Meta!O15</f>
        <v>2157.625</v>
      </c>
      <c r="N18" s="5">
        <f>L18-Grade11!L18</f>
        <v>4578.6185598547891</v>
      </c>
      <c r="O18" s="5">
        <f>Grade11!M18-M18</f>
        <v>44.204999999999927</v>
      </c>
      <c r="P18" s="22">
        <f t="shared" si="12"/>
        <v>281.67444355598769</v>
      </c>
      <c r="Q18" s="22"/>
      <c r="R18" s="22"/>
      <c r="S18" s="22">
        <f t="shared" si="6"/>
        <v>3738.49105044203</v>
      </c>
      <c r="T18" s="22">
        <f t="shared" si="7"/>
        <v>2518.0704583838992</v>
      </c>
    </row>
    <row r="19" spans="1:20" x14ac:dyDescent="0.2">
      <c r="A19" s="5">
        <v>28</v>
      </c>
      <c r="B19" s="1">
        <f t="shared" si="8"/>
        <v>1.2800845441963571</v>
      </c>
      <c r="C19" s="5">
        <f t="shared" si="9"/>
        <v>78213.384216260834</v>
      </c>
      <c r="D19" s="5">
        <f t="shared" si="0"/>
        <v>75395.781926529089</v>
      </c>
      <c r="E19" s="5">
        <f t="shared" si="1"/>
        <v>65895.781926529089</v>
      </c>
      <c r="F19" s="5">
        <f t="shared" si="2"/>
        <v>24956.300991664655</v>
      </c>
      <c r="G19" s="5">
        <f t="shared" si="3"/>
        <v>50439.480934864434</v>
      </c>
      <c r="H19" s="22">
        <f t="shared" si="10"/>
        <v>35249.683566689404</v>
      </c>
      <c r="I19" s="5">
        <f t="shared" si="4"/>
        <v>84102.928741052805</v>
      </c>
      <c r="J19" s="26">
        <f t="shared" si="5"/>
        <v>0.22383648097586323</v>
      </c>
      <c r="L19" s="22">
        <f t="shared" si="11"/>
        <v>132255.79836283543</v>
      </c>
      <c r="M19" s="5">
        <f>scrimecost*Meta!O16</f>
        <v>2157.625</v>
      </c>
      <c r="N19" s="5">
        <f>L19-Grade11!L19</f>
        <v>4693.0840238511446</v>
      </c>
      <c r="O19" s="5">
        <f>Grade11!M19-M19</f>
        <v>44.204999999999927</v>
      </c>
      <c r="P19" s="22">
        <f t="shared" si="12"/>
        <v>289.26137995352354</v>
      </c>
      <c r="Q19" s="22"/>
      <c r="R19" s="22"/>
      <c r="S19" s="22">
        <f t="shared" si="6"/>
        <v>3831.4044780055337</v>
      </c>
      <c r="T19" s="22">
        <f t="shared" si="7"/>
        <v>2480.6568275222435</v>
      </c>
    </row>
    <row r="20" spans="1:20" x14ac:dyDescent="0.2">
      <c r="A20" s="5">
        <v>29</v>
      </c>
      <c r="B20" s="1">
        <f t="shared" si="8"/>
        <v>1.312086657801266</v>
      </c>
      <c r="C20" s="5">
        <f t="shared" si="9"/>
        <v>80168.718821667353</v>
      </c>
      <c r="D20" s="5">
        <f t="shared" si="0"/>
        <v>77263.126474692326</v>
      </c>
      <c r="E20" s="5">
        <f t="shared" si="1"/>
        <v>67763.126474692326</v>
      </c>
      <c r="F20" s="5">
        <f t="shared" si="2"/>
        <v>25752.723441456277</v>
      </c>
      <c r="G20" s="5">
        <f t="shared" si="3"/>
        <v>51510.403033236049</v>
      </c>
      <c r="H20" s="22">
        <f t="shared" si="10"/>
        <v>36130.925655856634</v>
      </c>
      <c r="I20" s="5">
        <f t="shared" si="4"/>
        <v>86015.437034579139</v>
      </c>
      <c r="J20" s="26">
        <f t="shared" si="5"/>
        <v>0.22554775760760579</v>
      </c>
      <c r="L20" s="22">
        <f t="shared" si="11"/>
        <v>135562.19332190629</v>
      </c>
      <c r="M20" s="5">
        <f>scrimecost*Meta!O17</f>
        <v>2157.625</v>
      </c>
      <c r="N20" s="5">
        <f>L20-Grade11!L20</f>
        <v>4810.4111244474043</v>
      </c>
      <c r="O20" s="5">
        <f>Grade11!M20-M20</f>
        <v>44.204999999999927</v>
      </c>
      <c r="P20" s="22">
        <f t="shared" si="12"/>
        <v>297.03798976099796</v>
      </c>
      <c r="Q20" s="22"/>
      <c r="R20" s="22"/>
      <c r="S20" s="22">
        <f t="shared" si="6"/>
        <v>3926.6407412581216</v>
      </c>
      <c r="T20" s="22">
        <f t="shared" si="7"/>
        <v>2443.8075799386111</v>
      </c>
    </row>
    <row r="21" spans="1:20" x14ac:dyDescent="0.2">
      <c r="A21" s="5">
        <v>30</v>
      </c>
      <c r="B21" s="1">
        <f t="shared" si="8"/>
        <v>1.3448888242462975</v>
      </c>
      <c r="C21" s="5">
        <f t="shared" si="9"/>
        <v>82172.936792209031</v>
      </c>
      <c r="D21" s="5">
        <f t="shared" si="0"/>
        <v>79177.154636559615</v>
      </c>
      <c r="E21" s="5">
        <f t="shared" si="1"/>
        <v>69677.154636559615</v>
      </c>
      <c r="F21" s="5">
        <f t="shared" si="2"/>
        <v>26569.056452492674</v>
      </c>
      <c r="G21" s="5">
        <f t="shared" si="3"/>
        <v>52608.098184066941</v>
      </c>
      <c r="H21" s="22">
        <f t="shared" si="10"/>
        <v>37034.198797253048</v>
      </c>
      <c r="I21" s="5">
        <f t="shared" si="4"/>
        <v>87975.758035443607</v>
      </c>
      <c r="J21" s="26">
        <f t="shared" si="5"/>
        <v>0.22721729578491542</v>
      </c>
      <c r="L21" s="22">
        <f t="shared" si="11"/>
        <v>138951.24815495397</v>
      </c>
      <c r="M21" s="5">
        <f>scrimecost*Meta!O18</f>
        <v>1739.425</v>
      </c>
      <c r="N21" s="5">
        <f>L21-Grade11!L21</f>
        <v>4930.6714025586261</v>
      </c>
      <c r="O21" s="5">
        <f>Grade11!M21-M21</f>
        <v>35.637000000000171</v>
      </c>
      <c r="P21" s="22">
        <f t="shared" si="12"/>
        <v>305.00901481365918</v>
      </c>
      <c r="Q21" s="22"/>
      <c r="R21" s="22"/>
      <c r="S21" s="22">
        <f t="shared" si="6"/>
        <v>4015.8612710920661</v>
      </c>
      <c r="T21" s="22">
        <f t="shared" si="7"/>
        <v>2402.490582925644</v>
      </c>
    </row>
    <row r="22" spans="1:20" x14ac:dyDescent="0.2">
      <c r="A22" s="5">
        <v>31</v>
      </c>
      <c r="B22" s="1">
        <f t="shared" si="8"/>
        <v>1.3785110448524549</v>
      </c>
      <c r="C22" s="5">
        <f t="shared" si="9"/>
        <v>84227.260212014269</v>
      </c>
      <c r="D22" s="5">
        <f t="shared" si="0"/>
        <v>81139.033502473627</v>
      </c>
      <c r="E22" s="5">
        <f t="shared" si="1"/>
        <v>71639.033502473627</v>
      </c>
      <c r="F22" s="5">
        <f t="shared" si="2"/>
        <v>27405.797788805005</v>
      </c>
      <c r="G22" s="5">
        <f t="shared" si="3"/>
        <v>53733.235713668619</v>
      </c>
      <c r="H22" s="22">
        <f t="shared" si="10"/>
        <v>37960.05376718437</v>
      </c>
      <c r="I22" s="5">
        <f t="shared" si="4"/>
        <v>89985.087061329687</v>
      </c>
      <c r="J22" s="26">
        <f t="shared" si="5"/>
        <v>0.22884611351887627</v>
      </c>
      <c r="L22" s="22">
        <f t="shared" si="11"/>
        <v>142425.0293588278</v>
      </c>
      <c r="M22" s="5">
        <f>scrimecost*Meta!O19</f>
        <v>1739.425</v>
      </c>
      <c r="N22" s="5">
        <f>L22-Grade11!L22</f>
        <v>5053.9381876225816</v>
      </c>
      <c r="O22" s="5">
        <f>Grade11!M22-M22</f>
        <v>35.637000000000171</v>
      </c>
      <c r="P22" s="22">
        <f t="shared" si="12"/>
        <v>313.17931549263704</v>
      </c>
      <c r="Q22" s="22"/>
      <c r="R22" s="22"/>
      <c r="S22" s="22">
        <f t="shared" si="6"/>
        <v>4115.918870171824</v>
      </c>
      <c r="T22" s="22">
        <f t="shared" si="7"/>
        <v>2366.9383777862208</v>
      </c>
    </row>
    <row r="23" spans="1:20" x14ac:dyDescent="0.2">
      <c r="A23" s="5">
        <v>32</v>
      </c>
      <c r="B23" s="1">
        <f t="shared" si="8"/>
        <v>1.4129738209737661</v>
      </c>
      <c r="C23" s="5">
        <f t="shared" si="9"/>
        <v>86332.941717314607</v>
      </c>
      <c r="D23" s="5">
        <f t="shared" si="0"/>
        <v>83149.95934003545</v>
      </c>
      <c r="E23" s="5">
        <f t="shared" si="1"/>
        <v>73649.95934003545</v>
      </c>
      <c r="F23" s="5">
        <f t="shared" si="2"/>
        <v>28263.45765852512</v>
      </c>
      <c r="G23" s="5">
        <f t="shared" si="3"/>
        <v>54886.50168151033</v>
      </c>
      <c r="H23" s="22">
        <f t="shared" si="10"/>
        <v>38909.055111363981</v>
      </c>
      <c r="I23" s="5">
        <f t="shared" si="4"/>
        <v>92044.649312862923</v>
      </c>
      <c r="J23" s="26">
        <f t="shared" si="5"/>
        <v>0.23043520399103301</v>
      </c>
      <c r="L23" s="22">
        <f t="shared" si="11"/>
        <v>145985.65509279846</v>
      </c>
      <c r="M23" s="5">
        <f>scrimecost*Meta!O20</f>
        <v>1739.425</v>
      </c>
      <c r="N23" s="5">
        <f>L23-Grade11!L23</f>
        <v>5180.2866423130909</v>
      </c>
      <c r="O23" s="5">
        <f>Grade11!M23-M23</f>
        <v>35.637000000000171</v>
      </c>
      <c r="P23" s="22">
        <f t="shared" si="12"/>
        <v>321.55387368858908</v>
      </c>
      <c r="Q23" s="22"/>
      <c r="R23" s="22"/>
      <c r="S23" s="22">
        <f t="shared" si="6"/>
        <v>4218.4779092285416</v>
      </c>
      <c r="T23" s="22">
        <f t="shared" si="7"/>
        <v>2331.9169445120569</v>
      </c>
    </row>
    <row r="24" spans="1:20" x14ac:dyDescent="0.2">
      <c r="A24" s="5">
        <v>33</v>
      </c>
      <c r="B24" s="1">
        <f t="shared" si="8"/>
        <v>1.4482981664981105</v>
      </c>
      <c r="C24" s="5">
        <f t="shared" si="9"/>
        <v>88491.265260247485</v>
      </c>
      <c r="D24" s="5">
        <f t="shared" si="0"/>
        <v>85211.158323536351</v>
      </c>
      <c r="E24" s="5">
        <f t="shared" si="1"/>
        <v>75711.158323536351</v>
      </c>
      <c r="F24" s="5">
        <f t="shared" si="2"/>
        <v>29142.559024988255</v>
      </c>
      <c r="G24" s="5">
        <f t="shared" si="3"/>
        <v>56068.599298548099</v>
      </c>
      <c r="H24" s="22">
        <f t="shared" si="10"/>
        <v>39881.781489148088</v>
      </c>
      <c r="I24" s="5">
        <f t="shared" si="4"/>
        <v>94155.700620684525</v>
      </c>
      <c r="J24" s="26">
        <f t="shared" si="5"/>
        <v>0.23198553615899087</v>
      </c>
      <c r="L24" s="22">
        <f t="shared" si="11"/>
        <v>149635.29647011848</v>
      </c>
      <c r="M24" s="5">
        <f>scrimecost*Meta!O21</f>
        <v>1739.425</v>
      </c>
      <c r="N24" s="5">
        <f>L24-Grade11!L24</f>
        <v>5309.7938083710033</v>
      </c>
      <c r="O24" s="5">
        <f>Grade11!M24-M24</f>
        <v>35.637000000000171</v>
      </c>
      <c r="P24" s="22">
        <f t="shared" si="12"/>
        <v>330.13779583944017</v>
      </c>
      <c r="Q24" s="22"/>
      <c r="R24" s="22"/>
      <c r="S24" s="22">
        <f t="shared" si="6"/>
        <v>4323.600924261782</v>
      </c>
      <c r="T24" s="22">
        <f t="shared" si="7"/>
        <v>2297.4181791262686</v>
      </c>
    </row>
    <row r="25" spans="1:20" x14ac:dyDescent="0.2">
      <c r="A25" s="5">
        <v>34</v>
      </c>
      <c r="B25" s="1">
        <f t="shared" si="8"/>
        <v>1.4845056206605631</v>
      </c>
      <c r="C25" s="5">
        <f t="shared" si="9"/>
        <v>90703.546891753664</v>
      </c>
      <c r="D25" s="5">
        <f t="shared" si="0"/>
        <v>87323.887281624746</v>
      </c>
      <c r="E25" s="5">
        <f t="shared" si="1"/>
        <v>77823.887281624746</v>
      </c>
      <c r="F25" s="5">
        <f t="shared" si="2"/>
        <v>30043.637925612951</v>
      </c>
      <c r="G25" s="5">
        <f t="shared" si="3"/>
        <v>57280.249356011795</v>
      </c>
      <c r="H25" s="22">
        <f t="shared" si="10"/>
        <v>40878.826026376788</v>
      </c>
      <c r="I25" s="5">
        <f t="shared" si="4"/>
        <v>96319.528211201628</v>
      </c>
      <c r="J25" s="26">
        <f t="shared" si="5"/>
        <v>0.23349805534724241</v>
      </c>
      <c r="L25" s="22">
        <f t="shared" si="11"/>
        <v>153376.1788818714</v>
      </c>
      <c r="M25" s="5">
        <f>scrimecost*Meta!O22</f>
        <v>1739.425</v>
      </c>
      <c r="N25" s="5">
        <f>L25-Grade11!L25</f>
        <v>5442.538653580239</v>
      </c>
      <c r="O25" s="5">
        <f>Grade11!M25-M25</f>
        <v>35.637000000000171</v>
      </c>
      <c r="P25" s="22">
        <f t="shared" si="12"/>
        <v>338.93631604406238</v>
      </c>
      <c r="Q25" s="22"/>
      <c r="R25" s="22"/>
      <c r="S25" s="22">
        <f t="shared" si="6"/>
        <v>4431.3520146707615</v>
      </c>
      <c r="T25" s="22">
        <f t="shared" si="7"/>
        <v>2263.4341082568635</v>
      </c>
    </row>
    <row r="26" spans="1:20" x14ac:dyDescent="0.2">
      <c r="A26" s="5">
        <v>35</v>
      </c>
      <c r="B26" s="1">
        <f t="shared" si="8"/>
        <v>1.521618261177077</v>
      </c>
      <c r="C26" s="5">
        <f t="shared" si="9"/>
        <v>92971.135564047494</v>
      </c>
      <c r="D26" s="5">
        <f t="shared" si="0"/>
        <v>89489.434463665355</v>
      </c>
      <c r="E26" s="5">
        <f t="shared" si="1"/>
        <v>79989.434463665355</v>
      </c>
      <c r="F26" s="5">
        <f t="shared" si="2"/>
        <v>30967.243798753272</v>
      </c>
      <c r="G26" s="5">
        <f t="shared" si="3"/>
        <v>58522.190664912079</v>
      </c>
      <c r="H26" s="22">
        <f t="shared" si="10"/>
        <v>41900.796677036196</v>
      </c>
      <c r="I26" s="5">
        <f t="shared" si="4"/>
        <v>98537.451491481654</v>
      </c>
      <c r="J26" s="26">
        <f t="shared" si="5"/>
        <v>0.23497368382358538</v>
      </c>
      <c r="L26" s="22">
        <f t="shared" si="11"/>
        <v>157210.58335391816</v>
      </c>
      <c r="M26" s="5">
        <f>scrimecost*Meta!O23</f>
        <v>1349.925</v>
      </c>
      <c r="N26" s="5">
        <f>L26-Grade11!L26</f>
        <v>5578.6021199196985</v>
      </c>
      <c r="O26" s="5">
        <f>Grade11!M26-M26</f>
        <v>27.656999999999925</v>
      </c>
      <c r="P26" s="22">
        <f t="shared" si="12"/>
        <v>347.95479925380016</v>
      </c>
      <c r="Q26" s="22"/>
      <c r="R26" s="22"/>
      <c r="S26" s="22">
        <f t="shared" si="6"/>
        <v>4533.9764823399582</v>
      </c>
      <c r="T26" s="22">
        <f t="shared" si="7"/>
        <v>2226.1171829559003</v>
      </c>
    </row>
    <row r="27" spans="1:20" x14ac:dyDescent="0.2">
      <c r="A27" s="5">
        <v>36</v>
      </c>
      <c r="B27" s="1">
        <f t="shared" si="8"/>
        <v>1.559658717706504</v>
      </c>
      <c r="C27" s="5">
        <f t="shared" si="9"/>
        <v>95295.413953148673</v>
      </c>
      <c r="D27" s="5">
        <f t="shared" si="0"/>
        <v>91709.120325256983</v>
      </c>
      <c r="E27" s="5">
        <f t="shared" si="1"/>
        <v>82209.120325256983</v>
      </c>
      <c r="F27" s="5">
        <f t="shared" si="2"/>
        <v>31913.939818722105</v>
      </c>
      <c r="G27" s="5">
        <f t="shared" si="3"/>
        <v>59795.180506534874</v>
      </c>
      <c r="H27" s="22">
        <f t="shared" si="10"/>
        <v>42948.316593962103</v>
      </c>
      <c r="I27" s="5">
        <f t="shared" si="4"/>
        <v>100810.82285376868</v>
      </c>
      <c r="J27" s="26">
        <f t="shared" si="5"/>
        <v>0.23641332136148102</v>
      </c>
      <c r="L27" s="22">
        <f t="shared" si="11"/>
        <v>161140.84793776614</v>
      </c>
      <c r="M27" s="5">
        <f>scrimecost*Meta!O24</f>
        <v>1349.925</v>
      </c>
      <c r="N27" s="5">
        <f>L27-Grade11!L27</f>
        <v>5718.0671729177411</v>
      </c>
      <c r="O27" s="5">
        <f>Grade11!M27-M27</f>
        <v>27.656999999999925</v>
      </c>
      <c r="P27" s="22">
        <f t="shared" si="12"/>
        <v>357.19874454378152</v>
      </c>
      <c r="Q27" s="22"/>
      <c r="R27" s="22"/>
      <c r="S27" s="22">
        <f t="shared" si="6"/>
        <v>4647.1824717009586</v>
      </c>
      <c r="T27" s="22">
        <f t="shared" si="7"/>
        <v>2193.2878733885691</v>
      </c>
    </row>
    <row r="28" spans="1:20" x14ac:dyDescent="0.2">
      <c r="A28" s="5">
        <v>37</v>
      </c>
      <c r="B28" s="1">
        <f t="shared" si="8"/>
        <v>1.5986501856491666</v>
      </c>
      <c r="C28" s="5">
        <f t="shared" si="9"/>
        <v>97677.7993019774</v>
      </c>
      <c r="D28" s="5">
        <f t="shared" si="0"/>
        <v>93984.298333388419</v>
      </c>
      <c r="E28" s="5">
        <f t="shared" si="1"/>
        <v>84484.298333388419</v>
      </c>
      <c r="F28" s="5">
        <f t="shared" si="2"/>
        <v>32910.832189191809</v>
      </c>
      <c r="G28" s="5">
        <f t="shared" si="3"/>
        <v>61073.466144196609</v>
      </c>
      <c r="H28" s="22">
        <f t="shared" si="10"/>
        <v>44022.024508811155</v>
      </c>
      <c r="I28" s="5">
        <f t="shared" si="4"/>
        <v>103114.49955011126</v>
      </c>
      <c r="J28" s="26">
        <f t="shared" si="5"/>
        <v>0.2380138870009593</v>
      </c>
      <c r="L28" s="22">
        <f t="shared" si="11"/>
        <v>165169.3691362103</v>
      </c>
      <c r="M28" s="5">
        <f>scrimecost*Meta!O25</f>
        <v>1349.925</v>
      </c>
      <c r="N28" s="5">
        <f>L28-Grade11!L28</f>
        <v>5861.018852240697</v>
      </c>
      <c r="O28" s="5">
        <f>Grade11!M28-M28</f>
        <v>27.656999999999925</v>
      </c>
      <c r="P28" s="22">
        <f t="shared" si="12"/>
        <v>366.93282849284583</v>
      </c>
      <c r="Q28" s="22"/>
      <c r="R28" s="22"/>
      <c r="S28" s="22">
        <f t="shared" si="6"/>
        <v>4763.4724700222523</v>
      </c>
      <c r="T28" s="22">
        <f t="shared" si="7"/>
        <v>2161.0595025787234</v>
      </c>
    </row>
    <row r="29" spans="1:20" x14ac:dyDescent="0.2">
      <c r="A29" s="5">
        <v>38</v>
      </c>
      <c r="B29" s="1">
        <f t="shared" si="8"/>
        <v>1.6386164402903955</v>
      </c>
      <c r="C29" s="5">
        <f t="shared" si="9"/>
        <v>100119.74428452682</v>
      </c>
      <c r="D29" s="5">
        <f t="shared" si="0"/>
        <v>96316.355791723108</v>
      </c>
      <c r="E29" s="5">
        <f t="shared" si="1"/>
        <v>86816.355791723108</v>
      </c>
      <c r="F29" s="5">
        <f t="shared" si="2"/>
        <v>33975.416418921603</v>
      </c>
      <c r="G29" s="5">
        <f t="shared" si="3"/>
        <v>62340.939372801506</v>
      </c>
      <c r="H29" s="22">
        <f t="shared" si="10"/>
        <v>45122.57512153143</v>
      </c>
      <c r="I29" s="5">
        <f t="shared" si="4"/>
        <v>105432.99861386402</v>
      </c>
      <c r="J29" s="26">
        <f t="shared" si="5"/>
        <v>0.23988376032252623</v>
      </c>
      <c r="L29" s="22">
        <f t="shared" si="11"/>
        <v>169298.6033646155</v>
      </c>
      <c r="M29" s="5">
        <f>scrimecost*Meta!O26</f>
        <v>1349.925</v>
      </c>
      <c r="N29" s="5">
        <f>L29-Grade11!L29</f>
        <v>6007.5443235466955</v>
      </c>
      <c r="O29" s="5">
        <f>Grade11!M29-M29</f>
        <v>27.656999999999925</v>
      </c>
      <c r="P29" s="22">
        <f t="shared" si="12"/>
        <v>377.32788473964717</v>
      </c>
      <c r="Q29" s="22"/>
      <c r="R29" s="22"/>
      <c r="S29" s="22">
        <f t="shared" si="6"/>
        <v>4883.0789860965851</v>
      </c>
      <c r="T29" s="22">
        <f t="shared" si="7"/>
        <v>2129.4819724820381</v>
      </c>
    </row>
    <row r="30" spans="1:20" x14ac:dyDescent="0.2">
      <c r="A30" s="5">
        <v>39</v>
      </c>
      <c r="B30" s="1">
        <f t="shared" si="8"/>
        <v>1.6795818512976552</v>
      </c>
      <c r="C30" s="5">
        <f t="shared" si="9"/>
        <v>102622.73789163998</v>
      </c>
      <c r="D30" s="5">
        <f t="shared" si="0"/>
        <v>98706.714686516178</v>
      </c>
      <c r="E30" s="5">
        <f t="shared" si="1"/>
        <v>89206.714686516178</v>
      </c>
      <c r="F30" s="5">
        <f t="shared" si="2"/>
        <v>35066.615254394637</v>
      </c>
      <c r="G30" s="5">
        <f t="shared" si="3"/>
        <v>63640.09943212154</v>
      </c>
      <c r="H30" s="22">
        <f t="shared" si="10"/>
        <v>46250.639499569712</v>
      </c>
      <c r="I30" s="5">
        <f t="shared" si="4"/>
        <v>107809.46015421061</v>
      </c>
      <c r="J30" s="26">
        <f t="shared" si="5"/>
        <v>0.24170802697771354</v>
      </c>
      <c r="L30" s="22">
        <f t="shared" si="11"/>
        <v>173531.06844873089</v>
      </c>
      <c r="M30" s="5">
        <f>scrimecost*Meta!O27</f>
        <v>1349.925</v>
      </c>
      <c r="N30" s="5">
        <f>L30-Grade11!L30</f>
        <v>6157.7329316353716</v>
      </c>
      <c r="O30" s="5">
        <f>Grade11!M30-M30</f>
        <v>27.656999999999925</v>
      </c>
      <c r="P30" s="22">
        <f t="shared" si="12"/>
        <v>387.98281739261876</v>
      </c>
      <c r="Q30" s="22"/>
      <c r="R30" s="22"/>
      <c r="S30" s="22">
        <f t="shared" si="6"/>
        <v>5005.6756650727975</v>
      </c>
      <c r="T30" s="22">
        <f t="shared" si="7"/>
        <v>2098.3603849137753</v>
      </c>
    </row>
    <row r="31" spans="1:20" x14ac:dyDescent="0.2">
      <c r="A31" s="5">
        <v>40</v>
      </c>
      <c r="B31" s="1">
        <f t="shared" si="8"/>
        <v>1.7215713975800966</v>
      </c>
      <c r="C31" s="5">
        <f t="shared" si="9"/>
        <v>105188.30633893098</v>
      </c>
      <c r="D31" s="5">
        <f t="shared" si="0"/>
        <v>101156.83255367908</v>
      </c>
      <c r="E31" s="5">
        <f t="shared" si="1"/>
        <v>91656.83255367908</v>
      </c>
      <c r="F31" s="5">
        <f t="shared" si="2"/>
        <v>36185.094060754505</v>
      </c>
      <c r="G31" s="5">
        <f t="shared" si="3"/>
        <v>64971.738492924575</v>
      </c>
      <c r="H31" s="22">
        <f t="shared" si="10"/>
        <v>47406.905487058953</v>
      </c>
      <c r="I31" s="5">
        <f t="shared" si="4"/>
        <v>110245.33323306587</v>
      </c>
      <c r="J31" s="26">
        <f t="shared" si="5"/>
        <v>0.2434877993242377</v>
      </c>
      <c r="L31" s="22">
        <f t="shared" si="11"/>
        <v>177869.34515994915</v>
      </c>
      <c r="M31" s="5">
        <f>scrimecost*Meta!O28</f>
        <v>1180.8</v>
      </c>
      <c r="N31" s="5">
        <f>L31-Grade11!L31</f>
        <v>6311.6762549262494</v>
      </c>
      <c r="O31" s="5">
        <f>Grade11!M31-M31</f>
        <v>24.192000000000007</v>
      </c>
      <c r="P31" s="22">
        <f t="shared" si="12"/>
        <v>398.90412336191446</v>
      </c>
      <c r="Q31" s="22"/>
      <c r="R31" s="22"/>
      <c r="S31" s="22">
        <f t="shared" si="6"/>
        <v>5127.9415610234018</v>
      </c>
      <c r="T31" s="22">
        <f t="shared" si="7"/>
        <v>2066.3200621639644</v>
      </c>
    </row>
    <row r="32" spans="1:20" x14ac:dyDescent="0.2">
      <c r="A32" s="5">
        <v>41</v>
      </c>
      <c r="B32" s="1">
        <f t="shared" si="8"/>
        <v>1.7646106825195991</v>
      </c>
      <c r="C32" s="5">
        <f t="shared" si="9"/>
        <v>107818.01399740425</v>
      </c>
      <c r="D32" s="5">
        <f t="shared" si="0"/>
        <v>103668.20336752106</v>
      </c>
      <c r="E32" s="5">
        <f t="shared" si="1"/>
        <v>94168.203367521055</v>
      </c>
      <c r="F32" s="5">
        <f t="shared" si="2"/>
        <v>37331.534837273364</v>
      </c>
      <c r="G32" s="5">
        <f t="shared" si="3"/>
        <v>66336.668530247698</v>
      </c>
      <c r="H32" s="22">
        <f t="shared" si="10"/>
        <v>48592.078124235428</v>
      </c>
      <c r="I32" s="5">
        <f t="shared" si="4"/>
        <v>112742.10313889253</v>
      </c>
      <c r="J32" s="26">
        <f t="shared" si="5"/>
        <v>0.24522416258913934</v>
      </c>
      <c r="L32" s="22">
        <f t="shared" si="11"/>
        <v>182316.0787889479</v>
      </c>
      <c r="M32" s="5">
        <f>scrimecost*Meta!O29</f>
        <v>1180.8</v>
      </c>
      <c r="N32" s="5">
        <f>L32-Grade11!L32</f>
        <v>6469.4681612994173</v>
      </c>
      <c r="O32" s="5">
        <f>Grade11!M32-M32</f>
        <v>24.192000000000007</v>
      </c>
      <c r="P32" s="22">
        <f t="shared" si="12"/>
        <v>410.09846198044278</v>
      </c>
      <c r="Q32" s="22"/>
      <c r="R32" s="22"/>
      <c r="S32" s="22">
        <f t="shared" si="6"/>
        <v>5256.7446968727872</v>
      </c>
      <c r="T32" s="22">
        <f t="shared" si="7"/>
        <v>2036.1443503392195</v>
      </c>
    </row>
    <row r="33" spans="1:20" x14ac:dyDescent="0.2">
      <c r="A33" s="5">
        <v>42</v>
      </c>
      <c r="B33" s="1">
        <f t="shared" si="8"/>
        <v>1.8087259495825889</v>
      </c>
      <c r="C33" s="5">
        <f t="shared" si="9"/>
        <v>110513.46434733935</v>
      </c>
      <c r="D33" s="5">
        <f t="shared" si="0"/>
        <v>106242.35845170908</v>
      </c>
      <c r="E33" s="5">
        <f t="shared" si="1"/>
        <v>96742.358451709079</v>
      </c>
      <c r="F33" s="5">
        <f t="shared" si="2"/>
        <v>38506.636633205191</v>
      </c>
      <c r="G33" s="5">
        <f t="shared" si="3"/>
        <v>67735.721818503895</v>
      </c>
      <c r="H33" s="22">
        <f t="shared" si="10"/>
        <v>49806.88007734131</v>
      </c>
      <c r="I33" s="5">
        <f t="shared" si="4"/>
        <v>115301.29229236484</v>
      </c>
      <c r="J33" s="26">
        <f t="shared" si="5"/>
        <v>0.24691817553050677</v>
      </c>
      <c r="L33" s="22">
        <f t="shared" si="11"/>
        <v>186873.98075867156</v>
      </c>
      <c r="M33" s="5">
        <f>scrimecost*Meta!O30</f>
        <v>1180.8</v>
      </c>
      <c r="N33" s="5">
        <f>L33-Grade11!L33</f>
        <v>6631.204865331878</v>
      </c>
      <c r="O33" s="5">
        <f>Grade11!M33-M33</f>
        <v>24.192000000000007</v>
      </c>
      <c r="P33" s="22">
        <f t="shared" si="12"/>
        <v>421.57265906443405</v>
      </c>
      <c r="Q33" s="22"/>
      <c r="R33" s="22"/>
      <c r="S33" s="22">
        <f t="shared" si="6"/>
        <v>5388.7679111183788</v>
      </c>
      <c r="T33" s="22">
        <f t="shared" si="7"/>
        <v>2006.4036582522954</v>
      </c>
    </row>
    <row r="34" spans="1:20" x14ac:dyDescent="0.2">
      <c r="A34" s="5">
        <v>43</v>
      </c>
      <c r="B34" s="1">
        <f t="shared" si="8"/>
        <v>1.8539440983221533</v>
      </c>
      <c r="C34" s="5">
        <f t="shared" si="9"/>
        <v>113276.30095602282</v>
      </c>
      <c r="D34" s="5">
        <f t="shared" si="0"/>
        <v>108880.86741300179</v>
      </c>
      <c r="E34" s="5">
        <f t="shared" si="1"/>
        <v>99380.86741300179</v>
      </c>
      <c r="F34" s="5">
        <f t="shared" si="2"/>
        <v>39582.102194429208</v>
      </c>
      <c r="G34" s="5">
        <f t="shared" si="3"/>
        <v>69298.765218572575</v>
      </c>
      <c r="H34" s="22">
        <f t="shared" si="10"/>
        <v>51052.052079274836</v>
      </c>
      <c r="I34" s="5">
        <f t="shared" si="4"/>
        <v>118053.47495428004</v>
      </c>
      <c r="J34" s="26">
        <f t="shared" si="5"/>
        <v>0.24774877945709906</v>
      </c>
      <c r="L34" s="22">
        <f t="shared" si="11"/>
        <v>191545.83027763834</v>
      </c>
      <c r="M34" s="5">
        <f>scrimecost*Meta!O31</f>
        <v>1180.8</v>
      </c>
      <c r="N34" s="5">
        <f>L34-Grade11!L34</f>
        <v>6796.9849869651953</v>
      </c>
      <c r="O34" s="5">
        <f>Grade11!M34-M34</f>
        <v>24.192000000000007</v>
      </c>
      <c r="P34" s="22">
        <f t="shared" si="12"/>
        <v>432.07396529105273</v>
      </c>
      <c r="Q34" s="22"/>
      <c r="R34" s="22"/>
      <c r="S34" s="22">
        <f t="shared" si="6"/>
        <v>5522.857154851361</v>
      </c>
      <c r="T34" s="22">
        <f t="shared" si="7"/>
        <v>1976.650085239464</v>
      </c>
    </row>
    <row r="35" spans="1:20" x14ac:dyDescent="0.2">
      <c r="A35" s="5">
        <v>44</v>
      </c>
      <c r="B35" s="1">
        <f t="shared" si="8"/>
        <v>1.9002927007802071</v>
      </c>
      <c r="C35" s="5">
        <f t="shared" si="9"/>
        <v>116108.20847992339</v>
      </c>
      <c r="D35" s="5">
        <f t="shared" si="0"/>
        <v>111585.33909832683</v>
      </c>
      <c r="E35" s="5">
        <f t="shared" si="1"/>
        <v>102085.33909832683</v>
      </c>
      <c r="F35" s="5">
        <f t="shared" si="2"/>
        <v>40649.016274289934</v>
      </c>
      <c r="G35" s="5">
        <f t="shared" si="3"/>
        <v>70936.322824036906</v>
      </c>
      <c r="H35" s="22">
        <f t="shared" si="10"/>
        <v>52328.353381256704</v>
      </c>
      <c r="I35" s="5">
        <f t="shared" si="4"/>
        <v>120909.90030313705</v>
      </c>
      <c r="J35" s="26">
        <f t="shared" si="5"/>
        <v>0.24833881641055708</v>
      </c>
      <c r="L35" s="22">
        <f t="shared" si="11"/>
        <v>196334.47603457927</v>
      </c>
      <c r="M35" s="5">
        <f>scrimecost*Meta!O32</f>
        <v>1180.8</v>
      </c>
      <c r="N35" s="5">
        <f>L35-Grade11!L35</f>
        <v>6966.9096116393048</v>
      </c>
      <c r="O35" s="5">
        <f>Grade11!M35-M35</f>
        <v>24.192000000000007</v>
      </c>
      <c r="P35" s="22">
        <f t="shared" si="12"/>
        <v>442.49177119211481</v>
      </c>
      <c r="Q35" s="22"/>
      <c r="R35" s="22"/>
      <c r="S35" s="22">
        <f t="shared" si="6"/>
        <v>5659.9595173560392</v>
      </c>
      <c r="T35" s="22">
        <f t="shared" si="7"/>
        <v>1947.2264632355884</v>
      </c>
    </row>
    <row r="36" spans="1:20" x14ac:dyDescent="0.2">
      <c r="A36" s="5">
        <v>45</v>
      </c>
      <c r="B36" s="1">
        <f t="shared" si="8"/>
        <v>1.9478000182997122</v>
      </c>
      <c r="C36" s="5">
        <f t="shared" si="9"/>
        <v>119010.91369192147</v>
      </c>
      <c r="D36" s="5">
        <f t="shared" si="0"/>
        <v>114357.42257578499</v>
      </c>
      <c r="E36" s="5">
        <f t="shared" si="1"/>
        <v>104857.42257578499</v>
      </c>
      <c r="F36" s="5">
        <f t="shared" si="2"/>
        <v>41742.603206147185</v>
      </c>
      <c r="G36" s="5">
        <f t="shared" si="3"/>
        <v>72614.819369637815</v>
      </c>
      <c r="H36" s="22">
        <f t="shared" si="10"/>
        <v>53636.562215788115</v>
      </c>
      <c r="I36" s="5">
        <f t="shared" si="4"/>
        <v>123837.73628571547</v>
      </c>
      <c r="J36" s="26">
        <f t="shared" si="5"/>
        <v>0.24891446221880889</v>
      </c>
      <c r="L36" s="22">
        <f t="shared" si="11"/>
        <v>201242.83793544376</v>
      </c>
      <c r="M36" s="5">
        <f>scrimecost*Meta!O33</f>
        <v>954.27500000000009</v>
      </c>
      <c r="N36" s="5">
        <f>L36-Grade11!L36</f>
        <v>7141.0823519303231</v>
      </c>
      <c r="O36" s="5">
        <f>Grade11!M36-M36</f>
        <v>19.550999999999931</v>
      </c>
      <c r="P36" s="22">
        <f t="shared" si="12"/>
        <v>453.17002224070359</v>
      </c>
      <c r="Q36" s="22"/>
      <c r="R36" s="22"/>
      <c r="S36" s="22">
        <f t="shared" si="6"/>
        <v>5795.941258923378</v>
      </c>
      <c r="T36" s="22">
        <f t="shared" si="7"/>
        <v>1916.7446808884988</v>
      </c>
    </row>
    <row r="37" spans="1:20" x14ac:dyDescent="0.2">
      <c r="A37" s="5">
        <v>46</v>
      </c>
      <c r="B37" s="1">
        <f t="shared" ref="B37:B56" si="13">(1+experiencepremium)^(A37-startage)</f>
        <v>1.9964950187572048</v>
      </c>
      <c r="C37" s="5">
        <f t="shared" ref="C37:C56" si="14">pretaxincome*B37/expnorm</f>
        <v>121986.18653421949</v>
      </c>
      <c r="D37" s="5">
        <f t="shared" ref="D37:D56" si="15">IF(A37&lt;startage,1,0)*(C37*(1-initialunempprob))+IF(A37=startage,1,0)*(C37*(1-unempprob))+IF(A37&gt;startage,1,0)*(C37*(1-unempprob)+unempprob*300*52)</f>
        <v>117198.80814017961</v>
      </c>
      <c r="E37" s="5">
        <f t="shared" si="1"/>
        <v>107698.80814017961</v>
      </c>
      <c r="F37" s="5">
        <f t="shared" si="2"/>
        <v>42863.529811300854</v>
      </c>
      <c r="G37" s="5">
        <f t="shared" si="3"/>
        <v>74335.278328878747</v>
      </c>
      <c r="H37" s="22">
        <f t="shared" ref="H37:H56" si="16">benefits*B37/expnorm</f>
        <v>54977.476271182815</v>
      </c>
      <c r="I37" s="5">
        <f t="shared" ref="I37:I56" si="17">G37+IF(A37&lt;startage,1,0)*(H37*(1-initialunempprob))+IF(A37&gt;=startage,1,0)*(H37*(1-unempprob))</f>
        <v>126838.76816785833</v>
      </c>
      <c r="J37" s="26">
        <f t="shared" si="5"/>
        <v>0.24947606788539589</v>
      </c>
      <c r="L37" s="22">
        <f t="shared" ref="L37:L56" si="18">(sincome+sbenefits)*(1-sunemp)*B37/expnorm</f>
        <v>206273.90888382983</v>
      </c>
      <c r="M37" s="5">
        <f>scrimecost*Meta!O34</f>
        <v>954.27500000000009</v>
      </c>
      <c r="N37" s="5">
        <f>L37-Grade11!L37</f>
        <v>7319.6094107285317</v>
      </c>
      <c r="O37" s="5">
        <f>Grade11!M37-M37</f>
        <v>19.550999999999931</v>
      </c>
      <c r="P37" s="22">
        <f t="shared" si="12"/>
        <v>464.11522956550681</v>
      </c>
      <c r="Q37" s="22"/>
      <c r="R37" s="22"/>
      <c r="S37" s="22">
        <f t="shared" si="6"/>
        <v>5939.9844285298341</v>
      </c>
      <c r="T37" s="22">
        <f t="shared" si="7"/>
        <v>1888.2641645610149</v>
      </c>
    </row>
    <row r="38" spans="1:20" x14ac:dyDescent="0.2">
      <c r="A38" s="5">
        <v>47</v>
      </c>
      <c r="B38" s="1">
        <f t="shared" si="13"/>
        <v>2.0464073942261352</v>
      </c>
      <c r="C38" s="5">
        <f t="shared" si="14"/>
        <v>125035.84119757499</v>
      </c>
      <c r="D38" s="5">
        <f t="shared" si="15"/>
        <v>120111.22834368411</v>
      </c>
      <c r="E38" s="5">
        <f t="shared" si="1"/>
        <v>110611.22834368411</v>
      </c>
      <c r="F38" s="5">
        <f t="shared" si="2"/>
        <v>44012.479581583379</v>
      </c>
      <c r="G38" s="5">
        <f t="shared" si="3"/>
        <v>76098.748762100731</v>
      </c>
      <c r="H38" s="22">
        <f t="shared" si="16"/>
        <v>56351.913177962393</v>
      </c>
      <c r="I38" s="5">
        <f t="shared" si="17"/>
        <v>129914.82584705482</v>
      </c>
      <c r="J38" s="26">
        <f t="shared" si="5"/>
        <v>0.2500239758527979</v>
      </c>
      <c r="L38" s="22">
        <f t="shared" si="18"/>
        <v>211430.75660592559</v>
      </c>
      <c r="M38" s="5">
        <f>scrimecost*Meta!O35</f>
        <v>954.27500000000009</v>
      </c>
      <c r="N38" s="5">
        <f>L38-Grade11!L38</f>
        <v>7502.5996459967864</v>
      </c>
      <c r="O38" s="5">
        <f>Grade11!M38-M38</f>
        <v>19.550999999999931</v>
      </c>
      <c r="P38" s="22">
        <f t="shared" si="12"/>
        <v>475.33406707343022</v>
      </c>
      <c r="Q38" s="22"/>
      <c r="R38" s="22"/>
      <c r="S38" s="22">
        <f t="shared" si="6"/>
        <v>6087.6286773765223</v>
      </c>
      <c r="T38" s="22">
        <f t="shared" si="7"/>
        <v>1860.2133301958079</v>
      </c>
    </row>
    <row r="39" spans="1:20" x14ac:dyDescent="0.2">
      <c r="A39" s="5">
        <v>48</v>
      </c>
      <c r="B39" s="1">
        <f t="shared" si="13"/>
        <v>2.097567579081788</v>
      </c>
      <c r="C39" s="5">
        <f t="shared" si="14"/>
        <v>128161.73722751434</v>
      </c>
      <c r="D39" s="5">
        <f t="shared" si="15"/>
        <v>123096.45905227619</v>
      </c>
      <c r="E39" s="5">
        <f t="shared" si="1"/>
        <v>113596.45905227619</v>
      </c>
      <c r="F39" s="5">
        <f t="shared" si="2"/>
        <v>45190.153096122951</v>
      </c>
      <c r="G39" s="5">
        <f t="shared" si="3"/>
        <v>77906.305956153228</v>
      </c>
      <c r="H39" s="22">
        <f t="shared" si="16"/>
        <v>57760.711007411446</v>
      </c>
      <c r="I39" s="5">
        <f t="shared" si="17"/>
        <v>133067.78496823116</v>
      </c>
      <c r="J39" s="26">
        <f t="shared" si="5"/>
        <v>0.25055852021123887</v>
      </c>
      <c r="L39" s="22">
        <f t="shared" si="18"/>
        <v>216716.52552107369</v>
      </c>
      <c r="M39" s="5">
        <f>scrimecost*Meta!O36</f>
        <v>954.27500000000009</v>
      </c>
      <c r="N39" s="5">
        <f>L39-Grade11!L39</f>
        <v>7690.164637146634</v>
      </c>
      <c r="O39" s="5">
        <f>Grade11!M39-M39</f>
        <v>19.550999999999931</v>
      </c>
      <c r="P39" s="22">
        <f t="shared" si="12"/>
        <v>486.83337551905169</v>
      </c>
      <c r="Q39" s="22"/>
      <c r="R39" s="22"/>
      <c r="S39" s="22">
        <f t="shared" si="6"/>
        <v>6238.9640324442898</v>
      </c>
      <c r="T39" s="22">
        <f t="shared" si="7"/>
        <v>1832.5854459371994</v>
      </c>
    </row>
    <row r="40" spans="1:20" x14ac:dyDescent="0.2">
      <c r="A40" s="5">
        <v>49</v>
      </c>
      <c r="B40" s="1">
        <f t="shared" si="13"/>
        <v>2.1500067685588333</v>
      </c>
      <c r="C40" s="5">
        <f t="shared" si="14"/>
        <v>131365.78065820222</v>
      </c>
      <c r="D40" s="5">
        <f t="shared" si="15"/>
        <v>126156.32052858311</v>
      </c>
      <c r="E40" s="5">
        <f t="shared" si="1"/>
        <v>116656.32052858311</v>
      </c>
      <c r="F40" s="5">
        <f t="shared" si="2"/>
        <v>46397.268448526032</v>
      </c>
      <c r="G40" s="5">
        <f t="shared" si="3"/>
        <v>79759.052080057067</v>
      </c>
      <c r="H40" s="22">
        <f t="shared" si="16"/>
        <v>59204.728782596736</v>
      </c>
      <c r="I40" s="5">
        <f t="shared" si="17"/>
        <v>136299.56806743695</v>
      </c>
      <c r="J40" s="26">
        <f t="shared" ref="J40:J56" si="19">(F40-(IF(A40&gt;startage,1,0)*(unempprob*300*52)))/(IF(A40&lt;startage,1,0)*((C40+H40)*(1-initialunempprob))+IF(A40&gt;=startage,1,0)*((C40+H40)*(1-unempprob)))</f>
        <v>0.25108002690240083</v>
      </c>
      <c r="L40" s="22">
        <f t="shared" si="18"/>
        <v>222134.43865910059</v>
      </c>
      <c r="M40" s="5">
        <f>scrimecost*Meta!O37</f>
        <v>954.27500000000009</v>
      </c>
      <c r="N40" s="5">
        <f>L40-Grade11!L40</f>
        <v>7882.4187530753843</v>
      </c>
      <c r="O40" s="5">
        <f>Grade11!M40-M40</f>
        <v>19.550999999999931</v>
      </c>
      <c r="P40" s="22">
        <f t="shared" si="12"/>
        <v>498.62016667581395</v>
      </c>
      <c r="Q40" s="22"/>
      <c r="R40" s="22"/>
      <c r="S40" s="22">
        <f t="shared" ref="S40:S69" si="20">IF(A40&lt;startage,1,0)*(N40-Q40-R40)+IF(A40&gt;=startage,1,0)*completionprob*(N40*spart+O40+P40)</f>
        <v>6394.0827713888712</v>
      </c>
      <c r="T40" s="22">
        <f t="shared" ref="T40:T69" si="21">S40/sreturn^(A40-startage+1)</f>
        <v>1805.3738948210355</v>
      </c>
    </row>
    <row r="41" spans="1:20" x14ac:dyDescent="0.2">
      <c r="A41" s="5">
        <v>50</v>
      </c>
      <c r="B41" s="1">
        <f t="shared" si="13"/>
        <v>2.2037569377728037</v>
      </c>
      <c r="C41" s="5">
        <f t="shared" si="14"/>
        <v>134649.92517465726</v>
      </c>
      <c r="D41" s="5">
        <f t="shared" si="15"/>
        <v>129292.67854179768</v>
      </c>
      <c r="E41" s="5">
        <f t="shared" si="1"/>
        <v>119792.67854179768</v>
      </c>
      <c r="F41" s="5">
        <f t="shared" si="2"/>
        <v>47634.561684739179</v>
      </c>
      <c r="G41" s="5">
        <f t="shared" si="3"/>
        <v>81658.1168570585</v>
      </c>
      <c r="H41" s="22">
        <f t="shared" si="16"/>
        <v>60684.847002161645</v>
      </c>
      <c r="I41" s="5">
        <f t="shared" si="17"/>
        <v>139612.14574412286</v>
      </c>
      <c r="J41" s="26">
        <f t="shared" si="19"/>
        <v>0.25158881391816867</v>
      </c>
      <c r="L41" s="22">
        <f t="shared" si="18"/>
        <v>227687.79962557807</v>
      </c>
      <c r="M41" s="5">
        <f>scrimecost*Meta!O38</f>
        <v>637.54999999999995</v>
      </c>
      <c r="N41" s="5">
        <f>L41-Grade11!L41</f>
        <v>8079.4792219022638</v>
      </c>
      <c r="O41" s="5">
        <f>Grade11!M41-M41</f>
        <v>13.062000000000012</v>
      </c>
      <c r="P41" s="22">
        <f t="shared" si="12"/>
        <v>510.70162761149516</v>
      </c>
      <c r="Q41" s="22"/>
      <c r="R41" s="22"/>
      <c r="S41" s="22">
        <f t="shared" si="20"/>
        <v>6546.7202588070004</v>
      </c>
      <c r="T41" s="22">
        <f t="shared" si="21"/>
        <v>1776.8462157250947</v>
      </c>
    </row>
    <row r="42" spans="1:20" x14ac:dyDescent="0.2">
      <c r="A42" s="5">
        <v>51</v>
      </c>
      <c r="B42" s="1">
        <f t="shared" si="13"/>
        <v>2.2588508612171236</v>
      </c>
      <c r="C42" s="5">
        <f t="shared" si="14"/>
        <v>138016.17330402369</v>
      </c>
      <c r="D42" s="5">
        <f t="shared" si="15"/>
        <v>132507.44550534262</v>
      </c>
      <c r="E42" s="5">
        <f t="shared" si="1"/>
        <v>123007.44550534262</v>
      </c>
      <c r="F42" s="5">
        <f t="shared" si="2"/>
        <v>48902.787251857662</v>
      </c>
      <c r="G42" s="5">
        <f t="shared" si="3"/>
        <v>83604.658253484959</v>
      </c>
      <c r="H42" s="22">
        <f t="shared" si="16"/>
        <v>62201.968177215684</v>
      </c>
      <c r="I42" s="5">
        <f t="shared" si="17"/>
        <v>143007.53786272593</v>
      </c>
      <c r="J42" s="26">
        <f t="shared" si="19"/>
        <v>0.25208519149452741</v>
      </c>
      <c r="L42" s="22">
        <f t="shared" si="18"/>
        <v>233379.9946162175</v>
      </c>
      <c r="M42" s="5">
        <f>scrimecost*Meta!O39</f>
        <v>637.54999999999995</v>
      </c>
      <c r="N42" s="5">
        <f>L42-Grade11!L42</f>
        <v>8281.4662024498102</v>
      </c>
      <c r="O42" s="5">
        <f>Grade11!M42-M42</f>
        <v>13.062000000000012</v>
      </c>
      <c r="P42" s="22">
        <f t="shared" si="12"/>
        <v>523.08512507056821</v>
      </c>
      <c r="Q42" s="22"/>
      <c r="R42" s="22"/>
      <c r="S42" s="22">
        <f t="shared" si="20"/>
        <v>6709.6918839105765</v>
      </c>
      <c r="T42" s="22">
        <f t="shared" si="21"/>
        <v>1750.5148058713582</v>
      </c>
    </row>
    <row r="43" spans="1:20" x14ac:dyDescent="0.2">
      <c r="A43" s="5">
        <v>52</v>
      </c>
      <c r="B43" s="1">
        <f t="shared" si="13"/>
        <v>2.3153221327475517</v>
      </c>
      <c r="C43" s="5">
        <f t="shared" si="14"/>
        <v>141466.57763662428</v>
      </c>
      <c r="D43" s="5">
        <f t="shared" si="15"/>
        <v>135802.58164297618</v>
      </c>
      <c r="E43" s="5">
        <f t="shared" si="1"/>
        <v>126302.58164297618</v>
      </c>
      <c r="F43" s="5">
        <f t="shared" si="2"/>
        <v>50202.718458154101</v>
      </c>
      <c r="G43" s="5">
        <f t="shared" si="3"/>
        <v>85599.863184822083</v>
      </c>
      <c r="H43" s="22">
        <f t="shared" si="16"/>
        <v>63757.017381646074</v>
      </c>
      <c r="I43" s="5">
        <f t="shared" si="17"/>
        <v>146487.81478429408</v>
      </c>
      <c r="J43" s="26">
        <f t="shared" si="19"/>
        <v>0.25256946230073107</v>
      </c>
      <c r="L43" s="22">
        <f t="shared" si="18"/>
        <v>239214.49448162294</v>
      </c>
      <c r="M43" s="5">
        <f>scrimecost*Meta!O40</f>
        <v>637.54999999999995</v>
      </c>
      <c r="N43" s="5">
        <f>L43-Grade11!L43</f>
        <v>8488.5028575110482</v>
      </c>
      <c r="O43" s="5">
        <f>Grade11!M43-M43</f>
        <v>13.062000000000012</v>
      </c>
      <c r="P43" s="22">
        <f t="shared" si="12"/>
        <v>535.77820996611808</v>
      </c>
      <c r="Q43" s="22"/>
      <c r="R43" s="22"/>
      <c r="S43" s="22">
        <f t="shared" si="20"/>
        <v>6876.7377996417454</v>
      </c>
      <c r="T43" s="22">
        <f t="shared" si="21"/>
        <v>1724.5779534693204</v>
      </c>
    </row>
    <row r="44" spans="1:20" x14ac:dyDescent="0.2">
      <c r="A44" s="5">
        <v>53</v>
      </c>
      <c r="B44" s="1">
        <f t="shared" si="13"/>
        <v>2.3732051860662402</v>
      </c>
      <c r="C44" s="5">
        <f t="shared" si="14"/>
        <v>145003.24207753988</v>
      </c>
      <c r="D44" s="5">
        <f t="shared" si="15"/>
        <v>139180.09618405058</v>
      </c>
      <c r="E44" s="5">
        <f t="shared" si="1"/>
        <v>129680.09618405058</v>
      </c>
      <c r="F44" s="5">
        <f t="shared" si="2"/>
        <v>51535.147944607954</v>
      </c>
      <c r="G44" s="5">
        <f t="shared" si="3"/>
        <v>87644.94823944263</v>
      </c>
      <c r="H44" s="22">
        <f t="shared" si="16"/>
        <v>65350.94281618722</v>
      </c>
      <c r="I44" s="5">
        <f t="shared" si="17"/>
        <v>150055.09862890141</v>
      </c>
      <c r="J44" s="26">
        <f t="shared" si="19"/>
        <v>0.25304192162385669</v>
      </c>
      <c r="L44" s="22">
        <f t="shared" si="18"/>
        <v>245194.85684366347</v>
      </c>
      <c r="M44" s="5">
        <f>scrimecost*Meta!O41</f>
        <v>637.54999999999995</v>
      </c>
      <c r="N44" s="5">
        <f>L44-Grade11!L44</f>
        <v>8700.7154289487808</v>
      </c>
      <c r="O44" s="5">
        <f>Grade11!M44-M44</f>
        <v>13.062000000000012</v>
      </c>
      <c r="P44" s="22">
        <f t="shared" si="12"/>
        <v>548.78862198405693</v>
      </c>
      <c r="Q44" s="22"/>
      <c r="R44" s="22"/>
      <c r="S44" s="22">
        <f t="shared" si="20"/>
        <v>7047.9598632661673</v>
      </c>
      <c r="T44" s="22">
        <f t="shared" si="21"/>
        <v>1699.0295790620344</v>
      </c>
    </row>
    <row r="45" spans="1:20" x14ac:dyDescent="0.2">
      <c r="A45" s="5">
        <v>54</v>
      </c>
      <c r="B45" s="1">
        <f t="shared" si="13"/>
        <v>2.4325353157178964</v>
      </c>
      <c r="C45" s="5">
        <f t="shared" si="14"/>
        <v>148628.32312947838</v>
      </c>
      <c r="D45" s="5">
        <f t="shared" si="15"/>
        <v>142642.04858865184</v>
      </c>
      <c r="E45" s="5">
        <f t="shared" si="1"/>
        <v>133142.04858865184</v>
      </c>
      <c r="F45" s="5">
        <f t="shared" si="2"/>
        <v>52900.888168223151</v>
      </c>
      <c r="G45" s="5">
        <f t="shared" si="3"/>
        <v>89741.1604204287</v>
      </c>
      <c r="H45" s="22">
        <f t="shared" si="16"/>
        <v>66984.716386591899</v>
      </c>
      <c r="I45" s="5">
        <f t="shared" si="17"/>
        <v>153711.56456962397</v>
      </c>
      <c r="J45" s="26">
        <f t="shared" si="19"/>
        <v>0.25350285754885721</v>
      </c>
      <c r="L45" s="22">
        <f t="shared" si="18"/>
        <v>251324.72826475507</v>
      </c>
      <c r="M45" s="5">
        <f>scrimecost*Meta!O42</f>
        <v>637.54999999999995</v>
      </c>
      <c r="N45" s="5">
        <f>L45-Grade11!L45</f>
        <v>8918.2333146725432</v>
      </c>
      <c r="O45" s="5">
        <f>Grade11!M45-M45</f>
        <v>13.062000000000012</v>
      </c>
      <c r="P45" s="22">
        <f t="shared" si="12"/>
        <v>562.12429430244413</v>
      </c>
      <c r="Q45" s="22"/>
      <c r="R45" s="22"/>
      <c r="S45" s="22">
        <f t="shared" si="20"/>
        <v>7223.462478481264</v>
      </c>
      <c r="T45" s="22">
        <f t="shared" si="21"/>
        <v>1673.8637032333284</v>
      </c>
    </row>
    <row r="46" spans="1:20" x14ac:dyDescent="0.2">
      <c r="A46" s="5">
        <v>55</v>
      </c>
      <c r="B46" s="1">
        <f t="shared" si="13"/>
        <v>2.4933486986108435</v>
      </c>
      <c r="C46" s="5">
        <f t="shared" si="14"/>
        <v>152344.03120771531</v>
      </c>
      <c r="D46" s="5">
        <f t="shared" si="15"/>
        <v>146190.54980336811</v>
      </c>
      <c r="E46" s="5">
        <f t="shared" si="1"/>
        <v>136690.54980336811</v>
      </c>
      <c r="F46" s="5">
        <f t="shared" si="2"/>
        <v>54300.77189742872</v>
      </c>
      <c r="G46" s="5">
        <f t="shared" si="3"/>
        <v>91889.77790593938</v>
      </c>
      <c r="H46" s="22">
        <f t="shared" si="16"/>
        <v>68659.334296256697</v>
      </c>
      <c r="I46" s="5">
        <f t="shared" si="17"/>
        <v>157459.44215886452</v>
      </c>
      <c r="J46" s="26">
        <f t="shared" si="19"/>
        <v>0.2539525511342236</v>
      </c>
      <c r="L46" s="22">
        <f t="shared" si="18"/>
        <v>257607.84647137392</v>
      </c>
      <c r="M46" s="5">
        <f>scrimecost*Meta!O43</f>
        <v>353.625</v>
      </c>
      <c r="N46" s="5">
        <f>L46-Grade11!L46</f>
        <v>9141.1891475394077</v>
      </c>
      <c r="O46" s="5">
        <f>Grade11!M46-M46</f>
        <v>7.2449999999999477</v>
      </c>
      <c r="P46" s="22">
        <f t="shared" si="12"/>
        <v>575.79335842879095</v>
      </c>
      <c r="Q46" s="22"/>
      <c r="R46" s="22"/>
      <c r="S46" s="22">
        <f t="shared" si="20"/>
        <v>7397.6519990767429</v>
      </c>
      <c r="T46" s="22">
        <f t="shared" si="21"/>
        <v>1647.8046399283871</v>
      </c>
    </row>
    <row r="47" spans="1:20" x14ac:dyDescent="0.2">
      <c r="A47" s="5">
        <v>56</v>
      </c>
      <c r="B47" s="1">
        <f t="shared" si="13"/>
        <v>2.555682416076114</v>
      </c>
      <c r="C47" s="5">
        <f t="shared" si="14"/>
        <v>156152.63198790816</v>
      </c>
      <c r="D47" s="5">
        <f t="shared" si="15"/>
        <v>149827.76354845229</v>
      </c>
      <c r="E47" s="5">
        <f t="shared" si="1"/>
        <v>140327.76354845229</v>
      </c>
      <c r="F47" s="5">
        <f t="shared" si="2"/>
        <v>55735.652719864425</v>
      </c>
      <c r="G47" s="5">
        <f t="shared" si="3"/>
        <v>94092.110828587873</v>
      </c>
      <c r="H47" s="22">
        <f t="shared" si="16"/>
        <v>70375.817653663107</v>
      </c>
      <c r="I47" s="5">
        <f t="shared" si="17"/>
        <v>161301.01668783615</v>
      </c>
      <c r="J47" s="26">
        <f t="shared" si="19"/>
        <v>0.25439127658336153</v>
      </c>
      <c r="L47" s="22">
        <f t="shared" si="18"/>
        <v>264048.04263315821</v>
      </c>
      <c r="M47" s="5">
        <f>scrimecost*Meta!O44</f>
        <v>353.625</v>
      </c>
      <c r="N47" s="5">
        <f>L47-Grade11!L47</f>
        <v>9369.7188762277947</v>
      </c>
      <c r="O47" s="5">
        <f>Grade11!M47-M47</f>
        <v>7.2449999999999477</v>
      </c>
      <c r="P47" s="22">
        <f t="shared" si="12"/>
        <v>589.80414915829647</v>
      </c>
      <c r="Q47" s="22"/>
      <c r="R47" s="22"/>
      <c r="S47" s="22">
        <f t="shared" si="20"/>
        <v>7582.0394341869978</v>
      </c>
      <c r="T47" s="22">
        <f t="shared" si="21"/>
        <v>1623.4354164916786</v>
      </c>
    </row>
    <row r="48" spans="1:20" x14ac:dyDescent="0.2">
      <c r="A48" s="5">
        <v>57</v>
      </c>
      <c r="B48" s="1">
        <f t="shared" si="13"/>
        <v>2.6195744764780171</v>
      </c>
      <c r="C48" s="5">
        <f t="shared" si="14"/>
        <v>160056.44778760587</v>
      </c>
      <c r="D48" s="5">
        <f t="shared" si="15"/>
        <v>153555.90763716359</v>
      </c>
      <c r="E48" s="5">
        <f t="shared" si="1"/>
        <v>144055.90763716359</v>
      </c>
      <c r="F48" s="5">
        <f t="shared" si="2"/>
        <v>57206.405562861037</v>
      </c>
      <c r="G48" s="5">
        <f t="shared" si="3"/>
        <v>96349.502074302553</v>
      </c>
      <c r="H48" s="22">
        <f t="shared" si="16"/>
        <v>72135.213095004685</v>
      </c>
      <c r="I48" s="5">
        <f t="shared" si="17"/>
        <v>165238.63058003201</v>
      </c>
      <c r="J48" s="26">
        <f t="shared" si="19"/>
        <v>0.25481930141178877</v>
      </c>
      <c r="L48" s="22">
        <f t="shared" si="18"/>
        <v>270649.24369898724</v>
      </c>
      <c r="M48" s="5">
        <f>scrimecost*Meta!O45</f>
        <v>353.625</v>
      </c>
      <c r="N48" s="5">
        <f>L48-Grade11!L48</f>
        <v>9603.9618481335638</v>
      </c>
      <c r="O48" s="5">
        <f>Grade11!M48-M48</f>
        <v>7.2449999999999477</v>
      </c>
      <c r="P48" s="22">
        <f t="shared" si="12"/>
        <v>604.16520965603979</v>
      </c>
      <c r="Q48" s="22"/>
      <c r="R48" s="22"/>
      <c r="S48" s="22">
        <f t="shared" si="20"/>
        <v>7771.0365551751393</v>
      </c>
      <c r="T48" s="22">
        <f t="shared" si="21"/>
        <v>1599.4294285105716</v>
      </c>
    </row>
    <row r="49" spans="1:20" x14ac:dyDescent="0.2">
      <c r="A49" s="5">
        <v>58</v>
      </c>
      <c r="B49" s="1">
        <f t="shared" si="13"/>
        <v>2.6850638383899672</v>
      </c>
      <c r="C49" s="5">
        <f t="shared" si="14"/>
        <v>164057.85898229602</v>
      </c>
      <c r="D49" s="5">
        <f t="shared" si="15"/>
        <v>157377.25532809269</v>
      </c>
      <c r="E49" s="5">
        <f t="shared" si="1"/>
        <v>147877.25532809269</v>
      </c>
      <c r="F49" s="5">
        <f t="shared" si="2"/>
        <v>58713.927226932567</v>
      </c>
      <c r="G49" s="5">
        <f t="shared" si="3"/>
        <v>98663.328101160121</v>
      </c>
      <c r="H49" s="22">
        <f t="shared" si="16"/>
        <v>73938.593422379796</v>
      </c>
      <c r="I49" s="5">
        <f t="shared" si="17"/>
        <v>169274.68481953282</v>
      </c>
      <c r="J49" s="26">
        <f t="shared" si="19"/>
        <v>0.25523688661025434</v>
      </c>
      <c r="L49" s="22">
        <f t="shared" si="18"/>
        <v>277415.47479146183</v>
      </c>
      <c r="M49" s="5">
        <f>scrimecost*Meta!O46</f>
        <v>353.625</v>
      </c>
      <c r="N49" s="5">
        <f>L49-Grade11!L49</f>
        <v>9844.0608943368425</v>
      </c>
      <c r="O49" s="5">
        <f>Grade11!M49-M49</f>
        <v>7.2449999999999477</v>
      </c>
      <c r="P49" s="22">
        <f t="shared" si="12"/>
        <v>618.88529666622628</v>
      </c>
      <c r="Q49" s="22"/>
      <c r="R49" s="22"/>
      <c r="S49" s="22">
        <f t="shared" si="20"/>
        <v>7964.7586041878822</v>
      </c>
      <c r="T49" s="22">
        <f t="shared" si="21"/>
        <v>1575.7811522168374</v>
      </c>
    </row>
    <row r="50" spans="1:20" x14ac:dyDescent="0.2">
      <c r="A50" s="5">
        <v>59</v>
      </c>
      <c r="B50" s="1">
        <f t="shared" si="13"/>
        <v>2.7521904343497163</v>
      </c>
      <c r="C50" s="5">
        <f t="shared" si="14"/>
        <v>168159.30545685341</v>
      </c>
      <c r="D50" s="5">
        <f t="shared" si="15"/>
        <v>161294.136711295</v>
      </c>
      <c r="E50" s="5">
        <f t="shared" si="1"/>
        <v>151794.136711295</v>
      </c>
      <c r="F50" s="5">
        <f t="shared" si="2"/>
        <v>60259.13693260587</v>
      </c>
      <c r="G50" s="5">
        <f t="shared" si="3"/>
        <v>101034.99977868912</v>
      </c>
      <c r="H50" s="22">
        <f t="shared" si="16"/>
        <v>75787.058257939279</v>
      </c>
      <c r="I50" s="5">
        <f t="shared" si="17"/>
        <v>173411.64041502113</v>
      </c>
      <c r="J50" s="26">
        <f t="shared" si="19"/>
        <v>0.25564428680387929</v>
      </c>
      <c r="L50" s="22">
        <f t="shared" si="18"/>
        <v>284350.86166124837</v>
      </c>
      <c r="M50" s="5">
        <f>scrimecost*Meta!O47</f>
        <v>353.625</v>
      </c>
      <c r="N50" s="5">
        <f>L50-Grade11!L50</f>
        <v>10090.162416695268</v>
      </c>
      <c r="O50" s="5">
        <f>Grade11!M50-M50</f>
        <v>7.2449999999999477</v>
      </c>
      <c r="P50" s="22">
        <f t="shared" si="12"/>
        <v>633.97338585166756</v>
      </c>
      <c r="Q50" s="22"/>
      <c r="R50" s="22"/>
      <c r="S50" s="22">
        <f t="shared" si="20"/>
        <v>8163.3237044259922</v>
      </c>
      <c r="T50" s="22">
        <f t="shared" si="21"/>
        <v>1552.4851520346099</v>
      </c>
    </row>
    <row r="51" spans="1:20" x14ac:dyDescent="0.2">
      <c r="A51" s="5">
        <v>60</v>
      </c>
      <c r="B51" s="1">
        <f t="shared" si="13"/>
        <v>2.8209951952084591</v>
      </c>
      <c r="C51" s="5">
        <f t="shared" si="14"/>
        <v>172363.28809327472</v>
      </c>
      <c r="D51" s="5">
        <f t="shared" si="15"/>
        <v>165308.94012907735</v>
      </c>
      <c r="E51" s="5">
        <f t="shared" si="1"/>
        <v>155808.94012907735</v>
      </c>
      <c r="F51" s="5">
        <f t="shared" si="2"/>
        <v>61842.976880921015</v>
      </c>
      <c r="G51" s="5">
        <f t="shared" si="3"/>
        <v>103465.96324815633</v>
      </c>
      <c r="H51" s="22">
        <f t="shared" si="16"/>
        <v>77681.734714387756</v>
      </c>
      <c r="I51" s="5">
        <f t="shared" si="17"/>
        <v>177652.01990039664</v>
      </c>
      <c r="J51" s="26">
        <f t="shared" si="19"/>
        <v>0.25604175040741595</v>
      </c>
      <c r="L51" s="22">
        <f t="shared" si="18"/>
        <v>291459.63320277957</v>
      </c>
      <c r="M51" s="5">
        <f>scrimecost*Meta!O48</f>
        <v>186.54999999999998</v>
      </c>
      <c r="N51" s="5">
        <f>L51-Grade11!L51</f>
        <v>10342.416477112623</v>
      </c>
      <c r="O51" s="5">
        <f>Grade11!M51-M51</f>
        <v>3.8220000000000027</v>
      </c>
      <c r="P51" s="22">
        <f t="shared" si="12"/>
        <v>649.43867726674523</v>
      </c>
      <c r="Q51" s="22"/>
      <c r="R51" s="22"/>
      <c r="S51" s="22">
        <f t="shared" si="20"/>
        <v>8363.4983921700332</v>
      </c>
      <c r="T51" s="22">
        <f t="shared" si="21"/>
        <v>1528.9228388875531</v>
      </c>
    </row>
    <row r="52" spans="1:20" x14ac:dyDescent="0.2">
      <c r="A52" s="5">
        <v>61</v>
      </c>
      <c r="B52" s="1">
        <f t="shared" si="13"/>
        <v>2.8915200750886707</v>
      </c>
      <c r="C52" s="5">
        <f t="shared" si="14"/>
        <v>176672.37029560658</v>
      </c>
      <c r="D52" s="5">
        <f t="shared" si="15"/>
        <v>169424.11363230427</v>
      </c>
      <c r="E52" s="5">
        <f t="shared" si="1"/>
        <v>159924.11363230427</v>
      </c>
      <c r="F52" s="5">
        <f t="shared" si="2"/>
        <v>63466.412827944034</v>
      </c>
      <c r="G52" s="5">
        <f t="shared" si="3"/>
        <v>105957.70080436024</v>
      </c>
      <c r="H52" s="22">
        <f t="shared" si="16"/>
        <v>79623.77808224746</v>
      </c>
      <c r="I52" s="5">
        <f t="shared" si="17"/>
        <v>181998.40887290656</v>
      </c>
      <c r="J52" s="26">
        <f t="shared" si="19"/>
        <v>0.25642951977671991</v>
      </c>
      <c r="L52" s="22">
        <f t="shared" si="18"/>
        <v>298746.1240328491</v>
      </c>
      <c r="M52" s="5">
        <f>scrimecost*Meta!O49</f>
        <v>186.54999999999998</v>
      </c>
      <c r="N52" s="5">
        <f>L52-Grade11!L52</f>
        <v>10600.976889040554</v>
      </c>
      <c r="O52" s="5">
        <f>Grade11!M52-M52</f>
        <v>3.8220000000000027</v>
      </c>
      <c r="P52" s="22">
        <f t="shared" si="12"/>
        <v>665.29060096719979</v>
      </c>
      <c r="Q52" s="22"/>
      <c r="R52" s="22"/>
      <c r="S52" s="22">
        <f t="shared" si="20"/>
        <v>8572.1158506077791</v>
      </c>
      <c r="T52" s="22">
        <f t="shared" si="21"/>
        <v>1506.3391911453496</v>
      </c>
    </row>
    <row r="53" spans="1:20" x14ac:dyDescent="0.2">
      <c r="A53" s="5">
        <v>62</v>
      </c>
      <c r="B53" s="1">
        <f t="shared" si="13"/>
        <v>2.9638080769658868</v>
      </c>
      <c r="C53" s="5">
        <f t="shared" si="14"/>
        <v>181089.17955299673</v>
      </c>
      <c r="D53" s="5">
        <f t="shared" si="15"/>
        <v>173642.16647311187</v>
      </c>
      <c r="E53" s="5">
        <f t="shared" si="1"/>
        <v>164142.16647311187</v>
      </c>
      <c r="F53" s="5">
        <f t="shared" si="2"/>
        <v>65130.434673642631</v>
      </c>
      <c r="G53" s="5">
        <f t="shared" si="3"/>
        <v>108511.73179946924</v>
      </c>
      <c r="H53" s="22">
        <f t="shared" si="16"/>
        <v>81614.37253430362</v>
      </c>
      <c r="I53" s="5">
        <f t="shared" si="17"/>
        <v>186453.45756972919</v>
      </c>
      <c r="J53" s="26">
        <f t="shared" si="19"/>
        <v>0.25680783135652868</v>
      </c>
      <c r="L53" s="22">
        <f t="shared" si="18"/>
        <v>306214.77713367029</v>
      </c>
      <c r="M53" s="5">
        <f>scrimecost*Meta!O50</f>
        <v>186.54999999999998</v>
      </c>
      <c r="N53" s="5">
        <f>L53-Grade11!L53</f>
        <v>10866.001311266504</v>
      </c>
      <c r="O53" s="5">
        <f>Grade11!M53-M53</f>
        <v>3.8220000000000027</v>
      </c>
      <c r="P53" s="22">
        <f t="shared" si="12"/>
        <v>681.53882276016554</v>
      </c>
      <c r="Q53" s="22"/>
      <c r="R53" s="22"/>
      <c r="S53" s="22">
        <f t="shared" si="20"/>
        <v>8785.9487455063372</v>
      </c>
      <c r="T53" s="22">
        <f t="shared" si="21"/>
        <v>1484.0911057199612</v>
      </c>
    </row>
    <row r="54" spans="1:20" x14ac:dyDescent="0.2">
      <c r="A54" s="5">
        <v>63</v>
      </c>
      <c r="B54" s="1">
        <f t="shared" si="13"/>
        <v>3.0379032788900342</v>
      </c>
      <c r="C54" s="5">
        <f t="shared" si="14"/>
        <v>185616.40904182164</v>
      </c>
      <c r="D54" s="5">
        <f t="shared" si="15"/>
        <v>177965.67063493966</v>
      </c>
      <c r="E54" s="5">
        <f t="shared" si="1"/>
        <v>168465.67063493966</v>
      </c>
      <c r="F54" s="5">
        <f t="shared" si="2"/>
        <v>66836.057065483707</v>
      </c>
      <c r="G54" s="5">
        <f t="shared" si="3"/>
        <v>111129.61356945595</v>
      </c>
      <c r="H54" s="22">
        <f t="shared" si="16"/>
        <v>83654.731847661213</v>
      </c>
      <c r="I54" s="5">
        <f t="shared" si="17"/>
        <v>191019.88248397241</v>
      </c>
      <c r="J54" s="26">
        <f t="shared" si="19"/>
        <v>0.25717691582463481</v>
      </c>
      <c r="L54" s="22">
        <f t="shared" si="18"/>
        <v>313870.14656201203</v>
      </c>
      <c r="M54" s="5">
        <f>scrimecost*Meta!O51</f>
        <v>186.54999999999998</v>
      </c>
      <c r="N54" s="5">
        <f>L54-Grade11!L54</f>
        <v>11137.651344048267</v>
      </c>
      <c r="O54" s="5">
        <f>Grade11!M54-M54</f>
        <v>3.8220000000000027</v>
      </c>
      <c r="P54" s="22">
        <f t="shared" si="12"/>
        <v>698.19325009795546</v>
      </c>
      <c r="Q54" s="22"/>
      <c r="R54" s="22"/>
      <c r="S54" s="22">
        <f t="shared" si="20"/>
        <v>9005.1274627774783</v>
      </c>
      <c r="T54" s="22">
        <f t="shared" si="21"/>
        <v>1462.173520158424</v>
      </c>
    </row>
    <row r="55" spans="1:20" x14ac:dyDescent="0.2">
      <c r="A55" s="5">
        <v>64</v>
      </c>
      <c r="B55" s="1">
        <f t="shared" si="13"/>
        <v>3.1138508608622844</v>
      </c>
      <c r="C55" s="5">
        <f t="shared" si="14"/>
        <v>190256.81926786716</v>
      </c>
      <c r="D55" s="5">
        <f t="shared" si="15"/>
        <v>182397.26240081314</v>
      </c>
      <c r="E55" s="5">
        <f t="shared" si="1"/>
        <v>172897.26240081314</v>
      </c>
      <c r="F55" s="5">
        <f t="shared" si="2"/>
        <v>68584.320017120801</v>
      </c>
      <c r="G55" s="5">
        <f t="shared" si="3"/>
        <v>113812.94238369234</v>
      </c>
      <c r="H55" s="22">
        <f t="shared" si="16"/>
        <v>85746.100143852731</v>
      </c>
      <c r="I55" s="5">
        <f t="shared" si="17"/>
        <v>195700.46802107169</v>
      </c>
      <c r="J55" s="26">
        <f t="shared" si="19"/>
        <v>0.25753699823254322</v>
      </c>
      <c r="L55" s="22">
        <f t="shared" si="18"/>
        <v>321716.90022606222</v>
      </c>
      <c r="M55" s="5">
        <f>scrimecost*Meta!O52</f>
        <v>186.54999999999998</v>
      </c>
      <c r="N55" s="5">
        <f>L55-Grade11!L55</f>
        <v>11416.092627649254</v>
      </c>
      <c r="O55" s="5">
        <f>Grade11!M55-M55</f>
        <v>3.8220000000000027</v>
      </c>
      <c r="P55" s="22">
        <f t="shared" si="12"/>
        <v>715.26403811918999</v>
      </c>
      <c r="Q55" s="22"/>
      <c r="R55" s="22"/>
      <c r="S55" s="22">
        <f t="shared" si="20"/>
        <v>9229.785647980163</v>
      </c>
      <c r="T55" s="22">
        <f t="shared" si="21"/>
        <v>1440.5814513164169</v>
      </c>
    </row>
    <row r="56" spans="1:20" x14ac:dyDescent="0.2">
      <c r="A56" s="5">
        <v>65</v>
      </c>
      <c r="B56" s="1">
        <f t="shared" si="13"/>
        <v>3.1916971323838421</v>
      </c>
      <c r="C56" s="5">
        <f t="shared" si="14"/>
        <v>195013.23974956386</v>
      </c>
      <c r="D56" s="5">
        <f t="shared" si="15"/>
        <v>186939.64396083346</v>
      </c>
      <c r="E56" s="5">
        <f t="shared" si="1"/>
        <v>177439.64396083346</v>
      </c>
      <c r="F56" s="5">
        <f t="shared" si="2"/>
        <v>70528.27174059047</v>
      </c>
      <c r="G56" s="5">
        <f t="shared" si="3"/>
        <v>116411.37222024299</v>
      </c>
      <c r="H56" s="22">
        <f t="shared" si="16"/>
        <v>87889.752647449073</v>
      </c>
      <c r="I56" s="5">
        <f t="shared" si="17"/>
        <v>200346.08599855687</v>
      </c>
      <c r="J56" s="26">
        <f t="shared" si="19"/>
        <v>0.25845083606964725</v>
      </c>
      <c r="L56" s="22">
        <f t="shared" si="18"/>
        <v>329759.82273171388</v>
      </c>
      <c r="M56" s="5">
        <f>scrimecost*Meta!O53</f>
        <v>56.375</v>
      </c>
      <c r="N56" s="5">
        <f>L56-Grade11!L56</f>
        <v>11701.494943340658</v>
      </c>
      <c r="O56" s="5">
        <f>Grade11!M56-M56</f>
        <v>1.1550000000000011</v>
      </c>
      <c r="P56" s="22">
        <f t="shared" si="12"/>
        <v>734.24561509752164</v>
      </c>
      <c r="Q56" s="22"/>
      <c r="R56" s="22"/>
      <c r="S56" s="22">
        <f t="shared" si="20"/>
        <v>9458.9009666846414</v>
      </c>
      <c r="T56" s="22">
        <f t="shared" si="21"/>
        <v>1419.1360589546202</v>
      </c>
    </row>
    <row r="57" spans="1:20" x14ac:dyDescent="0.2">
      <c r="A57" s="5">
        <v>66</v>
      </c>
      <c r="C57" s="5"/>
      <c r="H57" s="21"/>
      <c r="I57" s="5"/>
      <c r="M57" s="5">
        <f>scrimecost*Meta!O54</f>
        <v>56.375</v>
      </c>
      <c r="N57" s="5">
        <f>L57-Grade11!L57</f>
        <v>0</v>
      </c>
      <c r="O57" s="5">
        <f>Grade11!M57-M57</f>
        <v>1.1550000000000011</v>
      </c>
      <c r="Q57" s="22"/>
      <c r="R57" s="22"/>
      <c r="S57" s="22">
        <f t="shared" si="20"/>
        <v>1.131900000000001</v>
      </c>
      <c r="T57" s="22">
        <f t="shared" si="21"/>
        <v>0.16324074566481014</v>
      </c>
    </row>
    <row r="58" spans="1:20" x14ac:dyDescent="0.2">
      <c r="A58" s="5">
        <v>67</v>
      </c>
      <c r="C58" s="5"/>
      <c r="H58" s="21"/>
      <c r="I58" s="5"/>
      <c r="M58" s="5">
        <f>scrimecost*Meta!O55</f>
        <v>56.375</v>
      </c>
      <c r="N58" s="5">
        <f>L58-Grade11!L58</f>
        <v>0</v>
      </c>
      <c r="O58" s="5">
        <f>Grade11!M58-M58</f>
        <v>1.1550000000000011</v>
      </c>
      <c r="Q58" s="22"/>
      <c r="R58" s="22"/>
      <c r="S58" s="22">
        <f t="shared" si="20"/>
        <v>1.131900000000001</v>
      </c>
      <c r="T58" s="22">
        <f t="shared" si="21"/>
        <v>0.15691545598361728</v>
      </c>
    </row>
    <row r="59" spans="1:20" x14ac:dyDescent="0.2">
      <c r="A59" s="5">
        <v>68</v>
      </c>
      <c r="H59" s="21"/>
      <c r="I59" s="5"/>
      <c r="M59" s="5">
        <f>scrimecost*Meta!O56</f>
        <v>56.375</v>
      </c>
      <c r="N59" s="5">
        <f>L59-Grade11!L59</f>
        <v>0</v>
      </c>
      <c r="O59" s="5">
        <f>Grade11!M59-M59</f>
        <v>1.1550000000000011</v>
      </c>
      <c r="Q59" s="22"/>
      <c r="R59" s="22"/>
      <c r="S59" s="22">
        <f t="shared" si="20"/>
        <v>1.131900000000001</v>
      </c>
      <c r="T59" s="22">
        <f t="shared" si="21"/>
        <v>0.15083526007106693</v>
      </c>
    </row>
    <row r="60" spans="1:20" x14ac:dyDescent="0.2">
      <c r="A60" s="5">
        <v>69</v>
      </c>
      <c r="H60" s="21"/>
      <c r="I60" s="5"/>
      <c r="M60" s="5">
        <f>scrimecost*Meta!O57</f>
        <v>56.375</v>
      </c>
      <c r="N60" s="5">
        <f>L60-Grade11!L60</f>
        <v>0</v>
      </c>
      <c r="O60" s="5">
        <f>Grade11!M60-M60</f>
        <v>1.1550000000000011</v>
      </c>
      <c r="Q60" s="22"/>
      <c r="R60" s="22"/>
      <c r="S60" s="22">
        <f t="shared" si="20"/>
        <v>1.131900000000001</v>
      </c>
      <c r="T60" s="22">
        <f t="shared" si="21"/>
        <v>0.14499066097785637</v>
      </c>
    </row>
    <row r="61" spans="1:20" x14ac:dyDescent="0.2">
      <c r="A61" s="5">
        <v>70</v>
      </c>
      <c r="H61" s="21"/>
      <c r="I61" s="5"/>
      <c r="M61" s="5">
        <f>scrimecost*Meta!O58</f>
        <v>56.375</v>
      </c>
      <c r="N61" s="5">
        <f>L61-Grade11!L61</f>
        <v>0</v>
      </c>
      <c r="O61" s="5">
        <f>Grade11!M61-M61</f>
        <v>1.1550000000000011</v>
      </c>
      <c r="Q61" s="22"/>
      <c r="R61" s="22"/>
      <c r="S61" s="22">
        <f t="shared" si="20"/>
        <v>1.131900000000001</v>
      </c>
      <c r="T61" s="22">
        <f t="shared" si="21"/>
        <v>0.13937252974464265</v>
      </c>
    </row>
    <row r="62" spans="1:20" x14ac:dyDescent="0.2">
      <c r="A62" s="5">
        <v>71</v>
      </c>
      <c r="H62" s="21"/>
      <c r="I62" s="5"/>
      <c r="M62" s="5">
        <f>scrimecost*Meta!O59</f>
        <v>56.375</v>
      </c>
      <c r="N62" s="5">
        <f>L62-Grade11!L62</f>
        <v>0</v>
      </c>
      <c r="O62" s="5">
        <f>Grade11!M62-M62</f>
        <v>1.1550000000000011</v>
      </c>
      <c r="Q62" s="22"/>
      <c r="R62" s="22"/>
      <c r="S62" s="22">
        <f t="shared" si="20"/>
        <v>1.131900000000001</v>
      </c>
      <c r="T62" s="22">
        <f t="shared" si="21"/>
        <v>0.1339720911430835</v>
      </c>
    </row>
    <row r="63" spans="1:20" x14ac:dyDescent="0.2">
      <c r="A63" s="5">
        <v>72</v>
      </c>
      <c r="H63" s="21"/>
      <c r="M63" s="5">
        <f>scrimecost*Meta!O60</f>
        <v>56.375</v>
      </c>
      <c r="N63" s="5">
        <f>L63-Grade11!L63</f>
        <v>0</v>
      </c>
      <c r="O63" s="5">
        <f>Grade11!M63-M63</f>
        <v>1.1550000000000011</v>
      </c>
      <c r="Q63" s="22"/>
      <c r="R63" s="22"/>
      <c r="S63" s="22">
        <f t="shared" si="20"/>
        <v>1.131900000000001</v>
      </c>
      <c r="T63" s="22">
        <f t="shared" si="21"/>
        <v>0.12878090996938807</v>
      </c>
    </row>
    <row r="64" spans="1:20" x14ac:dyDescent="0.2">
      <c r="A64" s="5">
        <v>73</v>
      </c>
      <c r="H64" s="21"/>
      <c r="M64" s="5">
        <f>scrimecost*Meta!O61</f>
        <v>56.375</v>
      </c>
      <c r="N64" s="5">
        <f>L64-Grade11!L64</f>
        <v>0</v>
      </c>
      <c r="O64" s="5">
        <f>Grade11!M64-M64</f>
        <v>1.1550000000000011</v>
      </c>
      <c r="Q64" s="22"/>
      <c r="R64" s="22"/>
      <c r="S64" s="22">
        <f t="shared" si="20"/>
        <v>1.131900000000001</v>
      </c>
      <c r="T64" s="22">
        <f t="shared" si="21"/>
        <v>0.12379087786896742</v>
      </c>
    </row>
    <row r="65" spans="1:20" x14ac:dyDescent="0.2">
      <c r="A65" s="5">
        <v>74</v>
      </c>
      <c r="H65" s="21"/>
      <c r="M65" s="5">
        <f>scrimecost*Meta!O62</f>
        <v>56.375</v>
      </c>
      <c r="N65" s="5">
        <f>L65-Grade11!L65</f>
        <v>0</v>
      </c>
      <c r="O65" s="5">
        <f>Grade11!M65-M65</f>
        <v>1.1550000000000011</v>
      </c>
      <c r="Q65" s="22"/>
      <c r="R65" s="22"/>
      <c r="S65" s="22">
        <f t="shared" si="20"/>
        <v>1.131900000000001</v>
      </c>
      <c r="T65" s="22">
        <f t="shared" si="21"/>
        <v>0.11899420067160774</v>
      </c>
    </row>
    <row r="66" spans="1:20" x14ac:dyDescent="0.2">
      <c r="A66" s="5">
        <v>75</v>
      </c>
      <c r="H66" s="21"/>
      <c r="M66" s="5">
        <f>scrimecost*Meta!O63</f>
        <v>56.375</v>
      </c>
      <c r="N66" s="5">
        <f>L66-Grade11!L66</f>
        <v>0</v>
      </c>
      <c r="O66" s="5">
        <f>Grade11!M66-M66</f>
        <v>1.1550000000000011</v>
      </c>
      <c r="Q66" s="22"/>
      <c r="R66" s="22"/>
      <c r="S66" s="22">
        <f t="shared" si="20"/>
        <v>1.131900000000001</v>
      </c>
      <c r="T66" s="22">
        <f t="shared" si="21"/>
        <v>0.11438338621738188</v>
      </c>
    </row>
    <row r="67" spans="1:20" x14ac:dyDescent="0.2">
      <c r="A67" s="5">
        <v>76</v>
      </c>
      <c r="H67" s="21"/>
      <c r="M67" s="5">
        <f>scrimecost*Meta!O64</f>
        <v>56.375</v>
      </c>
      <c r="N67" s="5">
        <f>L67-Grade11!L67</f>
        <v>0</v>
      </c>
      <c r="O67" s="5">
        <f>Grade11!M67-M67</f>
        <v>1.1550000000000011</v>
      </c>
      <c r="Q67" s="22"/>
      <c r="R67" s="22"/>
      <c r="S67" s="22">
        <f t="shared" si="20"/>
        <v>1.131900000000001</v>
      </c>
      <c r="T67" s="22">
        <f t="shared" si="21"/>
        <v>0.10995123265428608</v>
      </c>
    </row>
    <row r="68" spans="1:20" x14ac:dyDescent="0.2">
      <c r="A68" s="5">
        <v>77</v>
      </c>
      <c r="H68" s="21"/>
      <c r="M68" s="5">
        <f>scrimecost*Meta!O65</f>
        <v>56.375</v>
      </c>
      <c r="N68" s="5">
        <f>L68-Grade11!L68</f>
        <v>0</v>
      </c>
      <c r="O68" s="5">
        <f>Grade11!M68-M68</f>
        <v>1.1550000000000011</v>
      </c>
      <c r="Q68" s="22"/>
      <c r="R68" s="22"/>
      <c r="S68" s="22">
        <f t="shared" si="20"/>
        <v>1.131900000000001</v>
      </c>
      <c r="T68" s="22">
        <f t="shared" si="21"/>
        <v>0.10569081718932219</v>
      </c>
    </row>
    <row r="69" spans="1:20" x14ac:dyDescent="0.2">
      <c r="A69" s="5">
        <v>78</v>
      </c>
      <c r="H69" s="21"/>
      <c r="M69" s="5">
        <f>scrimecost*Meta!O66</f>
        <v>56.375</v>
      </c>
      <c r="N69" s="5">
        <f>L69-Grade11!L69</f>
        <v>0</v>
      </c>
      <c r="O69" s="5">
        <f>Grade11!M69-M69</f>
        <v>1.1550000000000011</v>
      </c>
      <c r="Q69" s="22"/>
      <c r="R69" s="22"/>
      <c r="S69" s="22">
        <f t="shared" si="20"/>
        <v>1.131900000000001</v>
      </c>
      <c r="T69" s="22">
        <f t="shared" si="21"/>
        <v>0.10159548527545569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-7.9528147955976181E-11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N10" sqref="N10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Meta!A7+6</f>
        <v>19</v>
      </c>
      <c r="C2" s="7">
        <f>Meta!B7</f>
        <v>121226</v>
      </c>
      <c r="D2" s="7">
        <f>Meta!C7</f>
        <v>54329</v>
      </c>
      <c r="E2" s="1">
        <f>Meta!D7</f>
        <v>4.3999999999999997E-2</v>
      </c>
      <c r="F2" s="1">
        <f>Meta!F7</f>
        <v>0.71599999999999997</v>
      </c>
      <c r="G2" s="1">
        <f>Meta!I7</f>
        <v>1.8652741552202943</v>
      </c>
      <c r="H2" s="1">
        <f>Meta!E7</f>
        <v>0.81200000000000006</v>
      </c>
      <c r="I2" s="13"/>
      <c r="J2" s="1">
        <f>Meta!X6</f>
        <v>0.76200000000000001</v>
      </c>
      <c r="K2" s="1">
        <f>Meta!D6</f>
        <v>4.4999999999999998E-2</v>
      </c>
      <c r="L2" s="29"/>
      <c r="N2" s="22">
        <f>Meta!T7</f>
        <v>149114</v>
      </c>
      <c r="O2" s="22">
        <f>Meta!U7</f>
        <v>65035</v>
      </c>
      <c r="P2" s="1">
        <f>Meta!V7</f>
        <v>3.5000000000000003E-2</v>
      </c>
      <c r="Q2" s="1">
        <f>Meta!X7</f>
        <v>0.76600000000000001</v>
      </c>
      <c r="R2" s="22">
        <f>Meta!W7</f>
        <v>1017</v>
      </c>
      <c r="T2" s="12">
        <f>IRR(S5:S69)+1</f>
        <v>1.0409558115823683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B9" s="1">
        <v>1</v>
      </c>
      <c r="C9" s="5">
        <f>0.1*Grade12!C9</f>
        <v>6110.0170743303179</v>
      </c>
      <c r="D9" s="5">
        <f t="shared" ref="D9:D36" si="0">IF(A9&lt;startage,1,0)*(C9*(1-initialunempprob))+IF(A9=startage,1,0)*(C9*(1-unempprob))+IF(A9&gt;startage,1,0)*(C9*(1-unempprob)+unempprob*300*52)</f>
        <v>5835.0663059854533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446.38257240788715</v>
      </c>
      <c r="G9" s="5">
        <f t="shared" ref="G9:G56" si="3">D9-F9</f>
        <v>5388.6837335775663</v>
      </c>
      <c r="H9" s="22">
        <f>0.1*Grade12!H9</f>
        <v>2753.6996463635387</v>
      </c>
      <c r="I9" s="5">
        <f t="shared" ref="I9:I36" si="4">G9+IF(A9&lt;startage,1,0)*(H9*(1-initialunempprob))+IF(A9&gt;=startage,1,0)*(H9*(1-unempprob))</f>
        <v>8018.4668958547454</v>
      </c>
      <c r="J9" s="26">
        <f t="shared" ref="J9:J56" si="5">(F9-(IF(A9&gt;startage,1,0)*(unempprob*300*52)))/(IF(A9&lt;startage,1,0)*((C9+H9)*(1-initialunempprob))+IF(A9&gt;=startage,1,0)*((C9+H9)*(1-unempprob)))</f>
        <v>5.2733669285143815E-2</v>
      </c>
      <c r="L9" s="22">
        <f>0.1*Grade12!L9</f>
        <v>10331.801830000708</v>
      </c>
      <c r="M9" s="5">
        <f>scrimecost*Meta!O6</f>
        <v>3352.0319999999997</v>
      </c>
      <c r="N9" s="5">
        <f>L9-Grade12!L9</f>
        <v>-92986.216470006359</v>
      </c>
      <c r="O9" s="5"/>
      <c r="P9" s="22"/>
      <c r="Q9" s="22">
        <f>0.05*feel*Grade12!G9</f>
        <v>569.29747370757218</v>
      </c>
      <c r="R9" s="22">
        <f>coltuition</f>
        <v>8279</v>
      </c>
      <c r="S9" s="22">
        <f t="shared" ref="S9:S40" si="6">IF(A9&lt;startage,1,0)*(N9-Q9-R9)+IF(A9&gt;=startage,1,0)*completionprob*(N9*spart+O9+P9)</f>
        <v>-101834.51394371393</v>
      </c>
      <c r="T9" s="22">
        <f t="shared" ref="T9:T40" si="7">S9/sreturn^(A9-startage+1)</f>
        <v>-101834.51394371393</v>
      </c>
    </row>
    <row r="10" spans="1:20" x14ac:dyDescent="0.2">
      <c r="A10" s="5">
        <v>19</v>
      </c>
      <c r="B10" s="1">
        <f t="shared" ref="B10:B36" si="8">(1+experiencepremium)^(A10-startage)</f>
        <v>1</v>
      </c>
      <c r="C10" s="5">
        <f t="shared" ref="C10:C36" si="9">pretaxincome*B10/expnorm</f>
        <v>64990.982510923634</v>
      </c>
      <c r="D10" s="5">
        <f t="shared" si="0"/>
        <v>62131.37928044299</v>
      </c>
      <c r="E10" s="5">
        <f t="shared" si="1"/>
        <v>52631.37928044299</v>
      </c>
      <c r="F10" s="5">
        <f t="shared" si="2"/>
        <v>19299.033263108937</v>
      </c>
      <c r="G10" s="5">
        <f t="shared" si="3"/>
        <v>42832.346017334057</v>
      </c>
      <c r="H10" s="22">
        <f t="shared" ref="H10:H36" si="10">benefits*B10/expnorm</f>
        <v>29126.549492979808</v>
      </c>
      <c r="I10" s="5">
        <f t="shared" si="4"/>
        <v>70677.32733262275</v>
      </c>
      <c r="J10" s="26">
        <f t="shared" si="5"/>
        <v>0.21449004088774454</v>
      </c>
      <c r="L10" s="22">
        <f t="shared" ref="L10:L36" si="11">(sincome+sbenefits)*(1-sunemp)*B10/expnorm</f>
        <v>110790.03288693163</v>
      </c>
      <c r="M10" s="5">
        <f>scrimecost*Meta!O7</f>
        <v>3582.8910000000001</v>
      </c>
      <c r="N10" s="5">
        <f>L10-Grade12!L10</f>
        <v>4889.0641294243978</v>
      </c>
      <c r="O10" s="5">
        <f>Grade12!M10-M10</f>
        <v>28.184000000000196</v>
      </c>
      <c r="P10" s="22">
        <f t="shared" ref="P10:P56" si="12">(spart-initialspart)*(L10*J10+nptrans)</f>
        <v>121.26943473549022</v>
      </c>
      <c r="Q10" s="22"/>
      <c r="R10" s="22"/>
      <c r="S10" s="22">
        <f t="shared" si="6"/>
        <v>3162.3149649941583</v>
      </c>
      <c r="T10" s="22">
        <f t="shared" si="7"/>
        <v>3037.8954897106428</v>
      </c>
    </row>
    <row r="11" spans="1:20" x14ac:dyDescent="0.2">
      <c r="A11" s="5">
        <v>20</v>
      </c>
      <c r="B11" s="1">
        <f t="shared" si="8"/>
        <v>1.0249999999999999</v>
      </c>
      <c r="C11" s="5">
        <f t="shared" si="9"/>
        <v>66615.757073696717</v>
      </c>
      <c r="D11" s="5">
        <f t="shared" si="0"/>
        <v>64371.063762454061</v>
      </c>
      <c r="E11" s="5">
        <f t="shared" si="1"/>
        <v>54871.063762454061</v>
      </c>
      <c r="F11" s="5">
        <f t="shared" si="2"/>
        <v>20254.258694686658</v>
      </c>
      <c r="G11" s="5">
        <f t="shared" si="3"/>
        <v>44116.805067767404</v>
      </c>
      <c r="H11" s="22">
        <f t="shared" si="10"/>
        <v>29854.7132303043</v>
      </c>
      <c r="I11" s="5">
        <f t="shared" si="4"/>
        <v>72657.910915938308</v>
      </c>
      <c r="J11" s="26">
        <f t="shared" si="5"/>
        <v>0.21217343891302501</v>
      </c>
      <c r="L11" s="22">
        <f t="shared" si="11"/>
        <v>113559.7837091049</v>
      </c>
      <c r="M11" s="5">
        <f>scrimecost*Meta!O8</f>
        <v>3431.3580000000002</v>
      </c>
      <c r="N11" s="5">
        <f>L11-Grade12!L11</f>
        <v>5011.2907326599961</v>
      </c>
      <c r="O11" s="5">
        <f>Grade12!M11-M11</f>
        <v>26.991999999999734</v>
      </c>
      <c r="P11" s="22">
        <f t="shared" si="12"/>
        <v>122.59347932712052</v>
      </c>
      <c r="Q11" s="22"/>
      <c r="R11" s="22"/>
      <c r="S11" s="22">
        <f t="shared" si="6"/>
        <v>3238.4461546022781</v>
      </c>
      <c r="T11" s="22">
        <f t="shared" si="7"/>
        <v>2988.6295907580388</v>
      </c>
    </row>
    <row r="12" spans="1:20" x14ac:dyDescent="0.2">
      <c r="A12" s="5">
        <v>21</v>
      </c>
      <c r="B12" s="1">
        <f t="shared" si="8"/>
        <v>1.0506249999999999</v>
      </c>
      <c r="C12" s="5">
        <f t="shared" si="9"/>
        <v>68281.151000539132</v>
      </c>
      <c r="D12" s="5">
        <f t="shared" si="0"/>
        <v>65963.180356515411</v>
      </c>
      <c r="E12" s="5">
        <f t="shared" si="1"/>
        <v>56463.180356515411</v>
      </c>
      <c r="F12" s="5">
        <f t="shared" si="2"/>
        <v>20933.296422053823</v>
      </c>
      <c r="G12" s="5">
        <f t="shared" si="3"/>
        <v>45029.883934461584</v>
      </c>
      <c r="H12" s="22">
        <f t="shared" si="10"/>
        <v>30601.081061061905</v>
      </c>
      <c r="I12" s="5">
        <f t="shared" si="4"/>
        <v>74284.517428836756</v>
      </c>
      <c r="J12" s="26">
        <f t="shared" si="5"/>
        <v>0.21418167355446863</v>
      </c>
      <c r="L12" s="22">
        <f t="shared" si="11"/>
        <v>116398.77830183253</v>
      </c>
      <c r="M12" s="5">
        <f>scrimecost*Meta!O9</f>
        <v>3116.0880000000002</v>
      </c>
      <c r="N12" s="5">
        <f>L12-Grade12!L12</f>
        <v>5136.5730009764957</v>
      </c>
      <c r="O12" s="5">
        <f>Grade12!M12-M12</f>
        <v>24.511999999999716</v>
      </c>
      <c r="P12" s="22">
        <f t="shared" si="12"/>
        <v>125.93794054552835</v>
      </c>
      <c r="Q12" s="22"/>
      <c r="R12" s="22"/>
      <c r="S12" s="22">
        <f t="shared" si="6"/>
        <v>3317.072665746342</v>
      </c>
      <c r="T12" s="22">
        <f t="shared" si="7"/>
        <v>2940.7499820098174</v>
      </c>
    </row>
    <row r="13" spans="1:20" x14ac:dyDescent="0.2">
      <c r="A13" s="5">
        <v>22</v>
      </c>
      <c r="B13" s="1">
        <f t="shared" si="8"/>
        <v>1.0768906249999999</v>
      </c>
      <c r="C13" s="5">
        <f t="shared" si="9"/>
        <v>69988.179775552606</v>
      </c>
      <c r="D13" s="5">
        <f t="shared" si="0"/>
        <v>67595.099865428288</v>
      </c>
      <c r="E13" s="5">
        <f t="shared" si="1"/>
        <v>58095.099865428288</v>
      </c>
      <c r="F13" s="5">
        <f t="shared" si="2"/>
        <v>21629.310092605163</v>
      </c>
      <c r="G13" s="5">
        <f t="shared" si="3"/>
        <v>45965.789772823126</v>
      </c>
      <c r="H13" s="22">
        <f t="shared" si="10"/>
        <v>31366.108087588455</v>
      </c>
      <c r="I13" s="5">
        <f t="shared" si="4"/>
        <v>75951.789104557683</v>
      </c>
      <c r="J13" s="26">
        <f t="shared" si="5"/>
        <v>0.21614092686319406</v>
      </c>
      <c r="L13" s="22">
        <f t="shared" si="11"/>
        <v>119308.74775937834</v>
      </c>
      <c r="M13" s="5">
        <f>scrimecost*Meta!O10</f>
        <v>2855.7359999999999</v>
      </c>
      <c r="N13" s="5">
        <f>L13-Grade12!L13</f>
        <v>5264.9873260009044</v>
      </c>
      <c r="O13" s="5">
        <f>Grade12!M13-M13</f>
        <v>22.463999999999942</v>
      </c>
      <c r="P13" s="22">
        <f t="shared" si="12"/>
        <v>129.36601329439637</v>
      </c>
      <c r="Q13" s="22"/>
      <c r="R13" s="22"/>
      <c r="S13" s="22">
        <f t="shared" si="6"/>
        <v>3398.0659676690047</v>
      </c>
      <c r="T13" s="22">
        <f t="shared" si="7"/>
        <v>2894.0273362469861</v>
      </c>
    </row>
    <row r="14" spans="1:20" x14ac:dyDescent="0.2">
      <c r="A14" s="5">
        <v>23</v>
      </c>
      <c r="B14" s="1">
        <f t="shared" si="8"/>
        <v>1.1038128906249998</v>
      </c>
      <c r="C14" s="5">
        <f t="shared" si="9"/>
        <v>71737.884269941424</v>
      </c>
      <c r="D14" s="5">
        <f t="shared" si="0"/>
        <v>69267.817362063986</v>
      </c>
      <c r="E14" s="5">
        <f t="shared" si="1"/>
        <v>59767.817362063986</v>
      </c>
      <c r="F14" s="5">
        <f t="shared" si="2"/>
        <v>22342.724104920289</v>
      </c>
      <c r="G14" s="5">
        <f t="shared" si="3"/>
        <v>46925.093257143701</v>
      </c>
      <c r="H14" s="22">
        <f t="shared" si="10"/>
        <v>32150.260789778164</v>
      </c>
      <c r="I14" s="5">
        <f t="shared" si="4"/>
        <v>77660.742572171628</v>
      </c>
      <c r="J14" s="26">
        <f t="shared" si="5"/>
        <v>0.21805239350585298</v>
      </c>
      <c r="L14" s="22">
        <f t="shared" si="11"/>
        <v>122291.46645336278</v>
      </c>
      <c r="M14" s="5">
        <f>scrimecost*Meta!O11</f>
        <v>2668.6080000000002</v>
      </c>
      <c r="N14" s="5">
        <f>L14-Grade12!L14</f>
        <v>5396.6120091509219</v>
      </c>
      <c r="O14" s="5">
        <f>Grade12!M14-M14</f>
        <v>20.991999999999734</v>
      </c>
      <c r="P14" s="22">
        <f t="shared" si="12"/>
        <v>132.87978786198602</v>
      </c>
      <c r="Q14" s="22"/>
      <c r="R14" s="22"/>
      <c r="S14" s="22">
        <f t="shared" si="6"/>
        <v>3481.593388539733</v>
      </c>
      <c r="T14" s="22">
        <f t="shared" si="7"/>
        <v>2848.5023241104609</v>
      </c>
    </row>
    <row r="15" spans="1:20" x14ac:dyDescent="0.2">
      <c r="A15" s="5">
        <v>24</v>
      </c>
      <c r="B15" s="1">
        <f t="shared" si="8"/>
        <v>1.1314082128906247</v>
      </c>
      <c r="C15" s="5">
        <f t="shared" si="9"/>
        <v>73531.331376689937</v>
      </c>
      <c r="D15" s="5">
        <f t="shared" si="0"/>
        <v>70982.352796115578</v>
      </c>
      <c r="E15" s="5">
        <f t="shared" si="1"/>
        <v>61482.352796115578</v>
      </c>
      <c r="F15" s="5">
        <f t="shared" si="2"/>
        <v>23073.973467543296</v>
      </c>
      <c r="G15" s="5">
        <f t="shared" si="3"/>
        <v>47908.379328572279</v>
      </c>
      <c r="H15" s="22">
        <f t="shared" si="10"/>
        <v>32954.017309522613</v>
      </c>
      <c r="I15" s="5">
        <f t="shared" si="4"/>
        <v>79412.419876475891</v>
      </c>
      <c r="J15" s="26">
        <f t="shared" si="5"/>
        <v>0.2199172390108862</v>
      </c>
      <c r="L15" s="22">
        <f t="shared" si="11"/>
        <v>125348.75311469684</v>
      </c>
      <c r="M15" s="5">
        <f>scrimecost*Meta!O12</f>
        <v>2549.6190000000001</v>
      </c>
      <c r="N15" s="5">
        <f>L15-Grade12!L15</f>
        <v>5531.5273093797005</v>
      </c>
      <c r="O15" s="5">
        <f>Grade12!M15-M15</f>
        <v>20.05600000000004</v>
      </c>
      <c r="P15" s="22">
        <f t="shared" si="12"/>
        <v>136.48140679376553</v>
      </c>
      <c r="Q15" s="22"/>
      <c r="R15" s="22"/>
      <c r="S15" s="22">
        <f t="shared" si="6"/>
        <v>3567.6741085322374</v>
      </c>
      <c r="T15" s="22">
        <f t="shared" si="7"/>
        <v>2804.0865327019287</v>
      </c>
    </row>
    <row r="16" spans="1:20" x14ac:dyDescent="0.2">
      <c r="A16" s="5">
        <v>25</v>
      </c>
      <c r="B16" s="1">
        <f t="shared" si="8"/>
        <v>1.1596934182128902</v>
      </c>
      <c r="C16" s="5">
        <f t="shared" si="9"/>
        <v>75369.614661107189</v>
      </c>
      <c r="D16" s="5">
        <f t="shared" si="0"/>
        <v>72739.75161601846</v>
      </c>
      <c r="E16" s="5">
        <f t="shared" si="1"/>
        <v>63239.75161601846</v>
      </c>
      <c r="F16" s="5">
        <f t="shared" si="2"/>
        <v>23823.504064231875</v>
      </c>
      <c r="G16" s="5">
        <f t="shared" si="3"/>
        <v>48916.247551786582</v>
      </c>
      <c r="H16" s="22">
        <f t="shared" si="10"/>
        <v>33777.867742260671</v>
      </c>
      <c r="I16" s="5">
        <f t="shared" si="4"/>
        <v>81207.889113387777</v>
      </c>
      <c r="J16" s="26">
        <f t="shared" si="5"/>
        <v>0.2217366004792112</v>
      </c>
      <c r="L16" s="22">
        <f t="shared" si="11"/>
        <v>128482.47194256425</v>
      </c>
      <c r="M16" s="5">
        <f>scrimecost*Meta!O13</f>
        <v>2140.7849999999999</v>
      </c>
      <c r="N16" s="5">
        <f>L16-Grade12!L16</f>
        <v>5669.8154921141831</v>
      </c>
      <c r="O16" s="5">
        <f>Grade12!M16-M16</f>
        <v>16.840000000000146</v>
      </c>
      <c r="P16" s="22">
        <f t="shared" si="12"/>
        <v>140.17306619883948</v>
      </c>
      <c r="Q16" s="22"/>
      <c r="R16" s="22"/>
      <c r="S16" s="22">
        <f t="shared" si="6"/>
        <v>3654.074487324543</v>
      </c>
      <c r="T16" s="22">
        <f t="shared" si="7"/>
        <v>2758.9976903584816</v>
      </c>
    </row>
    <row r="17" spans="1:20" x14ac:dyDescent="0.2">
      <c r="A17" s="5">
        <v>26</v>
      </c>
      <c r="B17" s="1">
        <f t="shared" si="8"/>
        <v>1.1886857536682125</v>
      </c>
      <c r="C17" s="5">
        <f t="shared" si="9"/>
        <v>77253.855027634883</v>
      </c>
      <c r="D17" s="5">
        <f t="shared" si="0"/>
        <v>74541.085406418933</v>
      </c>
      <c r="E17" s="5">
        <f t="shared" si="1"/>
        <v>65041.085406418933</v>
      </c>
      <c r="F17" s="5">
        <f t="shared" si="2"/>
        <v>24591.772925837675</v>
      </c>
      <c r="G17" s="5">
        <f t="shared" si="3"/>
        <v>49949.312480581255</v>
      </c>
      <c r="H17" s="22">
        <f t="shared" si="10"/>
        <v>34622.314435817199</v>
      </c>
      <c r="I17" s="5">
        <f t="shared" si="4"/>
        <v>83048.2450812225</v>
      </c>
      <c r="J17" s="26">
        <f t="shared" si="5"/>
        <v>0.22351158727757708</v>
      </c>
      <c r="L17" s="22">
        <f t="shared" si="11"/>
        <v>131694.53374112837</v>
      </c>
      <c r="M17" s="5">
        <f>scrimecost*Meta!O14</f>
        <v>2140.7849999999999</v>
      </c>
      <c r="N17" s="5">
        <f>L17-Grade12!L17</f>
        <v>5811.5608794170694</v>
      </c>
      <c r="O17" s="5">
        <f>Grade12!M17-M17</f>
        <v>16.840000000000146</v>
      </c>
      <c r="P17" s="22">
        <f t="shared" si="12"/>
        <v>143.95701708904025</v>
      </c>
      <c r="Q17" s="22"/>
      <c r="R17" s="22"/>
      <c r="S17" s="22">
        <f t="shared" si="6"/>
        <v>3745.3115523866827</v>
      </c>
      <c r="T17" s="22">
        <f t="shared" si="7"/>
        <v>2716.6243984036405</v>
      </c>
    </row>
    <row r="18" spans="1:20" x14ac:dyDescent="0.2">
      <c r="A18" s="5">
        <v>27</v>
      </c>
      <c r="B18" s="1">
        <f t="shared" si="8"/>
        <v>1.2184028975099177</v>
      </c>
      <c r="C18" s="5">
        <f t="shared" si="9"/>
        <v>79185.201403325744</v>
      </c>
      <c r="D18" s="5">
        <f t="shared" si="0"/>
        <v>76387.452541579405</v>
      </c>
      <c r="E18" s="5">
        <f t="shared" si="1"/>
        <v>66887.452541579405</v>
      </c>
      <c r="F18" s="5">
        <f t="shared" si="2"/>
        <v>25379.248508983615</v>
      </c>
      <c r="G18" s="5">
        <f t="shared" si="3"/>
        <v>51008.204032595793</v>
      </c>
      <c r="H18" s="22">
        <f t="shared" si="10"/>
        <v>35487.872296712616</v>
      </c>
      <c r="I18" s="5">
        <f t="shared" si="4"/>
        <v>84934.609948253055</v>
      </c>
      <c r="J18" s="26">
        <f t="shared" si="5"/>
        <v>0.22524328171500724</v>
      </c>
      <c r="L18" s="22">
        <f t="shared" si="11"/>
        <v>134986.89708465655</v>
      </c>
      <c r="M18" s="5">
        <f>scrimecost*Meta!O15</f>
        <v>2140.7849999999999</v>
      </c>
      <c r="N18" s="5">
        <f>L18-Grade12!L18</f>
        <v>5956.849901402471</v>
      </c>
      <c r="O18" s="5">
        <f>Grade12!M18-M18</f>
        <v>16.840000000000146</v>
      </c>
      <c r="P18" s="22">
        <f t="shared" si="12"/>
        <v>147.83556675149606</v>
      </c>
      <c r="Q18" s="22"/>
      <c r="R18" s="22"/>
      <c r="S18" s="22">
        <f t="shared" si="6"/>
        <v>3838.8295440753409</v>
      </c>
      <c r="T18" s="22">
        <f t="shared" si="7"/>
        <v>2674.9038820233013</v>
      </c>
    </row>
    <row r="19" spans="1:20" x14ac:dyDescent="0.2">
      <c r="A19" s="5">
        <v>28</v>
      </c>
      <c r="B19" s="1">
        <f t="shared" si="8"/>
        <v>1.2488629699476654</v>
      </c>
      <c r="C19" s="5">
        <f t="shared" si="9"/>
        <v>81164.831438408874</v>
      </c>
      <c r="D19" s="5">
        <f t="shared" si="0"/>
        <v>78279.978855118869</v>
      </c>
      <c r="E19" s="5">
        <f t="shared" si="1"/>
        <v>68779.978855118869</v>
      </c>
      <c r="F19" s="5">
        <f t="shared" si="2"/>
        <v>26186.410981708195</v>
      </c>
      <c r="G19" s="5">
        <f t="shared" si="3"/>
        <v>52093.567873410677</v>
      </c>
      <c r="H19" s="22">
        <f t="shared" si="10"/>
        <v>36375.069104130431</v>
      </c>
      <c r="I19" s="5">
        <f t="shared" si="4"/>
        <v>86868.133936959377</v>
      </c>
      <c r="J19" s="26">
        <f t="shared" si="5"/>
        <v>0.22693273970274391</v>
      </c>
      <c r="L19" s="22">
        <f t="shared" si="11"/>
        <v>138361.56951177295</v>
      </c>
      <c r="M19" s="5">
        <f>scrimecost*Meta!O16</f>
        <v>2140.7849999999999</v>
      </c>
      <c r="N19" s="5">
        <f>L19-Grade12!L19</f>
        <v>6105.7711489375215</v>
      </c>
      <c r="O19" s="5">
        <f>Grade12!M19-M19</f>
        <v>16.840000000000146</v>
      </c>
      <c r="P19" s="22">
        <f t="shared" si="12"/>
        <v>151.81108015551328</v>
      </c>
      <c r="Q19" s="22"/>
      <c r="R19" s="22"/>
      <c r="S19" s="22">
        <f t="shared" si="6"/>
        <v>3934.6854855562242</v>
      </c>
      <c r="T19" s="22">
        <f t="shared" si="7"/>
        <v>2633.8260065519316</v>
      </c>
    </row>
    <row r="20" spans="1:20" x14ac:dyDescent="0.2">
      <c r="A20" s="5">
        <v>29</v>
      </c>
      <c r="B20" s="1">
        <f t="shared" si="8"/>
        <v>1.2800845441963571</v>
      </c>
      <c r="C20" s="5">
        <f t="shared" si="9"/>
        <v>83193.952224369103</v>
      </c>
      <c r="D20" s="5">
        <f t="shared" si="0"/>
        <v>80219.818326496854</v>
      </c>
      <c r="E20" s="5">
        <f t="shared" si="1"/>
        <v>70719.818326496854</v>
      </c>
      <c r="F20" s="5">
        <f t="shared" si="2"/>
        <v>27013.752516250908</v>
      </c>
      <c r="G20" s="5">
        <f t="shared" si="3"/>
        <v>53206.065810245942</v>
      </c>
      <c r="H20" s="22">
        <f t="shared" si="10"/>
        <v>37284.44583173369</v>
      </c>
      <c r="I20" s="5">
        <f t="shared" si="4"/>
        <v>88849.996025383356</v>
      </c>
      <c r="J20" s="26">
        <f t="shared" si="5"/>
        <v>0.22858099139809684</v>
      </c>
      <c r="L20" s="22">
        <f t="shared" si="11"/>
        <v>141820.60874956727</v>
      </c>
      <c r="M20" s="5">
        <f>scrimecost*Meta!O17</f>
        <v>2140.7849999999999</v>
      </c>
      <c r="N20" s="5">
        <f>L20-Grade12!L20</f>
        <v>6258.415427660977</v>
      </c>
      <c r="O20" s="5">
        <f>Grade12!M20-M20</f>
        <v>16.840000000000146</v>
      </c>
      <c r="P20" s="22">
        <f t="shared" si="12"/>
        <v>155.8859813946309</v>
      </c>
      <c r="Q20" s="22"/>
      <c r="R20" s="22"/>
      <c r="S20" s="22">
        <f t="shared" si="6"/>
        <v>4032.9378255741472</v>
      </c>
      <c r="T20" s="22">
        <f t="shared" si="7"/>
        <v>2593.380797739861</v>
      </c>
    </row>
    <row r="21" spans="1:20" x14ac:dyDescent="0.2">
      <c r="A21" s="5">
        <v>30</v>
      </c>
      <c r="B21" s="1">
        <f t="shared" si="8"/>
        <v>1.312086657801266</v>
      </c>
      <c r="C21" s="5">
        <f t="shared" si="9"/>
        <v>85273.80102997832</v>
      </c>
      <c r="D21" s="5">
        <f t="shared" si="0"/>
        <v>82208.153784659269</v>
      </c>
      <c r="E21" s="5">
        <f t="shared" si="1"/>
        <v>72708.153784659269</v>
      </c>
      <c r="F21" s="5">
        <f t="shared" si="2"/>
        <v>27861.777589157176</v>
      </c>
      <c r="G21" s="5">
        <f t="shared" si="3"/>
        <v>54346.376195502089</v>
      </c>
      <c r="H21" s="22">
        <f t="shared" si="10"/>
        <v>38216.556977527034</v>
      </c>
      <c r="I21" s="5">
        <f t="shared" si="4"/>
        <v>90881.40466601793</v>
      </c>
      <c r="J21" s="26">
        <f t="shared" si="5"/>
        <v>0.23018904183258748</v>
      </c>
      <c r="L21" s="22">
        <f t="shared" si="11"/>
        <v>145366.12396830646</v>
      </c>
      <c r="M21" s="5">
        <f>scrimecost*Meta!O18</f>
        <v>1725.8490000000002</v>
      </c>
      <c r="N21" s="5">
        <f>L21-Grade12!L21</f>
        <v>6414.8758133524971</v>
      </c>
      <c r="O21" s="5">
        <f>Grade12!M21-M21</f>
        <v>13.575999999999794</v>
      </c>
      <c r="P21" s="22">
        <f t="shared" si="12"/>
        <v>160.06275516472652</v>
      </c>
      <c r="Q21" s="22"/>
      <c r="R21" s="22"/>
      <c r="S21" s="22">
        <f t="shared" si="6"/>
        <v>4130.9961060925052</v>
      </c>
      <c r="T21" s="22">
        <f t="shared" si="7"/>
        <v>2551.9211753338218</v>
      </c>
    </row>
    <row r="22" spans="1:20" x14ac:dyDescent="0.2">
      <c r="A22" s="5">
        <v>31</v>
      </c>
      <c r="B22" s="1">
        <f t="shared" si="8"/>
        <v>1.3448888242462975</v>
      </c>
      <c r="C22" s="5">
        <f t="shared" si="9"/>
        <v>87405.646055727775</v>
      </c>
      <c r="D22" s="5">
        <f t="shared" si="0"/>
        <v>84246.197629275746</v>
      </c>
      <c r="E22" s="5">
        <f t="shared" si="1"/>
        <v>74746.197629275746</v>
      </c>
      <c r="F22" s="5">
        <f t="shared" si="2"/>
        <v>28731.003288886106</v>
      </c>
      <c r="G22" s="5">
        <f t="shared" si="3"/>
        <v>55515.194340389644</v>
      </c>
      <c r="H22" s="22">
        <f t="shared" si="10"/>
        <v>39171.970901965207</v>
      </c>
      <c r="I22" s="5">
        <f t="shared" si="4"/>
        <v>92963.598522668384</v>
      </c>
      <c r="J22" s="26">
        <f t="shared" si="5"/>
        <v>0.23175787152477345</v>
      </c>
      <c r="L22" s="22">
        <f t="shared" si="11"/>
        <v>149000.27706751411</v>
      </c>
      <c r="M22" s="5">
        <f>scrimecost*Meta!O19</f>
        <v>1725.8490000000002</v>
      </c>
      <c r="N22" s="5">
        <f>L22-Grade12!L22</f>
        <v>6575.2477086863073</v>
      </c>
      <c r="O22" s="5">
        <f>Grade12!M22-M22</f>
        <v>13.575999999999794</v>
      </c>
      <c r="P22" s="22">
        <f t="shared" si="12"/>
        <v>164.34394827907448</v>
      </c>
      <c r="Q22" s="22"/>
      <c r="R22" s="22"/>
      <c r="S22" s="22">
        <f t="shared" si="6"/>
        <v>4234.2224708238227</v>
      </c>
      <c r="T22" s="22">
        <f t="shared" si="7"/>
        <v>2512.7764227186044</v>
      </c>
    </row>
    <row r="23" spans="1:20" x14ac:dyDescent="0.2">
      <c r="A23" s="5">
        <v>32</v>
      </c>
      <c r="B23" s="1">
        <f t="shared" si="8"/>
        <v>1.3785110448524549</v>
      </c>
      <c r="C23" s="5">
        <f t="shared" si="9"/>
        <v>89590.787207120971</v>
      </c>
      <c r="D23" s="5">
        <f t="shared" si="0"/>
        <v>86335.192570007639</v>
      </c>
      <c r="E23" s="5">
        <f t="shared" si="1"/>
        <v>76835.192570007639</v>
      </c>
      <c r="F23" s="5">
        <f t="shared" si="2"/>
        <v>29621.959631108257</v>
      </c>
      <c r="G23" s="5">
        <f t="shared" si="3"/>
        <v>56713.232938899382</v>
      </c>
      <c r="H23" s="22">
        <f t="shared" si="10"/>
        <v>40151.270174514335</v>
      </c>
      <c r="I23" s="5">
        <f t="shared" si="4"/>
        <v>95097.84722573508</v>
      </c>
      <c r="J23" s="26">
        <f t="shared" si="5"/>
        <v>0.23328843707812563</v>
      </c>
      <c r="L23" s="22">
        <f t="shared" si="11"/>
        <v>152725.28399420195</v>
      </c>
      <c r="M23" s="5">
        <f>scrimecost*Meta!O20</f>
        <v>1725.8490000000002</v>
      </c>
      <c r="N23" s="5">
        <f>L23-Grade12!L23</f>
        <v>6739.6289014034846</v>
      </c>
      <c r="O23" s="5">
        <f>Grade12!M23-M23</f>
        <v>13.575999999999794</v>
      </c>
      <c r="P23" s="22">
        <f t="shared" si="12"/>
        <v>168.73217122128113</v>
      </c>
      <c r="Q23" s="22"/>
      <c r="R23" s="22"/>
      <c r="S23" s="22">
        <f t="shared" si="6"/>
        <v>4340.0294946734366</v>
      </c>
      <c r="T23" s="22">
        <f t="shared" si="7"/>
        <v>2474.2328157088182</v>
      </c>
    </row>
    <row r="24" spans="1:20" x14ac:dyDescent="0.2">
      <c r="A24" s="5">
        <v>33</v>
      </c>
      <c r="B24" s="1">
        <f t="shared" si="8"/>
        <v>1.4129738209737661</v>
      </c>
      <c r="C24" s="5">
        <f t="shared" si="9"/>
        <v>91830.556887298968</v>
      </c>
      <c r="D24" s="5">
        <f t="shared" si="0"/>
        <v>88476.412384257797</v>
      </c>
      <c r="E24" s="5">
        <f t="shared" si="1"/>
        <v>78976.412384257797</v>
      </c>
      <c r="F24" s="5">
        <f t="shared" si="2"/>
        <v>30535.189881885948</v>
      </c>
      <c r="G24" s="5">
        <f t="shared" si="3"/>
        <v>57941.222502371849</v>
      </c>
      <c r="H24" s="22">
        <f t="shared" si="10"/>
        <v>41155.05192887719</v>
      </c>
      <c r="I24" s="5">
        <f t="shared" si="4"/>
        <v>97285.452146378433</v>
      </c>
      <c r="J24" s="26">
        <f t="shared" si="5"/>
        <v>0.23478167176432282</v>
      </c>
      <c r="L24" s="22">
        <f t="shared" si="11"/>
        <v>156543.41609405697</v>
      </c>
      <c r="M24" s="5">
        <f>scrimecost*Meta!O21</f>
        <v>1725.8490000000002</v>
      </c>
      <c r="N24" s="5">
        <f>L24-Grade12!L24</f>
        <v>6908.1196239384881</v>
      </c>
      <c r="O24" s="5">
        <f>Grade12!M24-M24</f>
        <v>13.575999999999794</v>
      </c>
      <c r="P24" s="22">
        <f t="shared" si="12"/>
        <v>173.23009973704291</v>
      </c>
      <c r="Q24" s="22"/>
      <c r="R24" s="22"/>
      <c r="S24" s="22">
        <f t="shared" si="6"/>
        <v>4448.4816941192275</v>
      </c>
      <c r="T24" s="22">
        <f t="shared" si="7"/>
        <v>2436.2810953319495</v>
      </c>
    </row>
    <row r="25" spans="1:20" x14ac:dyDescent="0.2">
      <c r="A25" s="5">
        <v>34</v>
      </c>
      <c r="B25" s="1">
        <f t="shared" si="8"/>
        <v>1.4482981664981105</v>
      </c>
      <c r="C25" s="5">
        <f t="shared" si="9"/>
        <v>94126.320809481476</v>
      </c>
      <c r="D25" s="5">
        <f t="shared" si="0"/>
        <v>90671.162693864288</v>
      </c>
      <c r="E25" s="5">
        <f t="shared" si="1"/>
        <v>81171.162693864288</v>
      </c>
      <c r="F25" s="5">
        <f t="shared" si="2"/>
        <v>31471.250888933118</v>
      </c>
      <c r="G25" s="5">
        <f t="shared" si="3"/>
        <v>59199.911804931166</v>
      </c>
      <c r="H25" s="22">
        <f t="shared" si="10"/>
        <v>42183.928227099124</v>
      </c>
      <c r="I25" s="5">
        <f t="shared" si="4"/>
        <v>99527.747190037917</v>
      </c>
      <c r="J25" s="26">
        <f t="shared" si="5"/>
        <v>0.2362384860923202</v>
      </c>
      <c r="L25" s="22">
        <f t="shared" si="11"/>
        <v>160457.00149640843</v>
      </c>
      <c r="M25" s="5">
        <f>scrimecost*Meta!O22</f>
        <v>1725.8490000000002</v>
      </c>
      <c r="N25" s="5">
        <f>L25-Grade12!L25</f>
        <v>7080.8226145370281</v>
      </c>
      <c r="O25" s="5">
        <f>Grade12!M25-M25</f>
        <v>13.575999999999794</v>
      </c>
      <c r="P25" s="22">
        <f t="shared" si="12"/>
        <v>177.84047646569888</v>
      </c>
      <c r="Q25" s="22"/>
      <c r="R25" s="22"/>
      <c r="S25" s="22">
        <f t="shared" si="6"/>
        <v>4559.6451985512631</v>
      </c>
      <c r="T25" s="22">
        <f t="shared" si="7"/>
        <v>2398.9121462918379</v>
      </c>
    </row>
    <row r="26" spans="1:20" x14ac:dyDescent="0.2">
      <c r="A26" s="5">
        <v>35</v>
      </c>
      <c r="B26" s="1">
        <f t="shared" si="8"/>
        <v>1.4845056206605631</v>
      </c>
      <c r="C26" s="5">
        <f t="shared" si="9"/>
        <v>96479.478829718486</v>
      </c>
      <c r="D26" s="5">
        <f t="shared" si="0"/>
        <v>92920.781761210863</v>
      </c>
      <c r="E26" s="5">
        <f t="shared" si="1"/>
        <v>83420.781761210863</v>
      </c>
      <c r="F26" s="5">
        <f t="shared" si="2"/>
        <v>32430.713421156433</v>
      </c>
      <c r="G26" s="5">
        <f t="shared" si="3"/>
        <v>60490.068340054429</v>
      </c>
      <c r="H26" s="22">
        <f t="shared" si="10"/>
        <v>43238.526432776598</v>
      </c>
      <c r="I26" s="5">
        <f t="shared" si="4"/>
        <v>101826.09960978886</v>
      </c>
      <c r="J26" s="26">
        <f t="shared" si="5"/>
        <v>0.23765976836353708</v>
      </c>
      <c r="L26" s="22">
        <f t="shared" si="11"/>
        <v>164468.42653381862</v>
      </c>
      <c r="M26" s="5">
        <f>scrimecost*Meta!O23</f>
        <v>1339.3889999999999</v>
      </c>
      <c r="N26" s="5">
        <f>L26-Grade12!L26</f>
        <v>7257.8431799004611</v>
      </c>
      <c r="O26" s="5">
        <f>Grade12!M26-M26</f>
        <v>10.536000000000058</v>
      </c>
      <c r="P26" s="22">
        <f t="shared" si="12"/>
        <v>182.56611261257117</v>
      </c>
      <c r="Q26" s="22"/>
      <c r="R26" s="22"/>
      <c r="S26" s="22">
        <f t="shared" si="6"/>
        <v>4671.1193105940565</v>
      </c>
      <c r="T26" s="22">
        <f t="shared" si="7"/>
        <v>2360.8693796269658</v>
      </c>
    </row>
    <row r="27" spans="1:20" x14ac:dyDescent="0.2">
      <c r="A27" s="5">
        <v>36</v>
      </c>
      <c r="B27" s="1">
        <f t="shared" si="8"/>
        <v>1.521618261177077</v>
      </c>
      <c r="C27" s="5">
        <f t="shared" si="9"/>
        <v>98891.465800461447</v>
      </c>
      <c r="D27" s="5">
        <f t="shared" si="0"/>
        <v>95226.641305241137</v>
      </c>
      <c r="E27" s="5">
        <f t="shared" si="1"/>
        <v>85726.641305241137</v>
      </c>
      <c r="F27" s="5">
        <f t="shared" si="2"/>
        <v>33477.961755842582</v>
      </c>
      <c r="G27" s="5">
        <f t="shared" si="3"/>
        <v>61748.679549398556</v>
      </c>
      <c r="H27" s="22">
        <f t="shared" si="10"/>
        <v>44319.489593596008</v>
      </c>
      <c r="I27" s="5">
        <f t="shared" si="4"/>
        <v>104118.11160087633</v>
      </c>
      <c r="J27" s="26">
        <f t="shared" si="5"/>
        <v>0.23951238032979588</v>
      </c>
      <c r="L27" s="22">
        <f t="shared" si="11"/>
        <v>168580.13719716406</v>
      </c>
      <c r="M27" s="5">
        <f>scrimecost*Meta!O24</f>
        <v>1339.3889999999999</v>
      </c>
      <c r="N27" s="5">
        <f>L27-Grade12!L27</f>
        <v>7439.2892593979195</v>
      </c>
      <c r="O27" s="5">
        <f>Grade12!M27-M27</f>
        <v>10.536000000000058</v>
      </c>
      <c r="P27" s="22">
        <f t="shared" si="12"/>
        <v>187.72411974566549</v>
      </c>
      <c r="Q27" s="22"/>
      <c r="R27" s="22"/>
      <c r="S27" s="22">
        <f t="shared" si="6"/>
        <v>4788.1656222649117</v>
      </c>
      <c r="T27" s="22">
        <f t="shared" si="7"/>
        <v>2324.8121635344451</v>
      </c>
    </row>
    <row r="28" spans="1:20" x14ac:dyDescent="0.2">
      <c r="A28" s="5">
        <v>37</v>
      </c>
      <c r="B28" s="1">
        <f t="shared" si="8"/>
        <v>1.559658717706504</v>
      </c>
      <c r="C28" s="5">
        <f t="shared" si="9"/>
        <v>101363.75244547297</v>
      </c>
      <c r="D28" s="5">
        <f t="shared" si="0"/>
        <v>97590.147337872157</v>
      </c>
      <c r="E28" s="5">
        <f t="shared" si="1"/>
        <v>88090.147337872157</v>
      </c>
      <c r="F28" s="5">
        <f t="shared" si="2"/>
        <v>34556.902259738643</v>
      </c>
      <c r="G28" s="5">
        <f t="shared" si="3"/>
        <v>63033.245078133514</v>
      </c>
      <c r="H28" s="22">
        <f t="shared" si="10"/>
        <v>45427.476833435911</v>
      </c>
      <c r="I28" s="5">
        <f t="shared" si="4"/>
        <v>106461.91293089825</v>
      </c>
      <c r="J28" s="26">
        <f t="shared" si="5"/>
        <v>0.24135907740009108</v>
      </c>
      <c r="L28" s="22">
        <f t="shared" si="11"/>
        <v>172794.64062709318</v>
      </c>
      <c r="M28" s="5">
        <f>scrimecost*Meta!O25</f>
        <v>1339.3889999999999</v>
      </c>
      <c r="N28" s="5">
        <f>L28-Grade12!L28</f>
        <v>7625.2714908828784</v>
      </c>
      <c r="O28" s="5">
        <f>Grade12!M28-M28</f>
        <v>10.536000000000058</v>
      </c>
      <c r="P28" s="22">
        <f t="shared" si="12"/>
        <v>193.03822016574219</v>
      </c>
      <c r="Q28" s="22"/>
      <c r="R28" s="22"/>
      <c r="S28" s="22">
        <f t="shared" si="6"/>
        <v>4908.1601319318061</v>
      </c>
      <c r="T28" s="22">
        <f t="shared" si="7"/>
        <v>2289.3127881864566</v>
      </c>
    </row>
    <row r="29" spans="1:20" x14ac:dyDescent="0.2">
      <c r="A29" s="5">
        <v>38</v>
      </c>
      <c r="B29" s="1">
        <f t="shared" si="8"/>
        <v>1.5986501856491666</v>
      </c>
      <c r="C29" s="5">
        <f t="shared" si="9"/>
        <v>103897.84625660982</v>
      </c>
      <c r="D29" s="5">
        <f t="shared" si="0"/>
        <v>100012.74102131897</v>
      </c>
      <c r="E29" s="5">
        <f t="shared" si="1"/>
        <v>90512.741021318972</v>
      </c>
      <c r="F29" s="5">
        <f t="shared" si="2"/>
        <v>35662.816276232115</v>
      </c>
      <c r="G29" s="5">
        <f t="shared" si="3"/>
        <v>64349.924745086857</v>
      </c>
      <c r="H29" s="22">
        <f t="shared" si="10"/>
        <v>46563.163754271809</v>
      </c>
      <c r="I29" s="5">
        <f t="shared" si="4"/>
        <v>108864.3092941707</v>
      </c>
      <c r="J29" s="26">
        <f t="shared" si="5"/>
        <v>0.24316073307842784</v>
      </c>
      <c r="L29" s="22">
        <f t="shared" si="11"/>
        <v>177114.50664277052</v>
      </c>
      <c r="M29" s="5">
        <f>scrimecost*Meta!O26</f>
        <v>1339.3889999999999</v>
      </c>
      <c r="N29" s="5">
        <f>L29-Grade12!L29</f>
        <v>7815.9032781550195</v>
      </c>
      <c r="O29" s="5">
        <f>Grade12!M29-M29</f>
        <v>10.536000000000058</v>
      </c>
      <c r="P29" s="22">
        <f t="shared" si="12"/>
        <v>198.48517309632081</v>
      </c>
      <c r="Q29" s="22"/>
      <c r="R29" s="22"/>
      <c r="S29" s="22">
        <f t="shared" si="6"/>
        <v>5031.1545043404103</v>
      </c>
      <c r="T29" s="22">
        <f t="shared" si="7"/>
        <v>2254.3522199734703</v>
      </c>
    </row>
    <row r="30" spans="1:20" x14ac:dyDescent="0.2">
      <c r="A30" s="5">
        <v>39</v>
      </c>
      <c r="B30" s="1">
        <f t="shared" si="8"/>
        <v>1.6386164402903955</v>
      </c>
      <c r="C30" s="5">
        <f t="shared" si="9"/>
        <v>106495.29241302503</v>
      </c>
      <c r="D30" s="5">
        <f t="shared" si="0"/>
        <v>102495.89954685193</v>
      </c>
      <c r="E30" s="5">
        <f t="shared" si="1"/>
        <v>92995.899546851928</v>
      </c>
      <c r="F30" s="5">
        <f t="shared" si="2"/>
        <v>36796.378143137903</v>
      </c>
      <c r="G30" s="5">
        <f t="shared" si="3"/>
        <v>65699.521403714025</v>
      </c>
      <c r="H30" s="22">
        <f t="shared" si="10"/>
        <v>47727.242848128597</v>
      </c>
      <c r="I30" s="5">
        <f t="shared" si="4"/>
        <v>111326.76556652496</v>
      </c>
      <c r="J30" s="26">
        <f t="shared" si="5"/>
        <v>0.24491844593534173</v>
      </c>
      <c r="L30" s="22">
        <f t="shared" si="11"/>
        <v>181542.36930883976</v>
      </c>
      <c r="M30" s="5">
        <f>scrimecost*Meta!O27</f>
        <v>1339.3889999999999</v>
      </c>
      <c r="N30" s="5">
        <f>L30-Grade12!L30</f>
        <v>8011.3008601088659</v>
      </c>
      <c r="O30" s="5">
        <f>Grade12!M30-M30</f>
        <v>10.536000000000058</v>
      </c>
      <c r="P30" s="22">
        <f t="shared" si="12"/>
        <v>204.06829985016384</v>
      </c>
      <c r="Q30" s="22"/>
      <c r="R30" s="22"/>
      <c r="S30" s="22">
        <f t="shared" si="6"/>
        <v>5157.2237360591671</v>
      </c>
      <c r="T30" s="22">
        <f t="shared" si="7"/>
        <v>2219.9224096925814</v>
      </c>
    </row>
    <row r="31" spans="1:20" x14ac:dyDescent="0.2">
      <c r="A31" s="5">
        <v>40</v>
      </c>
      <c r="B31" s="1">
        <f t="shared" si="8"/>
        <v>1.6795818512976552</v>
      </c>
      <c r="C31" s="5">
        <f t="shared" si="9"/>
        <v>109157.67472335065</v>
      </c>
      <c r="D31" s="5">
        <f t="shared" si="0"/>
        <v>105041.13703552321</v>
      </c>
      <c r="E31" s="5">
        <f t="shared" si="1"/>
        <v>95541.137035523207</v>
      </c>
      <c r="F31" s="5">
        <f t="shared" si="2"/>
        <v>37958.279056716347</v>
      </c>
      <c r="G31" s="5">
        <f t="shared" si="3"/>
        <v>67082.85797880686</v>
      </c>
      <c r="H31" s="22">
        <f t="shared" si="10"/>
        <v>48920.423919331806</v>
      </c>
      <c r="I31" s="5">
        <f t="shared" si="4"/>
        <v>113850.78324568807</v>
      </c>
      <c r="J31" s="26">
        <f t="shared" si="5"/>
        <v>0.24663328774696511</v>
      </c>
      <c r="L31" s="22">
        <f t="shared" si="11"/>
        <v>186080.92854156074</v>
      </c>
      <c r="M31" s="5">
        <f>scrimecost*Meta!O28</f>
        <v>1171.5839999999998</v>
      </c>
      <c r="N31" s="5">
        <f>L31-Grade12!L31</f>
        <v>8211.5833816115919</v>
      </c>
      <c r="O31" s="5">
        <f>Grade12!M31-M31</f>
        <v>9.2160000000001219</v>
      </c>
      <c r="P31" s="22">
        <f t="shared" si="12"/>
        <v>209.791004772853</v>
      </c>
      <c r="Q31" s="22"/>
      <c r="R31" s="22"/>
      <c r="S31" s="22">
        <f t="shared" si="6"/>
        <v>5285.372858570915</v>
      </c>
      <c r="T31" s="22">
        <f t="shared" si="7"/>
        <v>2185.5722031284977</v>
      </c>
    </row>
    <row r="32" spans="1:20" x14ac:dyDescent="0.2">
      <c r="A32" s="5">
        <v>41</v>
      </c>
      <c r="B32" s="1">
        <f t="shared" si="8"/>
        <v>1.7215713975800966</v>
      </c>
      <c r="C32" s="5">
        <f t="shared" si="9"/>
        <v>111886.61659143442</v>
      </c>
      <c r="D32" s="5">
        <f t="shared" si="0"/>
        <v>107650.00546141129</v>
      </c>
      <c r="E32" s="5">
        <f t="shared" si="1"/>
        <v>98150.005461411289</v>
      </c>
      <c r="F32" s="5">
        <f t="shared" si="2"/>
        <v>39096.527154526753</v>
      </c>
      <c r="G32" s="5">
        <f t="shared" si="3"/>
        <v>68553.478306884528</v>
      </c>
      <c r="H32" s="22">
        <f t="shared" si="10"/>
        <v>50143.434517315101</v>
      </c>
      <c r="I32" s="5">
        <f t="shared" si="4"/>
        <v>116490.60170543776</v>
      </c>
      <c r="J32" s="26">
        <f t="shared" si="5"/>
        <v>0.24796608406698203</v>
      </c>
      <c r="L32" s="22">
        <f t="shared" si="11"/>
        <v>190732.95175509973</v>
      </c>
      <c r="M32" s="5">
        <f>scrimecost*Meta!O29</f>
        <v>1171.5839999999998</v>
      </c>
      <c r="N32" s="5">
        <f>L32-Grade12!L32</f>
        <v>8416.87296615183</v>
      </c>
      <c r="O32" s="5">
        <f>Grade12!M32-M32</f>
        <v>9.2160000000001219</v>
      </c>
      <c r="P32" s="22">
        <f t="shared" si="12"/>
        <v>215.39721259699493</v>
      </c>
      <c r="Q32" s="22"/>
      <c r="R32" s="22"/>
      <c r="S32" s="22">
        <f t="shared" si="6"/>
        <v>5417.6135785914703</v>
      </c>
      <c r="T32" s="22">
        <f t="shared" si="7"/>
        <v>2152.1139326981042</v>
      </c>
    </row>
    <row r="33" spans="1:20" x14ac:dyDescent="0.2">
      <c r="A33" s="5">
        <v>42</v>
      </c>
      <c r="B33" s="1">
        <f t="shared" si="8"/>
        <v>1.7646106825195991</v>
      </c>
      <c r="C33" s="5">
        <f t="shared" si="9"/>
        <v>114683.78200622028</v>
      </c>
      <c r="D33" s="5">
        <f t="shared" si="0"/>
        <v>110324.09559794658</v>
      </c>
      <c r="E33" s="5">
        <f t="shared" si="1"/>
        <v>100824.09559794658</v>
      </c>
      <c r="F33" s="5">
        <f t="shared" si="2"/>
        <v>40151.455713389922</v>
      </c>
      <c r="G33" s="5">
        <f t="shared" si="3"/>
        <v>70172.639884556658</v>
      </c>
      <c r="H33" s="22">
        <f t="shared" si="10"/>
        <v>51397.020380247981</v>
      </c>
      <c r="I33" s="5">
        <f t="shared" si="4"/>
        <v>119308.19136807372</v>
      </c>
      <c r="J33" s="26">
        <f t="shared" si="5"/>
        <v>0.24856237709329657</v>
      </c>
      <c r="L33" s="22">
        <f t="shared" si="11"/>
        <v>195501.27554897725</v>
      </c>
      <c r="M33" s="5">
        <f>scrimecost*Meta!O30</f>
        <v>1171.5839999999998</v>
      </c>
      <c r="N33" s="5">
        <f>L33-Grade12!L33</f>
        <v>8627.294790305692</v>
      </c>
      <c r="O33" s="5">
        <f>Grade12!M33-M33</f>
        <v>9.2160000000001219</v>
      </c>
      <c r="P33" s="22">
        <f t="shared" si="12"/>
        <v>220.59304710090166</v>
      </c>
      <c r="Q33" s="22"/>
      <c r="R33" s="22"/>
      <c r="S33" s="22">
        <f t="shared" si="6"/>
        <v>5552.713287457751</v>
      </c>
      <c r="T33" s="22">
        <f t="shared" si="7"/>
        <v>2118.9962561772836</v>
      </c>
    </row>
    <row r="34" spans="1:20" x14ac:dyDescent="0.2">
      <c r="A34" s="5">
        <v>43</v>
      </c>
      <c r="B34" s="1">
        <f t="shared" si="8"/>
        <v>1.8087259495825889</v>
      </c>
      <c r="C34" s="5">
        <f t="shared" si="9"/>
        <v>117550.87655637578</v>
      </c>
      <c r="D34" s="5">
        <f t="shared" si="0"/>
        <v>113065.03798789524</v>
      </c>
      <c r="E34" s="5">
        <f t="shared" si="1"/>
        <v>103565.03798789524</v>
      </c>
      <c r="F34" s="5">
        <f t="shared" si="2"/>
        <v>41232.757486224669</v>
      </c>
      <c r="G34" s="5">
        <f t="shared" si="3"/>
        <v>71832.280501670568</v>
      </c>
      <c r="H34" s="22">
        <f t="shared" si="10"/>
        <v>52681.94588975417</v>
      </c>
      <c r="I34" s="5">
        <f t="shared" si="4"/>
        <v>122196.22077227556</v>
      </c>
      <c r="J34" s="26">
        <f t="shared" si="5"/>
        <v>0.24914412638726205</v>
      </c>
      <c r="L34" s="22">
        <f t="shared" si="11"/>
        <v>200388.80743770165</v>
      </c>
      <c r="M34" s="5">
        <f>scrimecost*Meta!O31</f>
        <v>1171.5839999999998</v>
      </c>
      <c r="N34" s="5">
        <f>L34-Grade12!L34</f>
        <v>8842.9771600633103</v>
      </c>
      <c r="O34" s="5">
        <f>Grade12!M34-M34</f>
        <v>9.2160000000001219</v>
      </c>
      <c r="P34" s="22">
        <f t="shared" si="12"/>
        <v>225.91877746740604</v>
      </c>
      <c r="Q34" s="22"/>
      <c r="R34" s="22"/>
      <c r="S34" s="22">
        <f t="shared" si="6"/>
        <v>5691.1904890456335</v>
      </c>
      <c r="T34" s="22">
        <f t="shared" si="7"/>
        <v>2086.3913230698699</v>
      </c>
    </row>
    <row r="35" spans="1:20" x14ac:dyDescent="0.2">
      <c r="A35" s="5">
        <v>44</v>
      </c>
      <c r="B35" s="1">
        <f t="shared" si="8"/>
        <v>1.8539440983221533</v>
      </c>
      <c r="C35" s="5">
        <f t="shared" si="9"/>
        <v>120489.64847028514</v>
      </c>
      <c r="D35" s="5">
        <f t="shared" si="0"/>
        <v>115874.50393759258</v>
      </c>
      <c r="E35" s="5">
        <f t="shared" si="1"/>
        <v>106374.50393759258</v>
      </c>
      <c r="F35" s="5">
        <f t="shared" si="2"/>
        <v>42341.091803380274</v>
      </c>
      <c r="G35" s="5">
        <f t="shared" si="3"/>
        <v>73533.412134212311</v>
      </c>
      <c r="H35" s="22">
        <f t="shared" si="10"/>
        <v>53998.99453699802</v>
      </c>
      <c r="I35" s="5">
        <f t="shared" si="4"/>
        <v>125156.45091158242</v>
      </c>
      <c r="J35" s="26">
        <f t="shared" si="5"/>
        <v>0.24971168667405763</v>
      </c>
      <c r="L35" s="22">
        <f t="shared" si="11"/>
        <v>205398.52762364416</v>
      </c>
      <c r="M35" s="5">
        <f>scrimecost*Meta!O32</f>
        <v>1171.5839999999998</v>
      </c>
      <c r="N35" s="5">
        <f>L35-Grade12!L35</f>
        <v>9064.0515890648821</v>
      </c>
      <c r="O35" s="5">
        <f>Grade12!M35-M35</f>
        <v>9.2160000000001219</v>
      </c>
      <c r="P35" s="22">
        <f t="shared" si="12"/>
        <v>231.37765109307301</v>
      </c>
      <c r="Q35" s="22"/>
      <c r="R35" s="22"/>
      <c r="S35" s="22">
        <f t="shared" si="6"/>
        <v>5833.1296206732204</v>
      </c>
      <c r="T35" s="22">
        <f t="shared" si="7"/>
        <v>2054.2910728028755</v>
      </c>
    </row>
    <row r="36" spans="1:20" x14ac:dyDescent="0.2">
      <c r="A36" s="5">
        <v>45</v>
      </c>
      <c r="B36" s="1">
        <f t="shared" si="8"/>
        <v>1.9002927007802071</v>
      </c>
      <c r="C36" s="5">
        <f t="shared" si="9"/>
        <v>123501.88968204228</v>
      </c>
      <c r="D36" s="5">
        <f t="shared" si="0"/>
        <v>118754.2065360324</v>
      </c>
      <c r="E36" s="5">
        <f t="shared" si="1"/>
        <v>109254.2065360324</v>
      </c>
      <c r="F36" s="5">
        <f t="shared" si="2"/>
        <v>43477.134478464781</v>
      </c>
      <c r="G36" s="5">
        <f t="shared" si="3"/>
        <v>75277.072057567624</v>
      </c>
      <c r="H36" s="22">
        <f t="shared" si="10"/>
        <v>55348.969400422968</v>
      </c>
      <c r="I36" s="5">
        <f t="shared" si="4"/>
        <v>128190.68680437197</v>
      </c>
      <c r="J36" s="26">
        <f t="shared" si="5"/>
        <v>0.2502654040270289</v>
      </c>
      <c r="L36" s="22">
        <f t="shared" si="11"/>
        <v>210533.49081423524</v>
      </c>
      <c r="M36" s="5">
        <f>scrimecost*Meta!O33</f>
        <v>946.827</v>
      </c>
      <c r="N36" s="5">
        <f>L36-Grade12!L36</f>
        <v>9290.6528787914722</v>
      </c>
      <c r="O36" s="5">
        <f>Grade12!M36-M36</f>
        <v>7.4480000000000928</v>
      </c>
      <c r="P36" s="22">
        <f t="shared" si="12"/>
        <v>236.97299655938164</v>
      </c>
      <c r="Q36" s="22"/>
      <c r="R36" s="22"/>
      <c r="S36" s="22">
        <f t="shared" si="6"/>
        <v>5977.1816145914836</v>
      </c>
      <c r="T36" s="22">
        <f t="shared" si="7"/>
        <v>2022.2018782369164</v>
      </c>
    </row>
    <row r="37" spans="1:20" x14ac:dyDescent="0.2">
      <c r="A37" s="5">
        <v>46</v>
      </c>
      <c r="B37" s="1">
        <f t="shared" ref="B37:B56" si="13">(1+experiencepremium)^(A37-startage)</f>
        <v>1.9478000182997122</v>
      </c>
      <c r="C37" s="5">
        <f t="shared" ref="C37:C56" si="14">pretaxincome*B37/expnorm</f>
        <v>126589.43692409333</v>
      </c>
      <c r="D37" s="5">
        <f t="shared" ref="D37:D56" si="15">IF(A37&lt;startage,1,0)*(C37*(1-initialunempprob))+IF(A37=startage,1,0)*(C37*(1-unempprob))+IF(A37&gt;startage,1,0)*(C37*(1-unempprob)+unempprob*300*52)</f>
        <v>121705.90169943322</v>
      </c>
      <c r="E37" s="5">
        <f t="shared" si="1"/>
        <v>112205.90169943322</v>
      </c>
      <c r="F37" s="5">
        <f t="shared" si="2"/>
        <v>44641.578220426411</v>
      </c>
      <c r="G37" s="5">
        <f t="shared" si="3"/>
        <v>77064.323479006809</v>
      </c>
      <c r="H37" s="22">
        <f t="shared" ref="H37:H56" si="16">benefits*B37/expnorm</f>
        <v>56732.693635433541</v>
      </c>
      <c r="I37" s="5">
        <f t="shared" ref="I37:I56" si="17">G37+IF(A37&lt;startage,1,0)*(H37*(1-initialunempprob))+IF(A37&gt;=startage,1,0)*(H37*(1-unempprob))</f>
        <v>131300.77859448126</v>
      </c>
      <c r="J37" s="26">
        <f t="shared" si="5"/>
        <v>0.25080561607870822</v>
      </c>
      <c r="L37" s="22">
        <f t="shared" ref="L37:L56" si="18">(sincome+sbenefits)*(1-sunemp)*B37/expnorm</f>
        <v>215796.82808459114</v>
      </c>
      <c r="M37" s="5">
        <f>scrimecost*Meta!O34</f>
        <v>946.827</v>
      </c>
      <c r="N37" s="5">
        <f>L37-Grade12!L37</f>
        <v>9522.9192007613019</v>
      </c>
      <c r="O37" s="5">
        <f>Grade12!M37-M37</f>
        <v>7.4480000000000928</v>
      </c>
      <c r="P37" s="22">
        <f t="shared" si="12"/>
        <v>242.70822566234807</v>
      </c>
      <c r="Q37" s="22"/>
      <c r="R37" s="22"/>
      <c r="S37" s="22">
        <f t="shared" si="6"/>
        <v>6126.3064147577506</v>
      </c>
      <c r="T37" s="22">
        <f t="shared" si="7"/>
        <v>1991.1064449957073</v>
      </c>
    </row>
    <row r="38" spans="1:20" x14ac:dyDescent="0.2">
      <c r="A38" s="5">
        <v>47</v>
      </c>
      <c r="B38" s="1">
        <f t="shared" si="13"/>
        <v>1.9964950187572048</v>
      </c>
      <c r="C38" s="5">
        <f t="shared" si="14"/>
        <v>129754.17284719564</v>
      </c>
      <c r="D38" s="5">
        <f t="shared" si="15"/>
        <v>124731.38924191902</v>
      </c>
      <c r="E38" s="5">
        <f t="shared" si="1"/>
        <v>115231.38924191902</v>
      </c>
      <c r="F38" s="5">
        <f t="shared" si="2"/>
        <v>45835.133055937054</v>
      </c>
      <c r="G38" s="5">
        <f t="shared" si="3"/>
        <v>78896.256185981969</v>
      </c>
      <c r="H38" s="22">
        <f t="shared" si="16"/>
        <v>58151.010976319376</v>
      </c>
      <c r="I38" s="5">
        <f t="shared" si="17"/>
        <v>134488.62267934327</v>
      </c>
      <c r="J38" s="26">
        <f t="shared" si="5"/>
        <v>0.25133265222668799</v>
      </c>
      <c r="L38" s="22">
        <f t="shared" si="18"/>
        <v>221191.7487867059</v>
      </c>
      <c r="M38" s="5">
        <f>scrimecost*Meta!O35</f>
        <v>946.827</v>
      </c>
      <c r="N38" s="5">
        <f>L38-Grade12!L38</f>
        <v>9760.9921807803039</v>
      </c>
      <c r="O38" s="5">
        <f>Grade12!M38-M38</f>
        <v>7.4480000000000928</v>
      </c>
      <c r="P38" s="22">
        <f t="shared" si="12"/>
        <v>248.58683549288858</v>
      </c>
      <c r="Q38" s="22"/>
      <c r="R38" s="22"/>
      <c r="S38" s="22">
        <f t="shared" si="6"/>
        <v>6279.1593349281293</v>
      </c>
      <c r="T38" s="22">
        <f t="shared" si="7"/>
        <v>1960.4915405827417</v>
      </c>
    </row>
    <row r="39" spans="1:20" x14ac:dyDescent="0.2">
      <c r="A39" s="5">
        <v>48</v>
      </c>
      <c r="B39" s="1">
        <f t="shared" si="13"/>
        <v>2.0464073942261352</v>
      </c>
      <c r="C39" s="5">
        <f t="shared" si="14"/>
        <v>132998.02716837556</v>
      </c>
      <c r="D39" s="5">
        <f t="shared" si="15"/>
        <v>127832.51397296702</v>
      </c>
      <c r="E39" s="5">
        <f t="shared" si="1"/>
        <v>118332.51397296702</v>
      </c>
      <c r="F39" s="5">
        <f t="shared" si="2"/>
        <v>47058.526762335488</v>
      </c>
      <c r="G39" s="5">
        <f t="shared" si="3"/>
        <v>80773.987210631531</v>
      </c>
      <c r="H39" s="22">
        <f t="shared" si="16"/>
        <v>59604.78625072736</v>
      </c>
      <c r="I39" s="5">
        <f t="shared" si="17"/>
        <v>137756.16286632689</v>
      </c>
      <c r="J39" s="26">
        <f t="shared" si="5"/>
        <v>0.25184683383447315</v>
      </c>
      <c r="L39" s="22">
        <f t="shared" si="18"/>
        <v>226721.54250637357</v>
      </c>
      <c r="M39" s="5">
        <f>scrimecost*Meta!O36</f>
        <v>946.827</v>
      </c>
      <c r="N39" s="5">
        <f>L39-Grade12!L39</f>
        <v>10005.016985299881</v>
      </c>
      <c r="O39" s="5">
        <f>Grade12!M39-M39</f>
        <v>7.4480000000000928</v>
      </c>
      <c r="P39" s="22">
        <f t="shared" si="12"/>
        <v>254.61241056919266</v>
      </c>
      <c r="Q39" s="22"/>
      <c r="R39" s="22"/>
      <c r="S39" s="22">
        <f t="shared" si="6"/>
        <v>6435.8335781028281</v>
      </c>
      <c r="T39" s="22">
        <f t="shared" si="7"/>
        <v>1930.3496461156981</v>
      </c>
    </row>
    <row r="40" spans="1:20" x14ac:dyDescent="0.2">
      <c r="A40" s="5">
        <v>49</v>
      </c>
      <c r="B40" s="1">
        <f t="shared" si="13"/>
        <v>2.097567579081788</v>
      </c>
      <c r="C40" s="5">
        <f t="shared" si="14"/>
        <v>136322.9778475849</v>
      </c>
      <c r="D40" s="5">
        <f t="shared" si="15"/>
        <v>131011.16682229115</v>
      </c>
      <c r="E40" s="5">
        <f t="shared" si="1"/>
        <v>121511.16682229115</v>
      </c>
      <c r="F40" s="5">
        <f t="shared" si="2"/>
        <v>48312.505311393863</v>
      </c>
      <c r="G40" s="5">
        <f t="shared" si="3"/>
        <v>82698.661510897291</v>
      </c>
      <c r="H40" s="22">
        <f t="shared" si="16"/>
        <v>61094.905906995533</v>
      </c>
      <c r="I40" s="5">
        <f t="shared" si="17"/>
        <v>141105.39155798501</v>
      </c>
      <c r="J40" s="26">
        <f t="shared" si="5"/>
        <v>0.25234847442743435</v>
      </c>
      <c r="L40" s="22">
        <f t="shared" si="18"/>
        <v>232389.58106903284</v>
      </c>
      <c r="M40" s="5">
        <f>scrimecost*Meta!O37</f>
        <v>946.827</v>
      </c>
      <c r="N40" s="5">
        <f>L40-Grade12!L40</f>
        <v>10255.142409932247</v>
      </c>
      <c r="O40" s="5">
        <f>Grade12!M40-M40</f>
        <v>7.4480000000000928</v>
      </c>
      <c r="P40" s="22">
        <f t="shared" si="12"/>
        <v>260.78862502240429</v>
      </c>
      <c r="Q40" s="22"/>
      <c r="R40" s="22"/>
      <c r="S40" s="22">
        <f t="shared" si="6"/>
        <v>6596.4246773567711</v>
      </c>
      <c r="T40" s="22">
        <f t="shared" si="7"/>
        <v>1900.6733639940846</v>
      </c>
    </row>
    <row r="41" spans="1:20" x14ac:dyDescent="0.2">
      <c r="A41" s="5">
        <v>50</v>
      </c>
      <c r="B41" s="1">
        <f t="shared" si="13"/>
        <v>2.1500067685588333</v>
      </c>
      <c r="C41" s="5">
        <f t="shared" si="14"/>
        <v>139731.05229377458</v>
      </c>
      <c r="D41" s="5">
        <f t="shared" si="15"/>
        <v>134269.28599284848</v>
      </c>
      <c r="E41" s="5">
        <f t="shared" si="1"/>
        <v>124769.28599284848</v>
      </c>
      <c r="F41" s="5">
        <f t="shared" si="2"/>
        <v>49597.833324178719</v>
      </c>
      <c r="G41" s="5">
        <f t="shared" si="3"/>
        <v>84671.452668669765</v>
      </c>
      <c r="H41" s="22">
        <f t="shared" si="16"/>
        <v>62622.27855467044</v>
      </c>
      <c r="I41" s="5">
        <f t="shared" si="17"/>
        <v>144538.3509669347</v>
      </c>
      <c r="J41" s="26">
        <f t="shared" si="5"/>
        <v>0.25283787988398176</v>
      </c>
      <c r="L41" s="22">
        <f t="shared" si="18"/>
        <v>238199.32059575873</v>
      </c>
      <c r="M41" s="5">
        <f>scrimecost*Meta!O38</f>
        <v>632.57399999999996</v>
      </c>
      <c r="N41" s="5">
        <f>L41-Grade12!L41</f>
        <v>10511.52097018066</v>
      </c>
      <c r="O41" s="5">
        <f>Grade12!M41-M41</f>
        <v>4.9759999999999991</v>
      </c>
      <c r="P41" s="22">
        <f t="shared" si="12"/>
        <v>267.11924483694628</v>
      </c>
      <c r="Q41" s="22"/>
      <c r="R41" s="22"/>
      <c r="S41" s="22">
        <f t="shared" ref="S41:S69" si="19">IF(A41&lt;startage,1,0)*(N41-Q41-R41)+IF(A41&gt;=startage,1,0)*completionprob*(N41*spart+O41+P41)</f>
        <v>6759.0232900922092</v>
      </c>
      <c r="T41" s="22">
        <f t="shared" ref="T41:T69" si="20">S41/sreturn^(A41-startage+1)</f>
        <v>1870.8998044871007</v>
      </c>
    </row>
    <row r="42" spans="1:20" x14ac:dyDescent="0.2">
      <c r="A42" s="5">
        <v>51</v>
      </c>
      <c r="B42" s="1">
        <f t="shared" si="13"/>
        <v>2.2037569377728037</v>
      </c>
      <c r="C42" s="5">
        <f t="shared" si="14"/>
        <v>143224.32860111893</v>
      </c>
      <c r="D42" s="5">
        <f t="shared" si="15"/>
        <v>137608.85814266969</v>
      </c>
      <c r="E42" s="5">
        <f t="shared" si="1"/>
        <v>128108.85814266969</v>
      </c>
      <c r="F42" s="5">
        <f t="shared" si="2"/>
        <v>50915.294537283196</v>
      </c>
      <c r="G42" s="5">
        <f t="shared" si="3"/>
        <v>86693.563605386502</v>
      </c>
      <c r="H42" s="22">
        <f t="shared" si="16"/>
        <v>64187.835518537191</v>
      </c>
      <c r="I42" s="5">
        <f t="shared" si="17"/>
        <v>148057.13436110807</v>
      </c>
      <c r="J42" s="26">
        <f t="shared" si="5"/>
        <v>0.25331534862207689</v>
      </c>
      <c r="L42" s="22">
        <f t="shared" si="18"/>
        <v>244154.30361065266</v>
      </c>
      <c r="M42" s="5">
        <f>scrimecost*Meta!O39</f>
        <v>632.57399999999996</v>
      </c>
      <c r="N42" s="5">
        <f>L42-Grade12!L42</f>
        <v>10774.308994435152</v>
      </c>
      <c r="O42" s="5">
        <f>Grade12!M42-M42</f>
        <v>4.9759999999999991</v>
      </c>
      <c r="P42" s="22">
        <f t="shared" si="12"/>
        <v>273.60813014685175</v>
      </c>
      <c r="Q42" s="22"/>
      <c r="R42" s="22"/>
      <c r="S42" s="22">
        <f t="shared" si="19"/>
        <v>6927.7443137459531</v>
      </c>
      <c r="T42" s="22">
        <f t="shared" si="20"/>
        <v>1842.1548891522707</v>
      </c>
    </row>
    <row r="43" spans="1:20" x14ac:dyDescent="0.2">
      <c r="A43" s="5">
        <v>52</v>
      </c>
      <c r="B43" s="1">
        <f t="shared" si="13"/>
        <v>2.2588508612171236</v>
      </c>
      <c r="C43" s="5">
        <f t="shared" si="14"/>
        <v>146804.93681614689</v>
      </c>
      <c r="D43" s="5">
        <f t="shared" si="15"/>
        <v>141031.9195962364</v>
      </c>
      <c r="E43" s="5">
        <f t="shared" si="1"/>
        <v>131531.9195962364</v>
      </c>
      <c r="F43" s="5">
        <f t="shared" si="2"/>
        <v>52265.692280715259</v>
      </c>
      <c r="G43" s="5">
        <f t="shared" si="3"/>
        <v>88766.227315521144</v>
      </c>
      <c r="H43" s="22">
        <f t="shared" si="16"/>
        <v>65792.53140650061</v>
      </c>
      <c r="I43" s="5">
        <f t="shared" si="17"/>
        <v>151663.88734013573</v>
      </c>
      <c r="J43" s="26">
        <f t="shared" si="5"/>
        <v>0.25378117178119403</v>
      </c>
      <c r="L43" s="22">
        <f t="shared" si="18"/>
        <v>250258.16120091893</v>
      </c>
      <c r="M43" s="5">
        <f>scrimecost*Meta!O40</f>
        <v>632.57399999999996</v>
      </c>
      <c r="N43" s="5">
        <f>L43-Grade12!L43</f>
        <v>11043.666719295987</v>
      </c>
      <c r="O43" s="5">
        <f>Grade12!M43-M43</f>
        <v>4.9759999999999991</v>
      </c>
      <c r="P43" s="22">
        <f t="shared" si="12"/>
        <v>280.25923758950483</v>
      </c>
      <c r="Q43" s="22"/>
      <c r="R43" s="22"/>
      <c r="S43" s="22">
        <f t="shared" si="19"/>
        <v>7100.6833629910288</v>
      </c>
      <c r="T43" s="22">
        <f t="shared" si="20"/>
        <v>1813.8532402185133</v>
      </c>
    </row>
    <row r="44" spans="1:20" x14ac:dyDescent="0.2">
      <c r="A44" s="5">
        <v>53</v>
      </c>
      <c r="B44" s="1">
        <f t="shared" si="13"/>
        <v>2.3153221327475517</v>
      </c>
      <c r="C44" s="5">
        <f t="shared" si="14"/>
        <v>150475.06023655055</v>
      </c>
      <c r="D44" s="5">
        <f t="shared" si="15"/>
        <v>144540.5575861423</v>
      </c>
      <c r="E44" s="5">
        <f t="shared" si="1"/>
        <v>135040.5575861423</v>
      </c>
      <c r="F44" s="5">
        <f t="shared" si="2"/>
        <v>53649.849967733142</v>
      </c>
      <c r="G44" s="5">
        <f t="shared" si="3"/>
        <v>90890.707618409157</v>
      </c>
      <c r="H44" s="22">
        <f t="shared" si="16"/>
        <v>67437.344691663136</v>
      </c>
      <c r="I44" s="5">
        <f t="shared" si="17"/>
        <v>155360.80914363911</v>
      </c>
      <c r="J44" s="26">
        <f t="shared" si="5"/>
        <v>0.2542356333998449</v>
      </c>
      <c r="L44" s="22">
        <f t="shared" si="18"/>
        <v>256514.61523094194</v>
      </c>
      <c r="M44" s="5">
        <f>scrimecost*Meta!O41</f>
        <v>632.57399999999996</v>
      </c>
      <c r="N44" s="5">
        <f>L44-Grade12!L44</f>
        <v>11319.758387278474</v>
      </c>
      <c r="O44" s="5">
        <f>Grade12!M44-M44</f>
        <v>4.9759999999999991</v>
      </c>
      <c r="P44" s="22">
        <f t="shared" si="12"/>
        <v>287.07662271822431</v>
      </c>
      <c r="Q44" s="22"/>
      <c r="R44" s="22"/>
      <c r="S44" s="22">
        <f t="shared" si="19"/>
        <v>7277.9458884673131</v>
      </c>
      <c r="T44" s="22">
        <f t="shared" si="20"/>
        <v>1785.9879584985888</v>
      </c>
    </row>
    <row r="45" spans="1:20" x14ac:dyDescent="0.2">
      <c r="A45" s="5">
        <v>54</v>
      </c>
      <c r="B45" s="1">
        <f t="shared" si="13"/>
        <v>2.3732051860662402</v>
      </c>
      <c r="C45" s="5">
        <f t="shared" si="14"/>
        <v>154236.93674246428</v>
      </c>
      <c r="D45" s="5">
        <f t="shared" si="15"/>
        <v>148136.91152579585</v>
      </c>
      <c r="E45" s="5">
        <f t="shared" si="1"/>
        <v>138636.91152579585</v>
      </c>
      <c r="F45" s="5">
        <f t="shared" si="2"/>
        <v>55068.611596926465</v>
      </c>
      <c r="G45" s="5">
        <f t="shared" si="3"/>
        <v>93068.299928869383</v>
      </c>
      <c r="H45" s="22">
        <f t="shared" si="16"/>
        <v>69123.278308954701</v>
      </c>
      <c r="I45" s="5">
        <f t="shared" si="17"/>
        <v>159150.15399223007</v>
      </c>
      <c r="J45" s="26">
        <f t="shared" si="5"/>
        <v>0.25467901058877263</v>
      </c>
      <c r="L45" s="22">
        <f t="shared" si="18"/>
        <v>262927.48061171541</v>
      </c>
      <c r="M45" s="5">
        <f>scrimecost*Meta!O42</f>
        <v>632.57399999999996</v>
      </c>
      <c r="N45" s="5">
        <f>L45-Grade12!L45</f>
        <v>11602.752346960333</v>
      </c>
      <c r="O45" s="5">
        <f>Grade12!M45-M45</f>
        <v>4.9759999999999991</v>
      </c>
      <c r="P45" s="22">
        <f t="shared" si="12"/>
        <v>294.0644424751618</v>
      </c>
      <c r="Q45" s="22"/>
      <c r="R45" s="22"/>
      <c r="S45" s="22">
        <f t="shared" si="19"/>
        <v>7459.6399770803837</v>
      </c>
      <c r="T45" s="22">
        <f t="shared" si="20"/>
        <v>1758.5522546788036</v>
      </c>
    </row>
    <row r="46" spans="1:20" x14ac:dyDescent="0.2">
      <c r="A46" s="5">
        <v>55</v>
      </c>
      <c r="B46" s="1">
        <f t="shared" si="13"/>
        <v>2.4325353157178964</v>
      </c>
      <c r="C46" s="5">
        <f t="shared" si="14"/>
        <v>158092.86016102589</v>
      </c>
      <c r="D46" s="5">
        <f t="shared" si="15"/>
        <v>151823.17431394075</v>
      </c>
      <c r="E46" s="5">
        <f t="shared" si="1"/>
        <v>142323.17431394075</v>
      </c>
      <c r="F46" s="5">
        <f t="shared" si="2"/>
        <v>56522.842266849628</v>
      </c>
      <c r="G46" s="5">
        <f t="shared" si="3"/>
        <v>95300.332047091128</v>
      </c>
      <c r="H46" s="22">
        <f t="shared" si="16"/>
        <v>70851.360266678559</v>
      </c>
      <c r="I46" s="5">
        <f t="shared" si="17"/>
        <v>163034.23246203584</v>
      </c>
      <c r="J46" s="26">
        <f t="shared" si="5"/>
        <v>0.2551115736999216</v>
      </c>
      <c r="L46" s="22">
        <f t="shared" si="18"/>
        <v>269500.66762700834</v>
      </c>
      <c r="M46" s="5">
        <f>scrimecost*Meta!O43</f>
        <v>350.86499999999995</v>
      </c>
      <c r="N46" s="5">
        <f>L46-Grade12!L46</f>
        <v>11892.821155634418</v>
      </c>
      <c r="O46" s="5">
        <f>Grade12!M46-M46</f>
        <v>2.7600000000000477</v>
      </c>
      <c r="P46" s="22">
        <f t="shared" si="12"/>
        <v>301.2269577260227</v>
      </c>
      <c r="Q46" s="22"/>
      <c r="R46" s="22"/>
      <c r="S46" s="22">
        <f t="shared" si="19"/>
        <v>7644.0770259088949</v>
      </c>
      <c r="T46" s="22">
        <f t="shared" si="20"/>
        <v>1731.1319443876257</v>
      </c>
    </row>
    <row r="47" spans="1:20" x14ac:dyDescent="0.2">
      <c r="A47" s="5">
        <v>56</v>
      </c>
      <c r="B47" s="1">
        <f t="shared" si="13"/>
        <v>2.4933486986108435</v>
      </c>
      <c r="C47" s="5">
        <f t="shared" si="14"/>
        <v>162045.18166505152</v>
      </c>
      <c r="D47" s="5">
        <f t="shared" si="15"/>
        <v>155601.59367178925</v>
      </c>
      <c r="E47" s="5">
        <f t="shared" si="1"/>
        <v>146101.59367178925</v>
      </c>
      <c r="F47" s="5">
        <f t="shared" si="2"/>
        <v>58013.428703520854</v>
      </c>
      <c r="G47" s="5">
        <f t="shared" si="3"/>
        <v>97588.164968268393</v>
      </c>
      <c r="H47" s="22">
        <f t="shared" si="16"/>
        <v>72622.644273345533</v>
      </c>
      <c r="I47" s="5">
        <f t="shared" si="17"/>
        <v>167015.41289358673</v>
      </c>
      <c r="J47" s="26">
        <f t="shared" si="5"/>
        <v>0.25553358649128638</v>
      </c>
      <c r="L47" s="22">
        <f t="shared" si="18"/>
        <v>276238.18431768351</v>
      </c>
      <c r="M47" s="5">
        <f>scrimecost*Meta!O44</f>
        <v>350.86499999999995</v>
      </c>
      <c r="N47" s="5">
        <f>L47-Grade12!L47</f>
        <v>12190.141684525297</v>
      </c>
      <c r="O47" s="5">
        <f>Grade12!M47-M47</f>
        <v>2.7600000000000477</v>
      </c>
      <c r="P47" s="22">
        <f t="shared" si="12"/>
        <v>308.56853585815503</v>
      </c>
      <c r="Q47" s="22"/>
      <c r="R47" s="22"/>
      <c r="S47" s="22">
        <f t="shared" si="19"/>
        <v>7834.9693777580824</v>
      </c>
      <c r="T47" s="22">
        <f t="shared" si="20"/>
        <v>1704.5514917007119</v>
      </c>
    </row>
    <row r="48" spans="1:20" x14ac:dyDescent="0.2">
      <c r="A48" s="5">
        <v>57</v>
      </c>
      <c r="B48" s="1">
        <f t="shared" si="13"/>
        <v>2.555682416076114</v>
      </c>
      <c r="C48" s="5">
        <f t="shared" si="14"/>
        <v>166096.31120667778</v>
      </c>
      <c r="D48" s="5">
        <f t="shared" si="15"/>
        <v>159474.47351358394</v>
      </c>
      <c r="E48" s="5">
        <f t="shared" si="1"/>
        <v>149974.47351358394</v>
      </c>
      <c r="F48" s="5">
        <f t="shared" si="2"/>
        <v>59541.279801108867</v>
      </c>
      <c r="G48" s="5">
        <f t="shared" si="3"/>
        <v>99933.193712475069</v>
      </c>
      <c r="H48" s="22">
        <f t="shared" si="16"/>
        <v>74438.210380179138</v>
      </c>
      <c r="I48" s="5">
        <f t="shared" si="17"/>
        <v>171096.1228359263</v>
      </c>
      <c r="J48" s="26">
        <f t="shared" si="5"/>
        <v>0.25594530628773993</v>
      </c>
      <c r="L48" s="22">
        <f t="shared" si="18"/>
        <v>283144.13892562554</v>
      </c>
      <c r="M48" s="5">
        <f>scrimecost*Meta!O45</f>
        <v>350.86499999999995</v>
      </c>
      <c r="N48" s="5">
        <f>L48-Grade12!L48</f>
        <v>12494.895226638298</v>
      </c>
      <c r="O48" s="5">
        <f>Grade12!M48-M48</f>
        <v>2.7600000000000477</v>
      </c>
      <c r="P48" s="22">
        <f t="shared" si="12"/>
        <v>316.09365344359071</v>
      </c>
      <c r="Q48" s="22"/>
      <c r="R48" s="22"/>
      <c r="S48" s="22">
        <f t="shared" si="19"/>
        <v>8030.6340384034056</v>
      </c>
      <c r="T48" s="22">
        <f t="shared" si="20"/>
        <v>1678.3802591155929</v>
      </c>
    </row>
    <row r="49" spans="1:20" x14ac:dyDescent="0.2">
      <c r="A49" s="5">
        <v>58</v>
      </c>
      <c r="B49" s="1">
        <f t="shared" si="13"/>
        <v>2.6195744764780171</v>
      </c>
      <c r="C49" s="5">
        <f t="shared" si="14"/>
        <v>170248.71898684473</v>
      </c>
      <c r="D49" s="5">
        <f t="shared" si="15"/>
        <v>163444.17535142356</v>
      </c>
      <c r="E49" s="5">
        <f t="shared" si="1"/>
        <v>153944.17535142356</v>
      </c>
      <c r="F49" s="5">
        <f t="shared" si="2"/>
        <v>61107.327176136598</v>
      </c>
      <c r="G49" s="5">
        <f t="shared" si="3"/>
        <v>102336.84817528696</v>
      </c>
      <c r="H49" s="22">
        <f t="shared" si="16"/>
        <v>76299.165639683633</v>
      </c>
      <c r="I49" s="5">
        <f t="shared" si="17"/>
        <v>175278.85052682451</v>
      </c>
      <c r="J49" s="26">
        <f t="shared" si="5"/>
        <v>0.25634698413793849</v>
      </c>
      <c r="L49" s="22">
        <f t="shared" si="18"/>
        <v>290222.74239876622</v>
      </c>
      <c r="M49" s="5">
        <f>scrimecost*Meta!O46</f>
        <v>350.86499999999995</v>
      </c>
      <c r="N49" s="5">
        <f>L49-Grade12!L49</f>
        <v>12807.267607304384</v>
      </c>
      <c r="O49" s="5">
        <f>Grade12!M49-M49</f>
        <v>2.7600000000000477</v>
      </c>
      <c r="P49" s="22">
        <f t="shared" si="12"/>
        <v>323.80689896866244</v>
      </c>
      <c r="Q49" s="22"/>
      <c r="R49" s="22"/>
      <c r="S49" s="22">
        <f t="shared" si="19"/>
        <v>8231.1903155650234</v>
      </c>
      <c r="T49" s="22">
        <f t="shared" si="20"/>
        <v>1652.6119035113932</v>
      </c>
    </row>
    <row r="50" spans="1:20" x14ac:dyDescent="0.2">
      <c r="A50" s="5">
        <v>59</v>
      </c>
      <c r="B50" s="1">
        <f t="shared" si="13"/>
        <v>2.6850638383899672</v>
      </c>
      <c r="C50" s="5">
        <f t="shared" si="14"/>
        <v>174504.93696151586</v>
      </c>
      <c r="D50" s="5">
        <f t="shared" si="15"/>
        <v>167513.11973520915</v>
      </c>
      <c r="E50" s="5">
        <f t="shared" si="1"/>
        <v>158013.11973520915</v>
      </c>
      <c r="F50" s="5">
        <f t="shared" si="2"/>
        <v>62712.525735540017</v>
      </c>
      <c r="G50" s="5">
        <f t="shared" si="3"/>
        <v>104800.59399966913</v>
      </c>
      <c r="H50" s="22">
        <f t="shared" si="16"/>
        <v>78206.644780675706</v>
      </c>
      <c r="I50" s="5">
        <f t="shared" si="17"/>
        <v>179566.1464099951</v>
      </c>
      <c r="J50" s="26">
        <f t="shared" si="5"/>
        <v>0.2567388649674005</v>
      </c>
      <c r="L50" s="22">
        <f t="shared" si="18"/>
        <v>297478.3109587353</v>
      </c>
      <c r="M50" s="5">
        <f>scrimecost*Meta!O47</f>
        <v>350.86499999999995</v>
      </c>
      <c r="N50" s="5">
        <f>L50-Grade12!L50</f>
        <v>13127.449297486921</v>
      </c>
      <c r="O50" s="5">
        <f>Grade12!M50-M50</f>
        <v>2.7600000000000477</v>
      </c>
      <c r="P50" s="22">
        <f t="shared" si="12"/>
        <v>331.71297563186079</v>
      </c>
      <c r="Q50" s="22"/>
      <c r="R50" s="22"/>
      <c r="S50" s="22">
        <f t="shared" si="19"/>
        <v>8436.7604996555565</v>
      </c>
      <c r="T50" s="22">
        <f t="shared" si="20"/>
        <v>1627.2401817716282</v>
      </c>
    </row>
    <row r="51" spans="1:20" x14ac:dyDescent="0.2">
      <c r="A51" s="5">
        <v>60</v>
      </c>
      <c r="B51" s="1">
        <f t="shared" si="13"/>
        <v>2.7521904343497163</v>
      </c>
      <c r="C51" s="5">
        <f t="shared" si="14"/>
        <v>178867.56038555372</v>
      </c>
      <c r="D51" s="5">
        <f t="shared" si="15"/>
        <v>171683.78772858935</v>
      </c>
      <c r="E51" s="5">
        <f t="shared" si="1"/>
        <v>162183.78772858935</v>
      </c>
      <c r="F51" s="5">
        <f t="shared" si="2"/>
        <v>64357.854258928499</v>
      </c>
      <c r="G51" s="5">
        <f t="shared" si="3"/>
        <v>107325.93346966084</v>
      </c>
      <c r="H51" s="22">
        <f t="shared" si="16"/>
        <v>80161.810900192606</v>
      </c>
      <c r="I51" s="5">
        <f t="shared" si="17"/>
        <v>183960.62469024496</v>
      </c>
      <c r="J51" s="26">
        <f t="shared" si="5"/>
        <v>0.25712118772785114</v>
      </c>
      <c r="L51" s="22">
        <f t="shared" si="18"/>
        <v>304915.2687327037</v>
      </c>
      <c r="M51" s="5">
        <f>scrimecost*Meta!O48</f>
        <v>185.09399999999999</v>
      </c>
      <c r="N51" s="5">
        <f>L51-Grade12!L51</f>
        <v>13455.635529924126</v>
      </c>
      <c r="O51" s="5">
        <f>Grade12!M51-M51</f>
        <v>1.4559999999999889</v>
      </c>
      <c r="P51" s="22">
        <f t="shared" si="12"/>
        <v>339.81670421163909</v>
      </c>
      <c r="Q51" s="22"/>
      <c r="R51" s="22"/>
      <c r="S51" s="22">
        <f t="shared" si="19"/>
        <v>8646.4110903484179</v>
      </c>
      <c r="T51" s="22">
        <f t="shared" si="20"/>
        <v>1602.0627589622795</v>
      </c>
    </row>
    <row r="52" spans="1:20" x14ac:dyDescent="0.2">
      <c r="A52" s="5">
        <v>61</v>
      </c>
      <c r="B52" s="1">
        <f t="shared" si="13"/>
        <v>2.8209951952084591</v>
      </c>
      <c r="C52" s="5">
        <f t="shared" si="14"/>
        <v>183339.24939519257</v>
      </c>
      <c r="D52" s="5">
        <f t="shared" si="15"/>
        <v>175958.72242180409</v>
      </c>
      <c r="E52" s="5">
        <f t="shared" si="1"/>
        <v>166458.72242180409</v>
      </c>
      <c r="F52" s="5">
        <f t="shared" si="2"/>
        <v>66044.315995401703</v>
      </c>
      <c r="G52" s="5">
        <f t="shared" si="3"/>
        <v>109914.40642640239</v>
      </c>
      <c r="H52" s="22">
        <f t="shared" si="16"/>
        <v>82165.856172697415</v>
      </c>
      <c r="I52" s="5">
        <f t="shared" si="17"/>
        <v>188464.9649275011</v>
      </c>
      <c r="J52" s="26">
        <f t="shared" si="5"/>
        <v>0.25749418554292502</v>
      </c>
      <c r="L52" s="22">
        <f t="shared" si="18"/>
        <v>312538.15045102133</v>
      </c>
      <c r="M52" s="5">
        <f>scrimecost*Meta!O49</f>
        <v>185.09399999999999</v>
      </c>
      <c r="N52" s="5">
        <f>L52-Grade12!L52</f>
        <v>13792.02641817223</v>
      </c>
      <c r="O52" s="5">
        <f>Grade12!M52-M52</f>
        <v>1.4559999999999889</v>
      </c>
      <c r="P52" s="22">
        <f t="shared" si="12"/>
        <v>348.12302600591187</v>
      </c>
      <c r="Q52" s="22"/>
      <c r="R52" s="22"/>
      <c r="S52" s="22">
        <f t="shared" si="19"/>
        <v>8862.3882650085816</v>
      </c>
      <c r="T52" s="22">
        <f t="shared" si="20"/>
        <v>1577.473686429526</v>
      </c>
    </row>
    <row r="53" spans="1:20" x14ac:dyDescent="0.2">
      <c r="A53" s="5">
        <v>62</v>
      </c>
      <c r="B53" s="1">
        <f t="shared" si="13"/>
        <v>2.8915200750886707</v>
      </c>
      <c r="C53" s="5">
        <f t="shared" si="14"/>
        <v>187922.73063007242</v>
      </c>
      <c r="D53" s="5">
        <f t="shared" si="15"/>
        <v>180340.53048234922</v>
      </c>
      <c r="E53" s="5">
        <f t="shared" si="1"/>
        <v>170840.53048234922</v>
      </c>
      <c r="F53" s="5">
        <f t="shared" si="2"/>
        <v>67772.939275286772</v>
      </c>
      <c r="G53" s="5">
        <f t="shared" si="3"/>
        <v>112567.59120706245</v>
      </c>
      <c r="H53" s="22">
        <f t="shared" si="16"/>
        <v>84220.002577014864</v>
      </c>
      <c r="I53" s="5">
        <f t="shared" si="17"/>
        <v>193081.91367068863</v>
      </c>
      <c r="J53" s="26">
        <f t="shared" si="5"/>
        <v>0.25785808585031428</v>
      </c>
      <c r="L53" s="22">
        <f t="shared" si="18"/>
        <v>320351.60421229684</v>
      </c>
      <c r="M53" s="5">
        <f>scrimecost*Meta!O50</f>
        <v>185.09399999999999</v>
      </c>
      <c r="N53" s="5">
        <f>L53-Grade12!L53</f>
        <v>14136.827078626549</v>
      </c>
      <c r="O53" s="5">
        <f>Grade12!M53-M53</f>
        <v>1.4559999999999889</v>
      </c>
      <c r="P53" s="22">
        <f t="shared" si="12"/>
        <v>356.6370058450417</v>
      </c>
      <c r="Q53" s="22"/>
      <c r="R53" s="22"/>
      <c r="S53" s="22">
        <f t="shared" si="19"/>
        <v>9083.764869035258</v>
      </c>
      <c r="T53" s="22">
        <f t="shared" si="20"/>
        <v>1553.262798465139</v>
      </c>
    </row>
    <row r="54" spans="1:20" x14ac:dyDescent="0.2">
      <c r="A54" s="5">
        <v>63</v>
      </c>
      <c r="B54" s="1">
        <f t="shared" si="13"/>
        <v>2.9638080769658868</v>
      </c>
      <c r="C54" s="5">
        <f t="shared" si="14"/>
        <v>192620.79889582415</v>
      </c>
      <c r="D54" s="5">
        <f t="shared" si="15"/>
        <v>184831.88374440788</v>
      </c>
      <c r="E54" s="5">
        <f t="shared" si="1"/>
        <v>175331.88374440788</v>
      </c>
      <c r="F54" s="5">
        <f t="shared" si="2"/>
        <v>69591.372324389304</v>
      </c>
      <c r="G54" s="5">
        <f t="shared" si="3"/>
        <v>115240.51142001858</v>
      </c>
      <c r="H54" s="22">
        <f t="shared" si="16"/>
        <v>86325.502641440209</v>
      </c>
      <c r="I54" s="5">
        <f t="shared" si="17"/>
        <v>197767.69194523542</v>
      </c>
      <c r="J54" s="26">
        <f t="shared" si="5"/>
        <v>0.25838783481280092</v>
      </c>
      <c r="L54" s="22">
        <f t="shared" si="18"/>
        <v>328360.39431760414</v>
      </c>
      <c r="M54" s="5">
        <f>scrimecost*Meta!O51</f>
        <v>185.09399999999999</v>
      </c>
      <c r="N54" s="5">
        <f>L54-Grade12!L54</f>
        <v>14490.247755592107</v>
      </c>
      <c r="O54" s="5">
        <f>Grade12!M54-M54</f>
        <v>1.4559999999999889</v>
      </c>
      <c r="P54" s="22">
        <f t="shared" si="12"/>
        <v>365.59332530401343</v>
      </c>
      <c r="Q54" s="22"/>
      <c r="R54" s="22"/>
      <c r="S54" s="22">
        <f t="shared" si="19"/>
        <v>9310.8622341431055</v>
      </c>
      <c r="T54" s="22">
        <f t="shared" si="20"/>
        <v>1529.4548580339301</v>
      </c>
    </row>
    <row r="55" spans="1:20" x14ac:dyDescent="0.2">
      <c r="A55" s="5">
        <v>64</v>
      </c>
      <c r="B55" s="1">
        <f t="shared" si="13"/>
        <v>3.0379032788900342</v>
      </c>
      <c r="C55" s="5">
        <f t="shared" si="14"/>
        <v>197436.31886821979</v>
      </c>
      <c r="D55" s="5">
        <f t="shared" si="15"/>
        <v>189435.5208380181</v>
      </c>
      <c r="E55" s="5">
        <f t="shared" si="1"/>
        <v>179935.5208380181</v>
      </c>
      <c r="F55" s="5">
        <f t="shared" si="2"/>
        <v>71637.689012499046</v>
      </c>
      <c r="G55" s="5">
        <f t="shared" si="3"/>
        <v>117797.83182551905</v>
      </c>
      <c r="H55" s="22">
        <f t="shared" si="16"/>
        <v>88483.640207476215</v>
      </c>
      <c r="I55" s="5">
        <f t="shared" si="17"/>
        <v>202388.19186386629</v>
      </c>
      <c r="J55" s="26">
        <f t="shared" si="5"/>
        <v>0.25957204859326977</v>
      </c>
      <c r="L55" s="22">
        <f t="shared" si="18"/>
        <v>336569.40417554433</v>
      </c>
      <c r="M55" s="5">
        <f>scrimecost*Meta!O52</f>
        <v>185.09399999999999</v>
      </c>
      <c r="N55" s="5">
        <f>L55-Grade12!L55</f>
        <v>14852.50394948211</v>
      </c>
      <c r="O55" s="5">
        <f>Grade12!M55-M55</f>
        <v>1.4559999999999889</v>
      </c>
      <c r="P55" s="22">
        <f t="shared" si="12"/>
        <v>375.67203894264929</v>
      </c>
      <c r="Q55" s="22"/>
      <c r="R55" s="22"/>
      <c r="S55" s="22">
        <f t="shared" si="19"/>
        <v>9544.3666041677097</v>
      </c>
      <c r="T55" s="22">
        <f t="shared" si="20"/>
        <v>1506.1269539379609</v>
      </c>
    </row>
    <row r="56" spans="1:20" x14ac:dyDescent="0.2">
      <c r="A56" s="5">
        <v>65</v>
      </c>
      <c r="B56" s="1">
        <f t="shared" si="13"/>
        <v>3.1138508608622844</v>
      </c>
      <c r="C56" s="5">
        <f t="shared" si="14"/>
        <v>202372.22683992522</v>
      </c>
      <c r="D56" s="5">
        <f t="shared" si="15"/>
        <v>194154.24885896849</v>
      </c>
      <c r="E56" s="5">
        <f t="shared" si="1"/>
        <v>184654.24885896849</v>
      </c>
      <c r="F56" s="5">
        <f t="shared" si="2"/>
        <v>73735.163617811486</v>
      </c>
      <c r="G56" s="5">
        <f t="shared" si="3"/>
        <v>120419.08524115701</v>
      </c>
      <c r="H56" s="22">
        <f t="shared" si="16"/>
        <v>90695.7312126631</v>
      </c>
      <c r="I56" s="5">
        <f t="shared" si="17"/>
        <v>207124.20428046293</v>
      </c>
      <c r="J56" s="26">
        <f t="shared" si="5"/>
        <v>0.26072737911080035</v>
      </c>
      <c r="L56" s="22">
        <f t="shared" si="18"/>
        <v>344983.63927993283</v>
      </c>
      <c r="M56" s="5">
        <f>scrimecost*Meta!O53</f>
        <v>55.935000000000002</v>
      </c>
      <c r="N56" s="5">
        <f>L56-Grade12!L56</f>
        <v>15223.816548218951</v>
      </c>
      <c r="O56" s="5">
        <f>Grade12!M56-M56</f>
        <v>0.43999999999999773</v>
      </c>
      <c r="P56" s="22">
        <f t="shared" si="12"/>
        <v>386.00272042225089</v>
      </c>
      <c r="Q56" s="22"/>
      <c r="R56" s="22"/>
      <c r="S56" s="22">
        <f t="shared" si="19"/>
        <v>9782.8835914426709</v>
      </c>
      <c r="T56" s="22">
        <f t="shared" si="20"/>
        <v>1483.0270071964806</v>
      </c>
    </row>
    <row r="57" spans="1:20" x14ac:dyDescent="0.2">
      <c r="A57" s="5">
        <v>66</v>
      </c>
      <c r="C57" s="5"/>
      <c r="H57" s="21"/>
      <c r="I57" s="5"/>
      <c r="M57" s="5">
        <f>scrimecost*Meta!O54</f>
        <v>55.935000000000002</v>
      </c>
      <c r="N57" s="5">
        <f>L57-Grade12!L57</f>
        <v>0</v>
      </c>
      <c r="O57" s="5">
        <f>Grade12!M57-M57</f>
        <v>0.43999999999999773</v>
      </c>
      <c r="Q57" s="22"/>
      <c r="R57" s="22"/>
      <c r="S57" s="22">
        <f t="shared" si="19"/>
        <v>0.35727999999999815</v>
      </c>
      <c r="T57" s="22">
        <f t="shared" si="20"/>
        <v>5.2030570249193477E-2</v>
      </c>
    </row>
    <row r="58" spans="1:20" x14ac:dyDescent="0.2">
      <c r="A58" s="5">
        <v>67</v>
      </c>
      <c r="C58" s="5"/>
      <c r="H58" s="21"/>
      <c r="I58" s="5"/>
      <c r="M58" s="5">
        <f>scrimecost*Meta!O55</f>
        <v>55.935000000000002</v>
      </c>
      <c r="N58" s="5">
        <f>L58-Grade12!L58</f>
        <v>0</v>
      </c>
      <c r="O58" s="5">
        <f>Grade12!M58-M58</f>
        <v>0.43999999999999773</v>
      </c>
      <c r="Q58" s="22"/>
      <c r="R58" s="22"/>
      <c r="S58" s="22">
        <f t="shared" si="19"/>
        <v>0.35727999999999815</v>
      </c>
      <c r="T58" s="22">
        <f t="shared" si="20"/>
        <v>4.9983457194115899E-2</v>
      </c>
    </row>
    <row r="59" spans="1:20" x14ac:dyDescent="0.2">
      <c r="A59" s="5">
        <v>68</v>
      </c>
      <c r="H59" s="21"/>
      <c r="I59" s="5"/>
      <c r="M59" s="5">
        <f>scrimecost*Meta!O56</f>
        <v>55.935000000000002</v>
      </c>
      <c r="N59" s="5">
        <f>L59-Grade12!L59</f>
        <v>0</v>
      </c>
      <c r="O59" s="5">
        <f>Grade12!M59-M59</f>
        <v>0.43999999999999773</v>
      </c>
      <c r="Q59" s="22"/>
      <c r="R59" s="22"/>
      <c r="S59" s="22">
        <f t="shared" si="19"/>
        <v>0.35727999999999815</v>
      </c>
      <c r="T59" s="22">
        <f t="shared" si="20"/>
        <v>4.8016886632426307E-2</v>
      </c>
    </row>
    <row r="60" spans="1:20" x14ac:dyDescent="0.2">
      <c r="A60" s="5">
        <v>69</v>
      </c>
      <c r="H60" s="21"/>
      <c r="I60" s="5"/>
      <c r="M60" s="5">
        <f>scrimecost*Meta!O57</f>
        <v>55.935000000000002</v>
      </c>
      <c r="N60" s="5">
        <f>L60-Grade12!L60</f>
        <v>0</v>
      </c>
      <c r="O60" s="5">
        <f>Grade12!M60-M60</f>
        <v>0.43999999999999773</v>
      </c>
      <c r="Q60" s="22"/>
      <c r="R60" s="22"/>
      <c r="S60" s="22">
        <f t="shared" si="19"/>
        <v>0.35727999999999815</v>
      </c>
      <c r="T60" s="22">
        <f t="shared" si="20"/>
        <v>4.6127689665746062E-2</v>
      </c>
    </row>
    <row r="61" spans="1:20" x14ac:dyDescent="0.2">
      <c r="A61" s="5">
        <v>70</v>
      </c>
      <c r="H61" s="21"/>
      <c r="I61" s="5"/>
      <c r="M61" s="5">
        <f>scrimecost*Meta!O58</f>
        <v>55.935000000000002</v>
      </c>
      <c r="N61" s="5">
        <f>L61-Grade12!L61</f>
        <v>0</v>
      </c>
      <c r="O61" s="5">
        <f>Grade12!M61-M61</f>
        <v>0.43999999999999773</v>
      </c>
      <c r="Q61" s="22"/>
      <c r="R61" s="22"/>
      <c r="S61" s="22">
        <f t="shared" si="19"/>
        <v>0.35727999999999815</v>
      </c>
      <c r="T61" s="22">
        <f t="shared" si="20"/>
        <v>4.4312822074192411E-2</v>
      </c>
    </row>
    <row r="62" spans="1:20" x14ac:dyDescent="0.2">
      <c r="A62" s="5">
        <v>71</v>
      </c>
      <c r="H62" s="21"/>
      <c r="I62" s="5"/>
      <c r="M62" s="5">
        <f>scrimecost*Meta!O59</f>
        <v>55.935000000000002</v>
      </c>
      <c r="N62" s="5">
        <f>L62-Grade12!L62</f>
        <v>0</v>
      </c>
      <c r="O62" s="5">
        <f>Grade12!M62-M62</f>
        <v>0.43999999999999773</v>
      </c>
      <c r="Q62" s="22"/>
      <c r="R62" s="22"/>
      <c r="S62" s="22">
        <f t="shared" si="19"/>
        <v>0.35727999999999815</v>
      </c>
      <c r="T62" s="22">
        <f t="shared" si="20"/>
        <v>4.2569359410974422E-2</v>
      </c>
    </row>
    <row r="63" spans="1:20" x14ac:dyDescent="0.2">
      <c r="A63" s="5">
        <v>72</v>
      </c>
      <c r="H63" s="21"/>
      <c r="M63" s="5">
        <f>scrimecost*Meta!O60</f>
        <v>55.935000000000002</v>
      </c>
      <c r="N63" s="5">
        <f>L63-Grade12!L63</f>
        <v>0</v>
      </c>
      <c r="O63" s="5">
        <f>Grade12!M63-M63</f>
        <v>0.43999999999999773</v>
      </c>
      <c r="Q63" s="22"/>
      <c r="R63" s="22"/>
      <c r="S63" s="22">
        <f t="shared" si="19"/>
        <v>0.35727999999999815</v>
      </c>
      <c r="T63" s="22">
        <f t="shared" si="20"/>
        <v>4.089449228998903E-2</v>
      </c>
    </row>
    <row r="64" spans="1:20" x14ac:dyDescent="0.2">
      <c r="A64" s="5">
        <v>73</v>
      </c>
      <c r="H64" s="21"/>
      <c r="M64" s="5">
        <f>scrimecost*Meta!O61</f>
        <v>55.935000000000002</v>
      </c>
      <c r="N64" s="5">
        <f>L64-Grade12!L64</f>
        <v>0</v>
      </c>
      <c r="O64" s="5">
        <f>Grade12!M64-M64</f>
        <v>0.43999999999999773</v>
      </c>
      <c r="Q64" s="22"/>
      <c r="R64" s="22"/>
      <c r="S64" s="22">
        <f t="shared" si="19"/>
        <v>0.35727999999999815</v>
      </c>
      <c r="T64" s="22">
        <f t="shared" si="20"/>
        <v>3.9285521858824023E-2</v>
      </c>
    </row>
    <row r="65" spans="1:20" x14ac:dyDescent="0.2">
      <c r="A65" s="5">
        <v>74</v>
      </c>
      <c r="H65" s="21"/>
      <c r="M65" s="5">
        <f>scrimecost*Meta!O62</f>
        <v>55.935000000000002</v>
      </c>
      <c r="N65" s="5">
        <f>L65-Grade12!L65</f>
        <v>0</v>
      </c>
      <c r="O65" s="5">
        <f>Grade12!M65-M65</f>
        <v>0.43999999999999773</v>
      </c>
      <c r="Q65" s="22"/>
      <c r="R65" s="22"/>
      <c r="S65" s="22">
        <f t="shared" si="19"/>
        <v>0.35727999999999815</v>
      </c>
      <c r="T65" s="22">
        <f t="shared" si="20"/>
        <v>3.7739855449873204E-2</v>
      </c>
    </row>
    <row r="66" spans="1:20" x14ac:dyDescent="0.2">
      <c r="A66" s="5">
        <v>75</v>
      </c>
      <c r="H66" s="21"/>
      <c r="M66" s="5">
        <f>scrimecost*Meta!O63</f>
        <v>55.935000000000002</v>
      </c>
      <c r="N66" s="5">
        <f>L66-Grade12!L66</f>
        <v>0</v>
      </c>
      <c r="O66" s="5">
        <f>Grade12!M66-M66</f>
        <v>0.43999999999999773</v>
      </c>
      <c r="Q66" s="22"/>
      <c r="R66" s="22"/>
      <c r="S66" s="22">
        <f t="shared" si="19"/>
        <v>0.35727999999999815</v>
      </c>
      <c r="T66" s="22">
        <f t="shared" si="20"/>
        <v>3.625500240255581E-2</v>
      </c>
    </row>
    <row r="67" spans="1:20" x14ac:dyDescent="0.2">
      <c r="A67" s="5">
        <v>76</v>
      </c>
      <c r="H67" s="21"/>
      <c r="M67" s="5">
        <f>scrimecost*Meta!O64</f>
        <v>55.935000000000002</v>
      </c>
      <c r="N67" s="5">
        <f>L67-Grade12!L67</f>
        <v>0</v>
      </c>
      <c r="O67" s="5">
        <f>Grade12!M67-M67</f>
        <v>0.43999999999999773</v>
      </c>
      <c r="Q67" s="22"/>
      <c r="R67" s="22"/>
      <c r="S67" s="22">
        <f t="shared" si="19"/>
        <v>0.35727999999999815</v>
      </c>
      <c r="T67" s="22">
        <f t="shared" si="20"/>
        <v>3.4828570049908449E-2</v>
      </c>
    </row>
    <row r="68" spans="1:20" x14ac:dyDescent="0.2">
      <c r="A68" s="5">
        <v>77</v>
      </c>
      <c r="H68" s="21"/>
      <c r="M68" s="5">
        <f>scrimecost*Meta!O65</f>
        <v>55.935000000000002</v>
      </c>
      <c r="N68" s="5">
        <f>L68-Grade12!L68</f>
        <v>0</v>
      </c>
      <c r="O68" s="5">
        <f>Grade12!M68-M68</f>
        <v>0.43999999999999773</v>
      </c>
      <c r="Q68" s="22"/>
      <c r="R68" s="22"/>
      <c r="S68" s="22">
        <f t="shared" si="19"/>
        <v>0.35727999999999815</v>
      </c>
      <c r="T68" s="22">
        <f t="shared" si="20"/>
        <v>3.3458259863082145E-2</v>
      </c>
    </row>
    <row r="69" spans="1:20" x14ac:dyDescent="0.2">
      <c r="A69" s="5">
        <v>78</v>
      </c>
      <c r="H69" s="21"/>
      <c r="M69" s="5">
        <f>scrimecost*Meta!O66</f>
        <v>55.935000000000002</v>
      </c>
      <c r="N69" s="5">
        <f>L69-Grade12!L69</f>
        <v>0</v>
      </c>
      <c r="O69" s="5">
        <f>Grade12!M69-M69</f>
        <v>0.43999999999999773</v>
      </c>
      <c r="Q69" s="22"/>
      <c r="R69" s="22"/>
      <c r="S69" s="22">
        <f t="shared" si="19"/>
        <v>0.35727999999999815</v>
      </c>
      <c r="T69" s="22">
        <f t="shared" si="20"/>
        <v>3.2141863747532064E-2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3.0139762907666068E-10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O12" sqref="O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Meta!A8+6</f>
        <v>20</v>
      </c>
      <c r="C2" s="7">
        <f>Meta!B8</f>
        <v>127062</v>
      </c>
      <c r="D2" s="7">
        <f>Meta!C8</f>
        <v>56626</v>
      </c>
      <c r="E2" s="1">
        <f>Meta!D8</f>
        <v>4.2999999999999997E-2</v>
      </c>
      <c r="F2" s="1">
        <f>Meta!F8</f>
        <v>0.72299999999999998</v>
      </c>
      <c r="G2" s="1">
        <f>Meta!I8</f>
        <v>1.8381311833585117</v>
      </c>
      <c r="H2" s="1">
        <f>Meta!E8</f>
        <v>0.81200000000000006</v>
      </c>
      <c r="I2" s="13"/>
      <c r="J2" s="1">
        <f>Meta!X7</f>
        <v>0.76600000000000001</v>
      </c>
      <c r="K2" s="1">
        <f>Meta!D7</f>
        <v>4.3999999999999997E-2</v>
      </c>
      <c r="L2" s="29"/>
      <c r="N2" s="22">
        <f>Meta!T8</f>
        <v>157628</v>
      </c>
      <c r="O2" s="22">
        <f>Meta!U8</f>
        <v>68424</v>
      </c>
      <c r="P2" s="1">
        <f>Meta!V8</f>
        <v>3.5000000000000003E-2</v>
      </c>
      <c r="Q2" s="1">
        <f>Meta!X8</f>
        <v>0.77</v>
      </c>
      <c r="R2" s="22">
        <f>Meta!W8</f>
        <v>1009</v>
      </c>
      <c r="T2" s="12">
        <f>IRR(S5:S69)+1</f>
        <v>1.0395611869335188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B10" s="1">
        <v>1</v>
      </c>
      <c r="C10" s="5">
        <f>0.1*Grade13!C10</f>
        <v>6499.0982510923641</v>
      </c>
      <c r="D10" s="5">
        <f t="shared" ref="D10:D36" si="0">IF(A10&lt;startage,1,0)*(C10*(1-initialunempprob))+IF(A10=startage,1,0)*(C10*(1-unempprob))+IF(A10&gt;startage,1,0)*(C10*(1-unempprob)+unempprob*300*52)</f>
        <v>6213.1379280442998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475.30505149538891</v>
      </c>
      <c r="G10" s="5">
        <f t="shared" ref="G10:G56" si="3">D10-F10</f>
        <v>5737.8328765489105</v>
      </c>
      <c r="H10" s="22">
        <f>0.1*Grade13!H10</f>
        <v>2912.6549492979811</v>
      </c>
      <c r="I10" s="5">
        <f t="shared" ref="I10:I36" si="4">G10+IF(A10&lt;startage,1,0)*(H10*(1-initialunempprob))+IF(A10&gt;=startage,1,0)*(H10*(1-unempprob))</f>
        <v>8522.331008077781</v>
      </c>
      <c r="J10" s="26">
        <f t="shared" ref="J10:J56" si="5">(F10-(IF(A10&gt;startage,1,0)*(unempprob*300*52)))/(IF(A10&lt;startage,1,0)*((C10+H10)*(1-initialunempprob))+IF(A10&gt;=startage,1,0)*((C10+H10)*(1-unempprob)))</f>
        <v>5.2825547549201102E-2</v>
      </c>
      <c r="L10" s="22">
        <f>0.1*Grade13!L10</f>
        <v>11079.003288693164</v>
      </c>
      <c r="M10" s="5">
        <f>scrimecost*Meta!O7</f>
        <v>3554.7070000000003</v>
      </c>
      <c r="N10" s="5">
        <f>L10-Grade13!L10</f>
        <v>-99711.02959823847</v>
      </c>
      <c r="O10" s="5"/>
      <c r="P10" s="22"/>
      <c r="Q10" s="22">
        <f>0.05*feel*Grade13!G10</f>
        <v>599.65284424267691</v>
      </c>
      <c r="R10" s="22">
        <f>coltuition</f>
        <v>8279</v>
      </c>
      <c r="S10" s="22">
        <f t="shared" ref="S10:S41" si="6">IF(A10&lt;startage,1,0)*(N10-Q10-R10)+IF(A10&gt;=startage,1,0)*completionprob*(N10*spart+O10+P10)</f>
        <v>-108589.68244248115</v>
      </c>
      <c r="T10" s="22">
        <f t="shared" ref="T10:T41" si="7">S10/sreturn^(A10-startage+1)</f>
        <v>-108589.68244248115</v>
      </c>
    </row>
    <row r="11" spans="1:20" x14ac:dyDescent="0.2">
      <c r="A11" s="5">
        <v>20</v>
      </c>
      <c r="B11" s="1">
        <f t="shared" ref="B11:B36" si="8">(1+experiencepremium)^(A11-startage)</f>
        <v>1</v>
      </c>
      <c r="C11" s="5">
        <f t="shared" ref="C11:C36" si="9">pretaxincome*B11/expnorm</f>
        <v>69125.643017404625</v>
      </c>
      <c r="D11" s="5">
        <f t="shared" si="0"/>
        <v>66153.240367656224</v>
      </c>
      <c r="E11" s="5">
        <f t="shared" si="1"/>
        <v>56653.240367656224</v>
      </c>
      <c r="F11" s="5">
        <f t="shared" si="2"/>
        <v>21014.357016805377</v>
      </c>
      <c r="G11" s="5">
        <f t="shared" si="3"/>
        <v>45138.883350850847</v>
      </c>
      <c r="H11" s="22">
        <f t="shared" ref="H11:H36" si="10">benefits*B11/expnorm</f>
        <v>30806.288752762859</v>
      </c>
      <c r="I11" s="5">
        <f t="shared" si="4"/>
        <v>74620.501687244905</v>
      </c>
      <c r="J11" s="26">
        <f t="shared" si="5"/>
        <v>0.21973532769924392</v>
      </c>
      <c r="L11" s="22">
        <f t="shared" ref="L11:L36" si="11">(sincome+sbenefits)*(1-sunemp)*B11/expnorm</f>
        <v>118674.97922614461</v>
      </c>
      <c r="M11" s="5">
        <f>scrimecost*Meta!O8</f>
        <v>3404.366</v>
      </c>
      <c r="N11" s="5">
        <f>L11-Grade13!L11</f>
        <v>5115.1955170397123</v>
      </c>
      <c r="O11" s="5">
        <f>Grade13!M11-M11</f>
        <v>26.992000000000189</v>
      </c>
      <c r="P11" s="22">
        <f t="shared" ref="P11:P56" si="12">(spart-initialspart)*(L11*J11+nptrans)</f>
        <v>130.52434179983152</v>
      </c>
      <c r="Q11" s="22"/>
      <c r="R11" s="22"/>
      <c r="S11" s="22">
        <f t="shared" si="6"/>
        <v>3326.1281146153729</v>
      </c>
      <c r="T11" s="22">
        <f t="shared" si="7"/>
        <v>3199.5501144350465</v>
      </c>
    </row>
    <row r="12" spans="1:20" x14ac:dyDescent="0.2">
      <c r="A12" s="5">
        <v>21</v>
      </c>
      <c r="B12" s="1">
        <f t="shared" si="8"/>
        <v>1.0249999999999999</v>
      </c>
      <c r="C12" s="5">
        <f t="shared" si="9"/>
        <v>70853.784092839735</v>
      </c>
      <c r="D12" s="5">
        <f t="shared" si="0"/>
        <v>68477.87137684763</v>
      </c>
      <c r="E12" s="5">
        <f t="shared" si="1"/>
        <v>58977.87137684763</v>
      </c>
      <c r="F12" s="5">
        <f t="shared" si="2"/>
        <v>22005.812142225517</v>
      </c>
      <c r="G12" s="5">
        <f t="shared" si="3"/>
        <v>46472.059234622109</v>
      </c>
      <c r="H12" s="22">
        <f t="shared" si="10"/>
        <v>31576.445971581925</v>
      </c>
      <c r="I12" s="5">
        <f t="shared" si="4"/>
        <v>76690.718029426003</v>
      </c>
      <c r="J12" s="26">
        <f t="shared" si="5"/>
        <v>0.2176470616935581</v>
      </c>
      <c r="L12" s="22">
        <f t="shared" si="11"/>
        <v>121641.85370679823</v>
      </c>
      <c r="M12" s="5">
        <f>scrimecost*Meta!O9</f>
        <v>3091.576</v>
      </c>
      <c r="N12" s="5">
        <f>L12-Grade13!L12</f>
        <v>5243.0754049656971</v>
      </c>
      <c r="O12" s="5">
        <f>Grade13!M12-M12</f>
        <v>24.512000000000171</v>
      </c>
      <c r="P12" s="22">
        <f t="shared" si="12"/>
        <v>132.11596815296926</v>
      </c>
      <c r="Q12" s="22"/>
      <c r="R12" s="22"/>
      <c r="S12" s="22">
        <f t="shared" si="6"/>
        <v>3405.3623763409641</v>
      </c>
      <c r="T12" s="22">
        <f t="shared" si="7"/>
        <v>3151.1075107661227</v>
      </c>
    </row>
    <row r="13" spans="1:20" x14ac:dyDescent="0.2">
      <c r="A13" s="5">
        <v>22</v>
      </c>
      <c r="B13" s="1">
        <f t="shared" si="8"/>
        <v>1.0506249999999999</v>
      </c>
      <c r="C13" s="5">
        <f t="shared" si="9"/>
        <v>72625.128695160718</v>
      </c>
      <c r="D13" s="5">
        <f t="shared" si="0"/>
        <v>70173.048161268802</v>
      </c>
      <c r="E13" s="5">
        <f t="shared" si="1"/>
        <v>60673.048161268802</v>
      </c>
      <c r="F13" s="5">
        <f t="shared" si="2"/>
        <v>22728.805040781146</v>
      </c>
      <c r="G13" s="5">
        <f t="shared" si="3"/>
        <v>47444.243120487656</v>
      </c>
      <c r="H13" s="22">
        <f t="shared" si="10"/>
        <v>32365.857120871475</v>
      </c>
      <c r="I13" s="5">
        <f t="shared" si="4"/>
        <v>78418.368385161652</v>
      </c>
      <c r="J13" s="26">
        <f t="shared" si="5"/>
        <v>0.21953424759144236</v>
      </c>
      <c r="L13" s="22">
        <f t="shared" si="11"/>
        <v>124682.90004946817</v>
      </c>
      <c r="M13" s="5">
        <f>scrimecost*Meta!O10</f>
        <v>2833.2719999999999</v>
      </c>
      <c r="N13" s="5">
        <f>L13-Grade13!L13</f>
        <v>5374.1522900898271</v>
      </c>
      <c r="O13" s="5">
        <f>Grade13!M13-M13</f>
        <v>22.463999999999942</v>
      </c>
      <c r="P13" s="22">
        <f t="shared" si="12"/>
        <v>135.70466659951612</v>
      </c>
      <c r="Q13" s="22"/>
      <c r="R13" s="22"/>
      <c r="S13" s="22">
        <f t="shared" si="6"/>
        <v>3488.5679351345707</v>
      </c>
      <c r="T13" s="22">
        <f t="shared" si="7"/>
        <v>3105.2531840388656</v>
      </c>
    </row>
    <row r="14" spans="1:20" x14ac:dyDescent="0.2">
      <c r="A14" s="5">
        <v>23</v>
      </c>
      <c r="B14" s="1">
        <f t="shared" si="8"/>
        <v>1.0768906249999999</v>
      </c>
      <c r="C14" s="5">
        <f t="shared" si="9"/>
        <v>74440.756912539728</v>
      </c>
      <c r="D14" s="5">
        <f t="shared" si="0"/>
        <v>71910.604365300518</v>
      </c>
      <c r="E14" s="5">
        <f t="shared" si="1"/>
        <v>62410.604365300518</v>
      </c>
      <c r="F14" s="5">
        <f t="shared" si="2"/>
        <v>23469.872761800674</v>
      </c>
      <c r="G14" s="5">
        <f t="shared" si="3"/>
        <v>48440.731603499844</v>
      </c>
      <c r="H14" s="22">
        <f t="shared" si="10"/>
        <v>33175.003548893263</v>
      </c>
      <c r="I14" s="5">
        <f t="shared" si="4"/>
        <v>80189.209999790692</v>
      </c>
      <c r="J14" s="26">
        <f t="shared" si="5"/>
        <v>0.22137540456498805</v>
      </c>
      <c r="L14" s="22">
        <f t="shared" si="11"/>
        <v>127799.97255070489</v>
      </c>
      <c r="M14" s="5">
        <f>scrimecost*Meta!O11</f>
        <v>2647.616</v>
      </c>
      <c r="N14" s="5">
        <f>L14-Grade13!L14</f>
        <v>5508.5060973421059</v>
      </c>
      <c r="O14" s="5">
        <f>Grade13!M14-M14</f>
        <v>20.992000000000189</v>
      </c>
      <c r="P14" s="22">
        <f t="shared" si="12"/>
        <v>139.38308250722676</v>
      </c>
      <c r="Q14" s="22"/>
      <c r="R14" s="22"/>
      <c r="S14" s="22">
        <f t="shared" si="6"/>
        <v>3574.3629192980466</v>
      </c>
      <c r="T14" s="22">
        <f t="shared" si="7"/>
        <v>3060.5425433095711</v>
      </c>
    </row>
    <row r="15" spans="1:20" x14ac:dyDescent="0.2">
      <c r="A15" s="5">
        <v>24</v>
      </c>
      <c r="B15" s="1">
        <f t="shared" si="8"/>
        <v>1.1038128906249998</v>
      </c>
      <c r="C15" s="5">
        <f t="shared" si="9"/>
        <v>76301.775835353226</v>
      </c>
      <c r="D15" s="5">
        <f t="shared" si="0"/>
        <v>73691.599474433038</v>
      </c>
      <c r="E15" s="5">
        <f t="shared" si="1"/>
        <v>64191.599474433038</v>
      </c>
      <c r="F15" s="5">
        <f t="shared" si="2"/>
        <v>24229.467175845693</v>
      </c>
      <c r="G15" s="5">
        <f t="shared" si="3"/>
        <v>49462.132298587341</v>
      </c>
      <c r="H15" s="22">
        <f t="shared" si="10"/>
        <v>34004.378637615591</v>
      </c>
      <c r="I15" s="5">
        <f t="shared" si="4"/>
        <v>82004.322654785457</v>
      </c>
      <c r="J15" s="26">
        <f t="shared" si="5"/>
        <v>0.22317165527088634</v>
      </c>
      <c r="L15" s="22">
        <f t="shared" si="11"/>
        <v>130994.97186447249</v>
      </c>
      <c r="M15" s="5">
        <f>scrimecost*Meta!O12</f>
        <v>2529.5630000000001</v>
      </c>
      <c r="N15" s="5">
        <f>L15-Grade13!L15</f>
        <v>5646.2187497756531</v>
      </c>
      <c r="O15" s="5">
        <f>Grade13!M15-M15</f>
        <v>20.05600000000004</v>
      </c>
      <c r="P15" s="22">
        <f t="shared" si="12"/>
        <v>143.15345881263016</v>
      </c>
      <c r="Q15" s="22"/>
      <c r="R15" s="22"/>
      <c r="S15" s="22">
        <f t="shared" si="6"/>
        <v>3662.7678916655859</v>
      </c>
      <c r="T15" s="22">
        <f t="shared" si="7"/>
        <v>3016.887509060633</v>
      </c>
    </row>
    <row r="16" spans="1:20" x14ac:dyDescent="0.2">
      <c r="A16" s="5">
        <v>25</v>
      </c>
      <c r="B16" s="1">
        <f t="shared" si="8"/>
        <v>1.1314082128906247</v>
      </c>
      <c r="C16" s="5">
        <f t="shared" si="9"/>
        <v>78209.320231237041</v>
      </c>
      <c r="D16" s="5">
        <f t="shared" si="0"/>
        <v>75517.119461293842</v>
      </c>
      <c r="E16" s="5">
        <f t="shared" si="1"/>
        <v>66017.119461293842</v>
      </c>
      <c r="F16" s="5">
        <f t="shared" si="2"/>
        <v>25008.051450241823</v>
      </c>
      <c r="G16" s="5">
        <f t="shared" si="3"/>
        <v>50509.068011052019</v>
      </c>
      <c r="H16" s="22">
        <f t="shared" si="10"/>
        <v>34854.488103555974</v>
      </c>
      <c r="I16" s="5">
        <f t="shared" si="4"/>
        <v>83864.813126155088</v>
      </c>
      <c r="J16" s="26">
        <f t="shared" si="5"/>
        <v>0.22492409498395768</v>
      </c>
      <c r="L16" s="22">
        <f t="shared" si="11"/>
        <v>134269.84616108428</v>
      </c>
      <c r="M16" s="5">
        <f>scrimecost*Meta!O13</f>
        <v>2123.9450000000002</v>
      </c>
      <c r="N16" s="5">
        <f>L16-Grade13!L16</f>
        <v>5787.3742185200244</v>
      </c>
      <c r="O16" s="5">
        <f>Grade13!M16-M16</f>
        <v>16.839999999999691</v>
      </c>
      <c r="P16" s="22">
        <f t="shared" si="12"/>
        <v>147.01809452566854</v>
      </c>
      <c r="Q16" s="22"/>
      <c r="R16" s="22"/>
      <c r="S16" s="22">
        <f t="shared" si="6"/>
        <v>3751.5506291423035</v>
      </c>
      <c r="T16" s="22">
        <f t="shared" si="7"/>
        <v>2972.4220478066541</v>
      </c>
    </row>
    <row r="17" spans="1:20" x14ac:dyDescent="0.2">
      <c r="A17" s="5">
        <v>26</v>
      </c>
      <c r="B17" s="1">
        <f t="shared" si="8"/>
        <v>1.1596934182128902</v>
      </c>
      <c r="C17" s="5">
        <f t="shared" si="9"/>
        <v>80164.553237017972</v>
      </c>
      <c r="D17" s="5">
        <f t="shared" si="0"/>
        <v>77388.2774478262</v>
      </c>
      <c r="E17" s="5">
        <f t="shared" si="1"/>
        <v>67888.2774478262</v>
      </c>
      <c r="F17" s="5">
        <f t="shared" si="2"/>
        <v>25806.100331497873</v>
      </c>
      <c r="G17" s="5">
        <f t="shared" si="3"/>
        <v>51582.177116328327</v>
      </c>
      <c r="H17" s="22">
        <f t="shared" si="10"/>
        <v>35725.850306144872</v>
      </c>
      <c r="I17" s="5">
        <f t="shared" si="4"/>
        <v>85771.815859308961</v>
      </c>
      <c r="J17" s="26">
        <f t="shared" si="5"/>
        <v>0.22663379226500308</v>
      </c>
      <c r="L17" s="22">
        <f t="shared" si="11"/>
        <v>137626.59231511137</v>
      </c>
      <c r="M17" s="5">
        <f>scrimecost*Meta!O14</f>
        <v>2123.9450000000002</v>
      </c>
      <c r="N17" s="5">
        <f>L17-Grade13!L17</f>
        <v>5932.0585739829985</v>
      </c>
      <c r="O17" s="5">
        <f>Grade13!M17-M17</f>
        <v>16.839999999999691</v>
      </c>
      <c r="P17" s="22">
        <f t="shared" si="12"/>
        <v>150.97934613153299</v>
      </c>
      <c r="Q17" s="22"/>
      <c r="R17" s="22"/>
      <c r="S17" s="22">
        <f t="shared" si="6"/>
        <v>3845.2296118559348</v>
      </c>
      <c r="T17" s="22">
        <f t="shared" si="7"/>
        <v>2930.7035066420276</v>
      </c>
    </row>
    <row r="18" spans="1:20" x14ac:dyDescent="0.2">
      <c r="A18" s="5">
        <v>27</v>
      </c>
      <c r="B18" s="1">
        <f t="shared" si="8"/>
        <v>1.1886857536682125</v>
      </c>
      <c r="C18" s="5">
        <f t="shared" si="9"/>
        <v>82168.667067943417</v>
      </c>
      <c r="D18" s="5">
        <f t="shared" si="0"/>
        <v>79306.214384021849</v>
      </c>
      <c r="E18" s="5">
        <f t="shared" si="1"/>
        <v>69806.214384021849</v>
      </c>
      <c r="F18" s="5">
        <f t="shared" si="2"/>
        <v>26624.100434785316</v>
      </c>
      <c r="G18" s="5">
        <f t="shared" si="3"/>
        <v>52682.113949236533</v>
      </c>
      <c r="H18" s="22">
        <f t="shared" si="10"/>
        <v>36618.996563798493</v>
      </c>
      <c r="I18" s="5">
        <f t="shared" si="4"/>
        <v>87726.49366079169</v>
      </c>
      <c r="J18" s="26">
        <f t="shared" si="5"/>
        <v>0.2283017896123643</v>
      </c>
      <c r="L18" s="22">
        <f t="shared" si="11"/>
        <v>141067.25712298916</v>
      </c>
      <c r="M18" s="5">
        <f>scrimecost*Meta!O15</f>
        <v>2123.9450000000002</v>
      </c>
      <c r="N18" s="5">
        <f>L18-Grade13!L18</f>
        <v>6080.360038332612</v>
      </c>
      <c r="O18" s="5">
        <f>Grade13!M18-M18</f>
        <v>16.839999999999691</v>
      </c>
      <c r="P18" s="22">
        <f t="shared" si="12"/>
        <v>155.03962902754401</v>
      </c>
      <c r="Q18" s="22"/>
      <c r="R18" s="22"/>
      <c r="S18" s="22">
        <f t="shared" si="6"/>
        <v>3941.2505691374481</v>
      </c>
      <c r="T18" s="22">
        <f t="shared" si="7"/>
        <v>2889.572503453006</v>
      </c>
    </row>
    <row r="19" spans="1:20" x14ac:dyDescent="0.2">
      <c r="A19" s="5">
        <v>28</v>
      </c>
      <c r="B19" s="1">
        <f t="shared" si="8"/>
        <v>1.2184028975099177</v>
      </c>
      <c r="C19" s="5">
        <f t="shared" si="9"/>
        <v>84222.883744642008</v>
      </c>
      <c r="D19" s="5">
        <f t="shared" si="0"/>
        <v>81272.099743622399</v>
      </c>
      <c r="E19" s="5">
        <f t="shared" si="1"/>
        <v>71772.099743622399</v>
      </c>
      <c r="F19" s="5">
        <f t="shared" si="2"/>
        <v>27462.550540654956</v>
      </c>
      <c r="G19" s="5">
        <f t="shared" si="3"/>
        <v>53809.549202967442</v>
      </c>
      <c r="H19" s="22">
        <f t="shared" si="10"/>
        <v>37534.471477893458</v>
      </c>
      <c r="I19" s="5">
        <f t="shared" si="4"/>
        <v>89730.038407311484</v>
      </c>
      <c r="J19" s="26">
        <f t="shared" si="5"/>
        <v>0.2299291040975949</v>
      </c>
      <c r="L19" s="22">
        <f t="shared" si="11"/>
        <v>144593.93855106388</v>
      </c>
      <c r="M19" s="5">
        <f>scrimecost*Meta!O16</f>
        <v>2123.9450000000002</v>
      </c>
      <c r="N19" s="5">
        <f>L19-Grade13!L19</f>
        <v>6232.3690392909339</v>
      </c>
      <c r="O19" s="5">
        <f>Grade13!M19-M19</f>
        <v>16.839999999999691</v>
      </c>
      <c r="P19" s="22">
        <f t="shared" si="12"/>
        <v>159.20141899595538</v>
      </c>
      <c r="Q19" s="22"/>
      <c r="R19" s="22"/>
      <c r="S19" s="22">
        <f t="shared" si="6"/>
        <v>4039.6720503509796</v>
      </c>
      <c r="T19" s="22">
        <f t="shared" si="7"/>
        <v>2849.020687387087</v>
      </c>
    </row>
    <row r="20" spans="1:20" x14ac:dyDescent="0.2">
      <c r="A20" s="5">
        <v>29</v>
      </c>
      <c r="B20" s="1">
        <f t="shared" si="8"/>
        <v>1.2488629699476654</v>
      </c>
      <c r="C20" s="5">
        <f t="shared" si="9"/>
        <v>86328.455838258029</v>
      </c>
      <c r="D20" s="5">
        <f t="shared" si="0"/>
        <v>83287.132237212936</v>
      </c>
      <c r="E20" s="5">
        <f t="shared" si="1"/>
        <v>73787.132237212936</v>
      </c>
      <c r="F20" s="5">
        <f t="shared" si="2"/>
        <v>28321.961899171318</v>
      </c>
      <c r="G20" s="5">
        <f t="shared" si="3"/>
        <v>54965.170338041615</v>
      </c>
      <c r="H20" s="22">
        <f t="shared" si="10"/>
        <v>38472.833264840781</v>
      </c>
      <c r="I20" s="5">
        <f t="shared" si="4"/>
        <v>91783.671772494243</v>
      </c>
      <c r="J20" s="26">
        <f t="shared" si="5"/>
        <v>0.23151672798562464</v>
      </c>
      <c r="L20" s="22">
        <f t="shared" si="11"/>
        <v>148208.78701484046</v>
      </c>
      <c r="M20" s="5">
        <f>scrimecost*Meta!O17</f>
        <v>2123.9450000000002</v>
      </c>
      <c r="N20" s="5">
        <f>L20-Grade13!L20</f>
        <v>6388.1782652731927</v>
      </c>
      <c r="O20" s="5">
        <f>Grade13!M20-M20</f>
        <v>16.839999999999691</v>
      </c>
      <c r="P20" s="22">
        <f t="shared" si="12"/>
        <v>163.46725371357695</v>
      </c>
      <c r="Q20" s="22"/>
      <c r="R20" s="22"/>
      <c r="S20" s="22">
        <f t="shared" si="6"/>
        <v>4140.5540685948354</v>
      </c>
      <c r="T20" s="22">
        <f t="shared" si="7"/>
        <v>2809.0398291741435</v>
      </c>
    </row>
    <row r="21" spans="1:20" x14ac:dyDescent="0.2">
      <c r="A21" s="5">
        <v>30</v>
      </c>
      <c r="B21" s="1">
        <f t="shared" si="8"/>
        <v>1.2800845441963571</v>
      </c>
      <c r="C21" s="5">
        <f t="shared" si="9"/>
        <v>88486.667234214488</v>
      </c>
      <c r="D21" s="5">
        <f t="shared" si="0"/>
        <v>85352.540543143259</v>
      </c>
      <c r="E21" s="5">
        <f t="shared" si="1"/>
        <v>75852.540543143259</v>
      </c>
      <c r="F21" s="5">
        <f t="shared" si="2"/>
        <v>29202.858541650599</v>
      </c>
      <c r="G21" s="5">
        <f t="shared" si="3"/>
        <v>56149.682001492663</v>
      </c>
      <c r="H21" s="22">
        <f t="shared" si="10"/>
        <v>39434.654096461803</v>
      </c>
      <c r="I21" s="5">
        <f t="shared" si="4"/>
        <v>93888.645971806603</v>
      </c>
      <c r="J21" s="26">
        <f t="shared" si="5"/>
        <v>0.23306562933980002</v>
      </c>
      <c r="L21" s="22">
        <f t="shared" si="11"/>
        <v>151914.00669021148</v>
      </c>
      <c r="M21" s="5">
        <f>scrimecost*Meta!O18</f>
        <v>1712.2730000000001</v>
      </c>
      <c r="N21" s="5">
        <f>L21-Grade13!L21</f>
        <v>6547.8827219050145</v>
      </c>
      <c r="O21" s="5">
        <f>Grade13!M21-M21</f>
        <v>13.576000000000022</v>
      </c>
      <c r="P21" s="22">
        <f t="shared" si="12"/>
        <v>167.83973429913905</v>
      </c>
      <c r="Q21" s="22"/>
      <c r="R21" s="22"/>
      <c r="S21" s="22">
        <f t="shared" si="6"/>
        <v>4241.3077692947927</v>
      </c>
      <c r="T21" s="22">
        <f t="shared" si="7"/>
        <v>2767.8921798866058</v>
      </c>
    </row>
    <row r="22" spans="1:20" x14ac:dyDescent="0.2">
      <c r="A22" s="5">
        <v>31</v>
      </c>
      <c r="B22" s="1">
        <f t="shared" si="8"/>
        <v>1.312086657801266</v>
      </c>
      <c r="C22" s="5">
        <f t="shared" si="9"/>
        <v>90698.833915069859</v>
      </c>
      <c r="D22" s="5">
        <f t="shared" si="0"/>
        <v>87469.584056721855</v>
      </c>
      <c r="E22" s="5">
        <f t="shared" si="1"/>
        <v>77969.584056721855</v>
      </c>
      <c r="F22" s="5">
        <f t="shared" si="2"/>
        <v>30105.777600191872</v>
      </c>
      <c r="G22" s="5">
        <f t="shared" si="3"/>
        <v>57363.806456529986</v>
      </c>
      <c r="H22" s="22">
        <f t="shared" si="10"/>
        <v>40420.520448873343</v>
      </c>
      <c r="I22" s="5">
        <f t="shared" si="4"/>
        <v>96046.244526101771</v>
      </c>
      <c r="J22" s="26">
        <f t="shared" si="5"/>
        <v>0.23457675261216629</v>
      </c>
      <c r="L22" s="22">
        <f t="shared" si="11"/>
        <v>155711.85685746674</v>
      </c>
      <c r="M22" s="5">
        <f>scrimecost*Meta!O19</f>
        <v>1712.2730000000001</v>
      </c>
      <c r="N22" s="5">
        <f>L22-Grade13!L22</f>
        <v>6711.5797899526369</v>
      </c>
      <c r="O22" s="5">
        <f>Grade13!M22-M22</f>
        <v>13.576000000000022</v>
      </c>
      <c r="P22" s="22">
        <f t="shared" si="12"/>
        <v>172.32152689934026</v>
      </c>
      <c r="Q22" s="22"/>
      <c r="R22" s="22"/>
      <c r="S22" s="22">
        <f t="shared" si="6"/>
        <v>4347.2969397122515</v>
      </c>
      <c r="T22" s="22">
        <f t="shared" si="7"/>
        <v>2729.0948491062118</v>
      </c>
    </row>
    <row r="23" spans="1:20" x14ac:dyDescent="0.2">
      <c r="A23" s="5">
        <v>32</v>
      </c>
      <c r="B23" s="1">
        <f t="shared" si="8"/>
        <v>1.3448888242462975</v>
      </c>
      <c r="C23" s="5">
        <f t="shared" si="9"/>
        <v>92966.304762946587</v>
      </c>
      <c r="D23" s="5">
        <f t="shared" si="0"/>
        <v>89639.553658139877</v>
      </c>
      <c r="E23" s="5">
        <f t="shared" si="1"/>
        <v>80139.553658139877</v>
      </c>
      <c r="F23" s="5">
        <f t="shared" si="2"/>
        <v>31031.269635196659</v>
      </c>
      <c r="G23" s="5">
        <f t="shared" si="3"/>
        <v>58608.284022943219</v>
      </c>
      <c r="H23" s="22">
        <f t="shared" si="10"/>
        <v>41431.033460095176</v>
      </c>
      <c r="I23" s="5">
        <f t="shared" si="4"/>
        <v>98257.783044254291</v>
      </c>
      <c r="J23" s="26">
        <f t="shared" si="5"/>
        <v>0.23605101921935284</v>
      </c>
      <c r="L23" s="22">
        <f t="shared" si="11"/>
        <v>159604.65327890342</v>
      </c>
      <c r="M23" s="5">
        <f>scrimecost*Meta!O20</f>
        <v>1712.2730000000001</v>
      </c>
      <c r="N23" s="5">
        <f>L23-Grade13!L23</f>
        <v>6879.3692847014754</v>
      </c>
      <c r="O23" s="5">
        <f>Grade13!M23-M23</f>
        <v>13.576000000000022</v>
      </c>
      <c r="P23" s="22">
        <f t="shared" si="12"/>
        <v>176.91536431454648</v>
      </c>
      <c r="Q23" s="22"/>
      <c r="R23" s="22"/>
      <c r="S23" s="22">
        <f t="shared" si="6"/>
        <v>4455.935839390163</v>
      </c>
      <c r="T23" s="22">
        <f t="shared" si="7"/>
        <v>2690.8419943203198</v>
      </c>
    </row>
    <row r="24" spans="1:20" x14ac:dyDescent="0.2">
      <c r="A24" s="5">
        <v>33</v>
      </c>
      <c r="B24" s="1">
        <f t="shared" si="8"/>
        <v>1.3785110448524549</v>
      </c>
      <c r="C24" s="5">
        <f t="shared" si="9"/>
        <v>95290.462382020254</v>
      </c>
      <c r="D24" s="5">
        <f t="shared" si="0"/>
        <v>91863.772499593382</v>
      </c>
      <c r="E24" s="5">
        <f t="shared" si="1"/>
        <v>82363.772499593382</v>
      </c>
      <c r="F24" s="5">
        <f t="shared" si="2"/>
        <v>31979.898971076578</v>
      </c>
      <c r="G24" s="5">
        <f t="shared" si="3"/>
        <v>59883.873528516808</v>
      </c>
      <c r="H24" s="22">
        <f t="shared" si="10"/>
        <v>42466.809296597552</v>
      </c>
      <c r="I24" s="5">
        <f t="shared" si="4"/>
        <v>100524.61002536066</v>
      </c>
      <c r="J24" s="26">
        <f t="shared" si="5"/>
        <v>0.23748932810441295</v>
      </c>
      <c r="L24" s="22">
        <f t="shared" si="11"/>
        <v>163594.76961087601</v>
      </c>
      <c r="M24" s="5">
        <f>scrimecost*Meta!O21</f>
        <v>1712.2730000000001</v>
      </c>
      <c r="N24" s="5">
        <f>L24-Grade13!L24</f>
        <v>7051.3535168190429</v>
      </c>
      <c r="O24" s="5">
        <f>Grade13!M24-M24</f>
        <v>13.576000000000022</v>
      </c>
      <c r="P24" s="22">
        <f t="shared" si="12"/>
        <v>181.62404766513288</v>
      </c>
      <c r="Q24" s="22"/>
      <c r="R24" s="22"/>
      <c r="S24" s="22">
        <f t="shared" si="6"/>
        <v>4567.2907115600265</v>
      </c>
      <c r="T24" s="22">
        <f t="shared" si="7"/>
        <v>2653.1259494558185</v>
      </c>
    </row>
    <row r="25" spans="1:20" x14ac:dyDescent="0.2">
      <c r="A25" s="5">
        <v>34</v>
      </c>
      <c r="B25" s="1">
        <f t="shared" si="8"/>
        <v>1.4129738209737661</v>
      </c>
      <c r="C25" s="5">
        <f t="shared" si="9"/>
        <v>97672.723941570759</v>
      </c>
      <c r="D25" s="5">
        <f t="shared" si="0"/>
        <v>94143.596812083211</v>
      </c>
      <c r="E25" s="5">
        <f t="shared" si="1"/>
        <v>84643.596812083211</v>
      </c>
      <c r="F25" s="5">
        <f t="shared" si="2"/>
        <v>32983.551944715982</v>
      </c>
      <c r="G25" s="5">
        <f t="shared" si="3"/>
        <v>61160.044867367229</v>
      </c>
      <c r="H25" s="22">
        <f t="shared" si="10"/>
        <v>43528.479529012489</v>
      </c>
      <c r="I25" s="5">
        <f t="shared" si="4"/>
        <v>102816.79977663218</v>
      </c>
      <c r="J25" s="26">
        <f t="shared" si="5"/>
        <v>0.23912424434995827</v>
      </c>
      <c r="L25" s="22">
        <f t="shared" si="11"/>
        <v>167684.63885114787</v>
      </c>
      <c r="M25" s="5">
        <f>scrimecost*Meta!O22</f>
        <v>1712.2730000000001</v>
      </c>
      <c r="N25" s="5">
        <f>L25-Grade13!L25</f>
        <v>7227.6373547394469</v>
      </c>
      <c r="O25" s="5">
        <f>Grade13!M25-M25</f>
        <v>13.576000000000022</v>
      </c>
      <c r="P25" s="22">
        <f t="shared" si="12"/>
        <v>186.60585021750572</v>
      </c>
      <c r="Q25" s="22"/>
      <c r="R25" s="22"/>
      <c r="S25" s="22">
        <f t="shared" si="6"/>
        <v>4681.5556420539069</v>
      </c>
      <c r="T25" s="22">
        <f t="shared" si="7"/>
        <v>2616.0096691759604</v>
      </c>
    </row>
    <row r="26" spans="1:20" x14ac:dyDescent="0.2">
      <c r="A26" s="5">
        <v>35</v>
      </c>
      <c r="B26" s="1">
        <f t="shared" si="8"/>
        <v>1.4482981664981105</v>
      </c>
      <c r="C26" s="5">
        <f t="shared" si="9"/>
        <v>100114.54204011003</v>
      </c>
      <c r="D26" s="5">
        <f t="shared" si="0"/>
        <v>96480.416732385289</v>
      </c>
      <c r="E26" s="5">
        <f t="shared" si="1"/>
        <v>86980.416732385289</v>
      </c>
      <c r="F26" s="5">
        <f t="shared" si="2"/>
        <v>34050.310238333885</v>
      </c>
      <c r="G26" s="5">
        <f t="shared" si="3"/>
        <v>62430.106494051404</v>
      </c>
      <c r="H26" s="22">
        <f t="shared" si="10"/>
        <v>44616.691517237807</v>
      </c>
      <c r="I26" s="5">
        <f t="shared" si="4"/>
        <v>105128.28027604798</v>
      </c>
      <c r="J26" s="26">
        <f t="shared" si="5"/>
        <v>0.24099373843428637</v>
      </c>
      <c r="L26" s="22">
        <f t="shared" si="11"/>
        <v>171876.75482242662</v>
      </c>
      <c r="M26" s="5">
        <f>scrimecost*Meta!O23</f>
        <v>1328.8529999999998</v>
      </c>
      <c r="N26" s="5">
        <f>L26-Grade13!L26</f>
        <v>7408.3282886079978</v>
      </c>
      <c r="O26" s="5">
        <f>Grade13!M26-M26</f>
        <v>10.536000000000058</v>
      </c>
      <c r="P26" s="22">
        <f t="shared" si="12"/>
        <v>191.90088677843957</v>
      </c>
      <c r="Q26" s="22"/>
      <c r="R26" s="22"/>
      <c r="S26" s="22">
        <f t="shared" si="6"/>
        <v>4796.3619312333585</v>
      </c>
      <c r="T26" s="22">
        <f t="shared" si="7"/>
        <v>2578.1670068782032</v>
      </c>
    </row>
    <row r="27" spans="1:20" x14ac:dyDescent="0.2">
      <c r="A27" s="5">
        <v>36</v>
      </c>
      <c r="B27" s="1">
        <f t="shared" si="8"/>
        <v>1.4845056206605631</v>
      </c>
      <c r="C27" s="5">
        <f t="shared" si="9"/>
        <v>102617.40559111277</v>
      </c>
      <c r="D27" s="5">
        <f t="shared" si="0"/>
        <v>98875.657150694911</v>
      </c>
      <c r="E27" s="5">
        <f t="shared" si="1"/>
        <v>89375.657150694911</v>
      </c>
      <c r="F27" s="5">
        <f t="shared" si="2"/>
        <v>35143.737489292223</v>
      </c>
      <c r="G27" s="5">
        <f t="shared" si="3"/>
        <v>63731.919661402688</v>
      </c>
      <c r="H27" s="22">
        <f t="shared" si="10"/>
        <v>45732.108805168755</v>
      </c>
      <c r="I27" s="5">
        <f t="shared" si="4"/>
        <v>107497.54778794918</v>
      </c>
      <c r="J27" s="26">
        <f t="shared" si="5"/>
        <v>0.24281763510192364</v>
      </c>
      <c r="L27" s="22">
        <f t="shared" si="11"/>
        <v>176173.67369298724</v>
      </c>
      <c r="M27" s="5">
        <f>scrimecost*Meta!O24</f>
        <v>1328.8529999999998</v>
      </c>
      <c r="N27" s="5">
        <f>L27-Grade13!L27</f>
        <v>7593.5364958231803</v>
      </c>
      <c r="O27" s="5">
        <f>Grade13!M27-M27</f>
        <v>10.536000000000058</v>
      </c>
      <c r="P27" s="22">
        <f t="shared" si="12"/>
        <v>197.32829925339675</v>
      </c>
      <c r="Q27" s="22"/>
      <c r="R27" s="22"/>
      <c r="S27" s="22">
        <f t="shared" si="6"/>
        <v>4916.5685696422433</v>
      </c>
      <c r="T27" s="22">
        <f t="shared" si="7"/>
        <v>2542.2083640292449</v>
      </c>
    </row>
    <row r="28" spans="1:20" x14ac:dyDescent="0.2">
      <c r="A28" s="5">
        <v>37</v>
      </c>
      <c r="B28" s="1">
        <f t="shared" si="8"/>
        <v>1.521618261177077</v>
      </c>
      <c r="C28" s="5">
        <f t="shared" si="9"/>
        <v>105182.84073089057</v>
      </c>
      <c r="D28" s="5">
        <f t="shared" si="0"/>
        <v>101330.77857946228</v>
      </c>
      <c r="E28" s="5">
        <f t="shared" si="1"/>
        <v>91830.778579462276</v>
      </c>
      <c r="F28" s="5">
        <f t="shared" si="2"/>
        <v>36264.500421524528</v>
      </c>
      <c r="G28" s="5">
        <f t="shared" si="3"/>
        <v>65066.278157937748</v>
      </c>
      <c r="H28" s="22">
        <f t="shared" si="10"/>
        <v>46875.411525297968</v>
      </c>
      <c r="I28" s="5">
        <f t="shared" si="4"/>
        <v>109926.0469876479</v>
      </c>
      <c r="J28" s="26">
        <f t="shared" si="5"/>
        <v>0.24459704648498434</v>
      </c>
      <c r="L28" s="22">
        <f t="shared" si="11"/>
        <v>180578.01553531189</v>
      </c>
      <c r="M28" s="5">
        <f>scrimecost*Meta!O25</f>
        <v>1328.8529999999998</v>
      </c>
      <c r="N28" s="5">
        <f>L28-Grade13!L28</f>
        <v>7783.3749082187132</v>
      </c>
      <c r="O28" s="5">
        <f>Grade13!M28-M28</f>
        <v>10.536000000000058</v>
      </c>
      <c r="P28" s="22">
        <f t="shared" si="12"/>
        <v>202.89139704022782</v>
      </c>
      <c r="Q28" s="22"/>
      <c r="R28" s="22"/>
      <c r="S28" s="22">
        <f t="shared" si="6"/>
        <v>5039.7803740113341</v>
      </c>
      <c r="T28" s="22">
        <f t="shared" si="7"/>
        <v>2506.7475399294913</v>
      </c>
    </row>
    <row r="29" spans="1:20" x14ac:dyDescent="0.2">
      <c r="A29" s="5">
        <v>38</v>
      </c>
      <c r="B29" s="1">
        <f t="shared" si="8"/>
        <v>1.559658717706504</v>
      </c>
      <c r="C29" s="5">
        <f t="shared" si="9"/>
        <v>107812.41174916284</v>
      </c>
      <c r="D29" s="5">
        <f t="shared" si="0"/>
        <v>103847.27804394884</v>
      </c>
      <c r="E29" s="5">
        <f t="shared" si="1"/>
        <v>94347.278043948842</v>
      </c>
      <c r="F29" s="5">
        <f t="shared" si="2"/>
        <v>37413.282427062644</v>
      </c>
      <c r="G29" s="5">
        <f t="shared" si="3"/>
        <v>66433.995616886197</v>
      </c>
      <c r="H29" s="22">
        <f t="shared" si="10"/>
        <v>48047.296813430417</v>
      </c>
      <c r="I29" s="5">
        <f t="shared" si="4"/>
        <v>112415.25866733911</v>
      </c>
      <c r="J29" s="26">
        <f t="shared" si="5"/>
        <v>0.24633305759040941</v>
      </c>
      <c r="L29" s="22">
        <f t="shared" si="11"/>
        <v>185092.46592369472</v>
      </c>
      <c r="M29" s="5">
        <f>scrimecost*Meta!O26</f>
        <v>1328.8529999999998</v>
      </c>
      <c r="N29" s="5">
        <f>L29-Grade13!L29</f>
        <v>7977.9592809242022</v>
      </c>
      <c r="O29" s="5">
        <f>Grade13!M29-M29</f>
        <v>10.536000000000058</v>
      </c>
      <c r="P29" s="22">
        <f t="shared" si="12"/>
        <v>208.59357227172973</v>
      </c>
      <c r="Q29" s="22"/>
      <c r="R29" s="22"/>
      <c r="S29" s="22">
        <f t="shared" si="6"/>
        <v>5166.072473489693</v>
      </c>
      <c r="T29" s="22">
        <f t="shared" si="7"/>
        <v>2471.7777844528159</v>
      </c>
    </row>
    <row r="30" spans="1:20" x14ac:dyDescent="0.2">
      <c r="A30" s="5">
        <v>39</v>
      </c>
      <c r="B30" s="1">
        <f t="shared" si="8"/>
        <v>1.5986501856491666</v>
      </c>
      <c r="C30" s="5">
        <f t="shared" si="9"/>
        <v>110507.72204289191</v>
      </c>
      <c r="D30" s="5">
        <f t="shared" si="0"/>
        <v>106426.68999504756</v>
      </c>
      <c r="E30" s="5">
        <f t="shared" si="1"/>
        <v>96926.689995047564</v>
      </c>
      <c r="F30" s="5">
        <f t="shared" si="2"/>
        <v>38590.783982739216</v>
      </c>
      <c r="G30" s="5">
        <f t="shared" si="3"/>
        <v>67835.906012308347</v>
      </c>
      <c r="H30" s="22">
        <f t="shared" si="10"/>
        <v>49248.479233766178</v>
      </c>
      <c r="I30" s="5">
        <f t="shared" si="4"/>
        <v>114966.70063902257</v>
      </c>
      <c r="J30" s="26">
        <f t="shared" si="5"/>
        <v>0.24802672696155587</v>
      </c>
      <c r="L30" s="22">
        <f t="shared" si="11"/>
        <v>189719.77757178707</v>
      </c>
      <c r="M30" s="5">
        <f>scrimecost*Meta!O27</f>
        <v>1328.8529999999998</v>
      </c>
      <c r="N30" s="5">
        <f>L30-Grade13!L30</f>
        <v>8177.4082629473123</v>
      </c>
      <c r="O30" s="5">
        <f>Grade13!M30-M30</f>
        <v>10.536000000000058</v>
      </c>
      <c r="P30" s="22">
        <f t="shared" si="12"/>
        <v>214.43830188401915</v>
      </c>
      <c r="Q30" s="22"/>
      <c r="R30" s="22"/>
      <c r="S30" s="22">
        <f t="shared" si="6"/>
        <v>5295.5218754550015</v>
      </c>
      <c r="T30" s="22">
        <f t="shared" si="7"/>
        <v>2437.2924335418302</v>
      </c>
    </row>
    <row r="31" spans="1:20" x14ac:dyDescent="0.2">
      <c r="A31" s="5">
        <v>40</v>
      </c>
      <c r="B31" s="1">
        <f t="shared" si="8"/>
        <v>1.6386164402903955</v>
      </c>
      <c r="C31" s="5">
        <f t="shared" si="9"/>
        <v>113270.4150939642</v>
      </c>
      <c r="D31" s="5">
        <f t="shared" si="0"/>
        <v>109070.58724492374</v>
      </c>
      <c r="E31" s="5">
        <f t="shared" si="1"/>
        <v>99570.587244923736</v>
      </c>
      <c r="F31" s="5">
        <f t="shared" si="2"/>
        <v>39656.946668122408</v>
      </c>
      <c r="G31" s="5">
        <f t="shared" si="3"/>
        <v>69413.640576801321</v>
      </c>
      <c r="H31" s="22">
        <f t="shared" si="10"/>
        <v>50479.69121461032</v>
      </c>
      <c r="I31" s="5">
        <f t="shared" si="4"/>
        <v>117722.7050691834</v>
      </c>
      <c r="J31" s="26">
        <f t="shared" si="5"/>
        <v>0.24878075638940716</v>
      </c>
      <c r="L31" s="22">
        <f t="shared" si="11"/>
        <v>194462.77201108172</v>
      </c>
      <c r="M31" s="5">
        <f>scrimecost*Meta!O28</f>
        <v>1162.3679999999999</v>
      </c>
      <c r="N31" s="5">
        <f>L31-Grade13!L31</f>
        <v>8381.8434695209726</v>
      </c>
      <c r="O31" s="5">
        <f>Grade13!M31-M31</f>
        <v>9.2159999999998945</v>
      </c>
      <c r="P31" s="22">
        <f t="shared" si="12"/>
        <v>219.73038204199119</v>
      </c>
      <c r="Q31" s="22"/>
      <c r="R31" s="22"/>
      <c r="S31" s="22">
        <f t="shared" si="6"/>
        <v>5426.5682731013894</v>
      </c>
      <c r="T31" s="22">
        <f t="shared" si="7"/>
        <v>2402.5591513924119</v>
      </c>
    </row>
    <row r="32" spans="1:20" x14ac:dyDescent="0.2">
      <c r="A32" s="5">
        <v>41</v>
      </c>
      <c r="B32" s="1">
        <f t="shared" si="8"/>
        <v>1.6795818512976552</v>
      </c>
      <c r="C32" s="5">
        <f t="shared" si="9"/>
        <v>116102.1754713133</v>
      </c>
      <c r="D32" s="5">
        <f t="shared" si="0"/>
        <v>111780.58192604683</v>
      </c>
      <c r="E32" s="5">
        <f t="shared" si="1"/>
        <v>102280.58192604683</v>
      </c>
      <c r="F32" s="5">
        <f t="shared" si="2"/>
        <v>40726.039569825472</v>
      </c>
      <c r="G32" s="5">
        <f t="shared" si="3"/>
        <v>71054.542356221355</v>
      </c>
      <c r="H32" s="22">
        <f t="shared" si="10"/>
        <v>51741.683494975579</v>
      </c>
      <c r="I32" s="5">
        <f t="shared" si="4"/>
        <v>120571.33346091298</v>
      </c>
      <c r="J32" s="26">
        <f t="shared" si="5"/>
        <v>0.24936869917632035</v>
      </c>
      <c r="L32" s="22">
        <f t="shared" si="11"/>
        <v>199324.34131135876</v>
      </c>
      <c r="M32" s="5">
        <f>scrimecost*Meta!O29</f>
        <v>1162.3679999999999</v>
      </c>
      <c r="N32" s="5">
        <f>L32-Grade13!L32</f>
        <v>8591.3895562590333</v>
      </c>
      <c r="O32" s="5">
        <f>Grade13!M32-M32</f>
        <v>9.2159999999998945</v>
      </c>
      <c r="P32" s="22">
        <f t="shared" si="12"/>
        <v>225.0370068279619</v>
      </c>
      <c r="Q32" s="22"/>
      <c r="R32" s="22"/>
      <c r="S32" s="22">
        <f t="shared" si="6"/>
        <v>5561.8938476997037</v>
      </c>
      <c r="T32" s="22">
        <f t="shared" si="7"/>
        <v>2368.7621614541195</v>
      </c>
    </row>
    <row r="33" spans="1:20" x14ac:dyDescent="0.2">
      <c r="A33" s="5">
        <v>42</v>
      </c>
      <c r="B33" s="1">
        <f t="shared" si="8"/>
        <v>1.7215713975800966</v>
      </c>
      <c r="C33" s="5">
        <f t="shared" si="9"/>
        <v>119004.72985809612</v>
      </c>
      <c r="D33" s="5">
        <f t="shared" si="0"/>
        <v>114558.32647419798</v>
      </c>
      <c r="E33" s="5">
        <f t="shared" si="1"/>
        <v>105058.32647419798</v>
      </c>
      <c r="F33" s="5">
        <f t="shared" si="2"/>
        <v>41821.859794071097</v>
      </c>
      <c r="G33" s="5">
        <f t="shared" si="3"/>
        <v>72736.466680126876</v>
      </c>
      <c r="H33" s="22">
        <f t="shared" si="10"/>
        <v>53035.225582349965</v>
      </c>
      <c r="I33" s="5">
        <f t="shared" si="4"/>
        <v>123491.1775624358</v>
      </c>
      <c r="J33" s="26">
        <f t="shared" si="5"/>
        <v>0.24994230189525996</v>
      </c>
      <c r="L33" s="22">
        <f t="shared" si="11"/>
        <v>204307.44984414271</v>
      </c>
      <c r="M33" s="5">
        <f>scrimecost*Meta!O30</f>
        <v>1162.3679999999999</v>
      </c>
      <c r="N33" s="5">
        <f>L33-Grade13!L33</f>
        <v>8806.1742951654596</v>
      </c>
      <c r="O33" s="5">
        <f>Grade13!M33-M33</f>
        <v>9.2159999999998945</v>
      </c>
      <c r="P33" s="22">
        <f t="shared" si="12"/>
        <v>230.47629723358182</v>
      </c>
      <c r="Q33" s="22"/>
      <c r="R33" s="22"/>
      <c r="S33" s="22">
        <f t="shared" si="6"/>
        <v>5700.6025616629204</v>
      </c>
      <c r="T33" s="22">
        <f t="shared" si="7"/>
        <v>2335.4440560965377</v>
      </c>
    </row>
    <row r="34" spans="1:20" x14ac:dyDescent="0.2">
      <c r="A34" s="5">
        <v>43</v>
      </c>
      <c r="B34" s="1">
        <f t="shared" si="8"/>
        <v>1.7646106825195991</v>
      </c>
      <c r="C34" s="5">
        <f t="shared" si="9"/>
        <v>121979.84810454852</v>
      </c>
      <c r="D34" s="5">
        <f t="shared" si="0"/>
        <v>117405.51463605293</v>
      </c>
      <c r="E34" s="5">
        <f t="shared" si="1"/>
        <v>107905.51463605293</v>
      </c>
      <c r="F34" s="5">
        <f t="shared" si="2"/>
        <v>42945.075523922882</v>
      </c>
      <c r="G34" s="5">
        <f t="shared" si="3"/>
        <v>74460.439112130058</v>
      </c>
      <c r="H34" s="22">
        <f t="shared" si="10"/>
        <v>54361.106221908711</v>
      </c>
      <c r="I34" s="5">
        <f t="shared" si="4"/>
        <v>126484.01776649669</v>
      </c>
      <c r="J34" s="26">
        <f t="shared" si="5"/>
        <v>0.25050191430398161</v>
      </c>
      <c r="L34" s="22">
        <f t="shared" si="11"/>
        <v>209415.13609024629</v>
      </c>
      <c r="M34" s="5">
        <f>scrimecost*Meta!O31</f>
        <v>1162.3679999999999</v>
      </c>
      <c r="N34" s="5">
        <f>L34-Grade13!L34</f>
        <v>9026.3286525446456</v>
      </c>
      <c r="O34" s="5">
        <f>Grade13!M34-M34</f>
        <v>9.2159999999998945</v>
      </c>
      <c r="P34" s="22">
        <f t="shared" si="12"/>
        <v>236.0515698993423</v>
      </c>
      <c r="Q34" s="22"/>
      <c r="R34" s="22"/>
      <c r="S34" s="22">
        <f t="shared" si="6"/>
        <v>5842.7789934752809</v>
      </c>
      <c r="T34" s="22">
        <f t="shared" si="7"/>
        <v>2302.597918693848</v>
      </c>
    </row>
    <row r="35" spans="1:20" x14ac:dyDescent="0.2">
      <c r="A35" s="5">
        <v>44</v>
      </c>
      <c r="B35" s="1">
        <f t="shared" si="8"/>
        <v>1.8087259495825889</v>
      </c>
      <c r="C35" s="5">
        <f t="shared" si="9"/>
        <v>125029.34430716223</v>
      </c>
      <c r="D35" s="5">
        <f t="shared" si="0"/>
        <v>120323.88250195426</v>
      </c>
      <c r="E35" s="5">
        <f t="shared" si="1"/>
        <v>110823.88250195426</v>
      </c>
      <c r="F35" s="5">
        <f t="shared" si="2"/>
        <v>44096.371647020955</v>
      </c>
      <c r="G35" s="5">
        <f t="shared" si="3"/>
        <v>76227.510854933294</v>
      </c>
      <c r="H35" s="22">
        <f t="shared" si="10"/>
        <v>55720.133877456436</v>
      </c>
      <c r="I35" s="5">
        <f t="shared" si="4"/>
        <v>129551.6789756591</v>
      </c>
      <c r="J35" s="26">
        <f t="shared" si="5"/>
        <v>0.25104787762956365</v>
      </c>
      <c r="L35" s="22">
        <f t="shared" si="11"/>
        <v>214650.51449250244</v>
      </c>
      <c r="M35" s="5">
        <f>scrimecost*Meta!O32</f>
        <v>1162.3679999999999</v>
      </c>
      <c r="N35" s="5">
        <f>L35-Grade13!L35</f>
        <v>9251.9868688582792</v>
      </c>
      <c r="O35" s="5">
        <f>Grade13!M35-M35</f>
        <v>9.2159999999998945</v>
      </c>
      <c r="P35" s="22">
        <f t="shared" si="12"/>
        <v>241.76622438174672</v>
      </c>
      <c r="Q35" s="22"/>
      <c r="R35" s="22"/>
      <c r="S35" s="22">
        <f t="shared" si="6"/>
        <v>5988.5098360829288</v>
      </c>
      <c r="T35" s="22">
        <f t="shared" si="7"/>
        <v>2270.2169374501796</v>
      </c>
    </row>
    <row r="36" spans="1:20" x14ac:dyDescent="0.2">
      <c r="A36" s="5">
        <v>45</v>
      </c>
      <c r="B36" s="1">
        <f t="shared" si="8"/>
        <v>1.8539440983221533</v>
      </c>
      <c r="C36" s="5">
        <f t="shared" si="9"/>
        <v>128155.07791484127</v>
      </c>
      <c r="D36" s="5">
        <f t="shared" si="0"/>
        <v>123315.20956450309</v>
      </c>
      <c r="E36" s="5">
        <f t="shared" si="1"/>
        <v>113815.20956450309</v>
      </c>
      <c r="F36" s="5">
        <f t="shared" si="2"/>
        <v>45276.45017319647</v>
      </c>
      <c r="G36" s="5">
        <f t="shared" si="3"/>
        <v>78038.759391306623</v>
      </c>
      <c r="H36" s="22">
        <f t="shared" si="10"/>
        <v>57113.137224392827</v>
      </c>
      <c r="I36" s="5">
        <f t="shared" si="4"/>
        <v>132696.03171505057</v>
      </c>
      <c r="J36" s="26">
        <f t="shared" si="5"/>
        <v>0.25158052477647302</v>
      </c>
      <c r="L36" s="22">
        <f t="shared" si="11"/>
        <v>220016.77735481496</v>
      </c>
      <c r="M36" s="5">
        <f>scrimecost*Meta!O33</f>
        <v>939.37900000000002</v>
      </c>
      <c r="N36" s="5">
        <f>L36-Grade13!L36</f>
        <v>9483.2865405797202</v>
      </c>
      <c r="O36" s="5">
        <f>Grade13!M36-M36</f>
        <v>7.4479999999999791</v>
      </c>
      <c r="P36" s="22">
        <f t="shared" si="12"/>
        <v>247.6237452262113</v>
      </c>
      <c r="Q36" s="22"/>
      <c r="R36" s="22"/>
      <c r="S36" s="22">
        <f t="shared" si="6"/>
        <v>6136.4483337557485</v>
      </c>
      <c r="T36" s="22">
        <f t="shared" si="7"/>
        <v>2237.7708793516413</v>
      </c>
    </row>
    <row r="37" spans="1:20" x14ac:dyDescent="0.2">
      <c r="A37" s="5">
        <v>46</v>
      </c>
      <c r="B37" s="1">
        <f t="shared" ref="B37:B56" si="13">(1+experiencepremium)^(A37-startage)</f>
        <v>1.9002927007802071</v>
      </c>
      <c r="C37" s="5">
        <f t="shared" ref="C37:C56" si="14">pretaxincome*B37/expnorm</f>
        <v>131358.9548627123</v>
      </c>
      <c r="D37" s="5">
        <f t="shared" ref="D37:D56" si="15">IF(A37&lt;startage,1,0)*(C37*(1-initialunempprob))+IF(A37=startage,1,0)*(C37*(1-unempprob))+IF(A37&gt;startage,1,0)*(C37*(1-unempprob)+unempprob*300*52)</f>
        <v>126381.31980361567</v>
      </c>
      <c r="E37" s="5">
        <f t="shared" si="1"/>
        <v>116881.31980361567</v>
      </c>
      <c r="F37" s="5">
        <f t="shared" si="2"/>
        <v>46486.030662526384</v>
      </c>
      <c r="G37" s="5">
        <f t="shared" si="3"/>
        <v>79895.289141089277</v>
      </c>
      <c r="H37" s="22">
        <f t="shared" ref="H37:H56" si="16">benefits*B37/expnorm</f>
        <v>58540.965655002648</v>
      </c>
      <c r="I37" s="5">
        <f t="shared" ref="I37:I56" si="17">G37+IF(A37&lt;startage,1,0)*(H37*(1-initialunempprob))+IF(A37&gt;=startage,1,0)*(H37*(1-unempprob))</f>
        <v>135918.9932729268</v>
      </c>
      <c r="J37" s="26">
        <f t="shared" si="5"/>
        <v>0.2521001805295553</v>
      </c>
      <c r="L37" s="22">
        <f t="shared" ref="L37:L56" si="18">(sincome+sbenefits)*(1-sunemp)*B37/expnorm</f>
        <v>225517.19678868531</v>
      </c>
      <c r="M37" s="5">
        <f>scrimecost*Meta!O34</f>
        <v>939.37900000000002</v>
      </c>
      <c r="N37" s="5">
        <f>L37-Grade13!L37</f>
        <v>9720.3687040941732</v>
      </c>
      <c r="O37" s="5">
        <f>Grade13!M37-M37</f>
        <v>7.4479999999999791</v>
      </c>
      <c r="P37" s="22">
        <f t="shared" si="12"/>
        <v>253.62770409178748</v>
      </c>
      <c r="Q37" s="22"/>
      <c r="R37" s="22"/>
      <c r="S37" s="22">
        <f t="shared" si="6"/>
        <v>6289.5568002703731</v>
      </c>
      <c r="T37" s="22">
        <f t="shared" si="7"/>
        <v>2206.3201086025288</v>
      </c>
    </row>
    <row r="38" spans="1:20" x14ac:dyDescent="0.2">
      <c r="A38" s="5">
        <v>47</v>
      </c>
      <c r="B38" s="1">
        <f t="shared" si="13"/>
        <v>1.9478000182997122</v>
      </c>
      <c r="C38" s="5">
        <f t="shared" si="14"/>
        <v>134642.92873428008</v>
      </c>
      <c r="D38" s="5">
        <f t="shared" si="15"/>
        <v>129524.08279870603</v>
      </c>
      <c r="E38" s="5">
        <f t="shared" si="1"/>
        <v>120024.08279870603</v>
      </c>
      <c r="F38" s="5">
        <f t="shared" si="2"/>
        <v>47725.850664089536</v>
      </c>
      <c r="G38" s="5">
        <f t="shared" si="3"/>
        <v>81798.232134616497</v>
      </c>
      <c r="H38" s="22">
        <f t="shared" si="16"/>
        <v>60004.489796377704</v>
      </c>
      <c r="I38" s="5">
        <f t="shared" si="17"/>
        <v>139222.52886974995</v>
      </c>
      <c r="J38" s="26">
        <f t="shared" si="5"/>
        <v>0.25260716175207459</v>
      </c>
      <c r="L38" s="22">
        <f t="shared" si="18"/>
        <v>231155.12670840244</v>
      </c>
      <c r="M38" s="5">
        <f>scrimecost*Meta!O35</f>
        <v>939.37900000000002</v>
      </c>
      <c r="N38" s="5">
        <f>L38-Grade13!L38</f>
        <v>9963.3779216965486</v>
      </c>
      <c r="O38" s="5">
        <f>Grade13!M38-M38</f>
        <v>7.4479999999999791</v>
      </c>
      <c r="P38" s="22">
        <f t="shared" si="12"/>
        <v>259.7817619290031</v>
      </c>
      <c r="Q38" s="22"/>
      <c r="R38" s="22"/>
      <c r="S38" s="22">
        <f t="shared" si="6"/>
        <v>6446.4929784479009</v>
      </c>
      <c r="T38" s="22">
        <f t="shared" si="7"/>
        <v>2175.313911892028</v>
      </c>
    </row>
    <row r="39" spans="1:20" x14ac:dyDescent="0.2">
      <c r="A39" s="5">
        <v>48</v>
      </c>
      <c r="B39" s="1">
        <f t="shared" si="13"/>
        <v>1.9964950187572048</v>
      </c>
      <c r="C39" s="5">
        <f t="shared" si="14"/>
        <v>138009.0019526371</v>
      </c>
      <c r="D39" s="5">
        <f t="shared" si="15"/>
        <v>132745.41486867369</v>
      </c>
      <c r="E39" s="5">
        <f t="shared" si="1"/>
        <v>123245.41486867369</v>
      </c>
      <c r="F39" s="5">
        <f t="shared" si="2"/>
        <v>48996.666165691764</v>
      </c>
      <c r="G39" s="5">
        <f t="shared" si="3"/>
        <v>83748.748702981917</v>
      </c>
      <c r="H39" s="22">
        <f t="shared" si="16"/>
        <v>61504.602041287151</v>
      </c>
      <c r="I39" s="5">
        <f t="shared" si="17"/>
        <v>142608.65285649372</v>
      </c>
      <c r="J39" s="26">
        <f t="shared" si="5"/>
        <v>0.2531017775789226</v>
      </c>
      <c r="L39" s="22">
        <f t="shared" si="18"/>
        <v>236934.00487611251</v>
      </c>
      <c r="M39" s="5">
        <f>scrimecost*Meta!O36</f>
        <v>939.37900000000002</v>
      </c>
      <c r="N39" s="5">
        <f>L39-Grade13!L39</f>
        <v>10212.462369738932</v>
      </c>
      <c r="O39" s="5">
        <f>Grade13!M39-M39</f>
        <v>7.4479999999999791</v>
      </c>
      <c r="P39" s="22">
        <f t="shared" si="12"/>
        <v>266.08967121214897</v>
      </c>
      <c r="Q39" s="22"/>
      <c r="R39" s="22"/>
      <c r="S39" s="22">
        <f t="shared" si="6"/>
        <v>6607.3525610798361</v>
      </c>
      <c r="T39" s="22">
        <f t="shared" si="7"/>
        <v>2144.7459082476321</v>
      </c>
    </row>
    <row r="40" spans="1:20" x14ac:dyDescent="0.2">
      <c r="A40" s="5">
        <v>49</v>
      </c>
      <c r="B40" s="1">
        <f t="shared" si="13"/>
        <v>2.0464073942261352</v>
      </c>
      <c r="C40" s="5">
        <f t="shared" si="14"/>
        <v>141459.22700145302</v>
      </c>
      <c r="D40" s="5">
        <f t="shared" si="15"/>
        <v>136047.28024039054</v>
      </c>
      <c r="E40" s="5">
        <f t="shared" si="1"/>
        <v>126547.28024039054</v>
      </c>
      <c r="F40" s="5">
        <f t="shared" si="2"/>
        <v>50299.252054834062</v>
      </c>
      <c r="G40" s="5">
        <f t="shared" si="3"/>
        <v>85748.028185556468</v>
      </c>
      <c r="H40" s="22">
        <f t="shared" si="16"/>
        <v>63042.217092319341</v>
      </c>
      <c r="I40" s="5">
        <f t="shared" si="17"/>
        <v>146079.42994290608</v>
      </c>
      <c r="J40" s="26">
        <f t="shared" si="5"/>
        <v>0.2535843296051159</v>
      </c>
      <c r="L40" s="22">
        <f t="shared" si="18"/>
        <v>242857.35499801533</v>
      </c>
      <c r="M40" s="5">
        <f>scrimecost*Meta!O37</f>
        <v>939.37900000000002</v>
      </c>
      <c r="N40" s="5">
        <f>L40-Grade13!L40</f>
        <v>10467.773928982497</v>
      </c>
      <c r="O40" s="5">
        <f>Grade13!M40-M40</f>
        <v>7.4479999999999791</v>
      </c>
      <c r="P40" s="22">
        <f t="shared" si="12"/>
        <v>272.55527822737366</v>
      </c>
      <c r="Q40" s="22"/>
      <c r="R40" s="22"/>
      <c r="S40" s="22">
        <f t="shared" si="6"/>
        <v>6772.2336332776458</v>
      </c>
      <c r="T40" s="22">
        <f t="shared" si="7"/>
        <v>2114.6098119285007</v>
      </c>
    </row>
    <row r="41" spans="1:20" x14ac:dyDescent="0.2">
      <c r="A41" s="5">
        <v>50</v>
      </c>
      <c r="B41" s="1">
        <f t="shared" si="13"/>
        <v>2.097567579081788</v>
      </c>
      <c r="C41" s="5">
        <f t="shared" si="14"/>
        <v>144995.70767648931</v>
      </c>
      <c r="D41" s="5">
        <f t="shared" si="15"/>
        <v>139431.69224640026</v>
      </c>
      <c r="E41" s="5">
        <f t="shared" si="1"/>
        <v>129931.69224640026</v>
      </c>
      <c r="F41" s="5">
        <f t="shared" si="2"/>
        <v>51634.402591204904</v>
      </c>
      <c r="G41" s="5">
        <f t="shared" si="3"/>
        <v>87797.289655195345</v>
      </c>
      <c r="H41" s="22">
        <f t="shared" si="16"/>
        <v>64618.272519627302</v>
      </c>
      <c r="I41" s="5">
        <f t="shared" si="17"/>
        <v>149636.97645647867</v>
      </c>
      <c r="J41" s="26">
        <f t="shared" si="5"/>
        <v>0.25405511206969467</v>
      </c>
      <c r="L41" s="22">
        <f t="shared" si="18"/>
        <v>248928.78887296567</v>
      </c>
      <c r="M41" s="5">
        <f>scrimecost*Meta!O38</f>
        <v>627.59799999999996</v>
      </c>
      <c r="N41" s="5">
        <f>L41-Grade13!L41</f>
        <v>10729.468277206935</v>
      </c>
      <c r="O41" s="5">
        <f>Grade13!M41-M41</f>
        <v>4.9759999999999991</v>
      </c>
      <c r="P41" s="22">
        <f t="shared" si="12"/>
        <v>279.18252541797887</v>
      </c>
      <c r="Q41" s="22"/>
      <c r="R41" s="22"/>
      <c r="S41" s="22">
        <f t="shared" si="6"/>
        <v>6939.2294682802649</v>
      </c>
      <c r="T41" s="22">
        <f t="shared" si="7"/>
        <v>2084.2965205037422</v>
      </c>
    </row>
    <row r="42" spans="1:20" x14ac:dyDescent="0.2">
      <c r="A42" s="5">
        <v>51</v>
      </c>
      <c r="B42" s="1">
        <f t="shared" si="13"/>
        <v>2.1500067685588333</v>
      </c>
      <c r="C42" s="5">
        <f t="shared" si="14"/>
        <v>148620.60036840159</v>
      </c>
      <c r="D42" s="5">
        <f t="shared" si="15"/>
        <v>142900.7145525603</v>
      </c>
      <c r="E42" s="5">
        <f t="shared" si="1"/>
        <v>133400.7145525603</v>
      </c>
      <c r="F42" s="5">
        <f t="shared" si="2"/>
        <v>53002.931890985041</v>
      </c>
      <c r="G42" s="5">
        <f t="shared" si="3"/>
        <v>89897.782661575256</v>
      </c>
      <c r="H42" s="22">
        <f t="shared" si="16"/>
        <v>66233.729332617993</v>
      </c>
      <c r="I42" s="5">
        <f t="shared" si="17"/>
        <v>153283.46163289068</v>
      </c>
      <c r="J42" s="26">
        <f t="shared" si="5"/>
        <v>0.25451441203513742</v>
      </c>
      <c r="L42" s="22">
        <f t="shared" si="18"/>
        <v>255152.00859478986</v>
      </c>
      <c r="M42" s="5">
        <f>scrimecost*Meta!O39</f>
        <v>627.59799999999996</v>
      </c>
      <c r="N42" s="5">
        <f>L42-Grade13!L42</f>
        <v>10997.704984137206</v>
      </c>
      <c r="O42" s="5">
        <f>Grade13!M42-M42</f>
        <v>4.9759999999999991</v>
      </c>
      <c r="P42" s="22">
        <f t="shared" si="12"/>
        <v>285.97545378834928</v>
      </c>
      <c r="Q42" s="22"/>
      <c r="R42" s="22"/>
      <c r="S42" s="22">
        <f t="shared" ref="S42:S69" si="19">IF(A42&lt;startage,1,0)*(N42-Q42-R42)+IF(A42&gt;=startage,1,0)*completionprob*(N42*spart+O42+P42)</f>
        <v>7112.4576447580866</v>
      </c>
      <c r="T42" s="22">
        <f t="shared" ref="T42:T69" si="20">S42/sreturn^(A42-startage+1)</f>
        <v>2055.0286989377055</v>
      </c>
    </row>
    <row r="43" spans="1:20" x14ac:dyDescent="0.2">
      <c r="A43" s="5">
        <v>52</v>
      </c>
      <c r="B43" s="1">
        <f t="shared" si="13"/>
        <v>2.2037569377728037</v>
      </c>
      <c r="C43" s="5">
        <f t="shared" si="14"/>
        <v>152336.11537761163</v>
      </c>
      <c r="D43" s="5">
        <f t="shared" si="15"/>
        <v>146456.4624163743</v>
      </c>
      <c r="E43" s="5">
        <f t="shared" si="1"/>
        <v>136956.4624163743</v>
      </c>
      <c r="F43" s="5">
        <f t="shared" si="2"/>
        <v>54405.674423259661</v>
      </c>
      <c r="G43" s="5">
        <f t="shared" si="3"/>
        <v>92050.787993114645</v>
      </c>
      <c r="H43" s="22">
        <f t="shared" si="16"/>
        <v>67889.572565933442</v>
      </c>
      <c r="I43" s="5">
        <f t="shared" si="17"/>
        <v>157021.10893871295</v>
      </c>
      <c r="J43" s="26">
        <f t="shared" si="5"/>
        <v>0.25496250956239858</v>
      </c>
      <c r="L43" s="22">
        <f t="shared" si="18"/>
        <v>261530.80880965956</v>
      </c>
      <c r="M43" s="5">
        <f>scrimecost*Meta!O40</f>
        <v>627.59799999999996</v>
      </c>
      <c r="N43" s="5">
        <f>L43-Grade13!L43</f>
        <v>11272.647608740634</v>
      </c>
      <c r="O43" s="5">
        <f>Grade13!M43-M43</f>
        <v>4.9759999999999991</v>
      </c>
      <c r="P43" s="22">
        <f t="shared" si="12"/>
        <v>292.93820536797892</v>
      </c>
      <c r="Q43" s="22"/>
      <c r="R43" s="22"/>
      <c r="S43" s="22">
        <f t="shared" si="19"/>
        <v>7290.016525647794</v>
      </c>
      <c r="T43" s="22">
        <f t="shared" si="20"/>
        <v>2026.1736102932248</v>
      </c>
    </row>
    <row r="44" spans="1:20" x14ac:dyDescent="0.2">
      <c r="A44" s="5">
        <v>53</v>
      </c>
      <c r="B44" s="1">
        <f t="shared" si="13"/>
        <v>2.2588508612171236</v>
      </c>
      <c r="C44" s="5">
        <f t="shared" si="14"/>
        <v>156144.51826205189</v>
      </c>
      <c r="D44" s="5">
        <f t="shared" si="15"/>
        <v>150101.10397678363</v>
      </c>
      <c r="E44" s="5">
        <f t="shared" si="1"/>
        <v>140601.10397678363</v>
      </c>
      <c r="F44" s="5">
        <f t="shared" si="2"/>
        <v>55843.485518841138</v>
      </c>
      <c r="G44" s="5">
        <f t="shared" si="3"/>
        <v>94257.618457942503</v>
      </c>
      <c r="H44" s="22">
        <f t="shared" si="16"/>
        <v>69586.811880081776</v>
      </c>
      <c r="I44" s="5">
        <f t="shared" si="17"/>
        <v>160852.19742718077</v>
      </c>
      <c r="J44" s="26">
        <f t="shared" si="5"/>
        <v>0.25539967788167772</v>
      </c>
      <c r="L44" s="22">
        <f t="shared" si="18"/>
        <v>268069.07902990101</v>
      </c>
      <c r="M44" s="5">
        <f>scrimecost*Meta!O41</f>
        <v>627.59799999999996</v>
      </c>
      <c r="N44" s="5">
        <f>L44-Grade13!L44</f>
        <v>11554.46379895907</v>
      </c>
      <c r="O44" s="5">
        <f>Grade13!M44-M44</f>
        <v>4.9759999999999991</v>
      </c>
      <c r="P44" s="22">
        <f t="shared" si="12"/>
        <v>300.07502573709917</v>
      </c>
      <c r="Q44" s="22"/>
      <c r="R44" s="22"/>
      <c r="S44" s="22">
        <f t="shared" si="19"/>
        <v>7472.0143785596947</v>
      </c>
      <c r="T44" s="22">
        <f t="shared" si="20"/>
        <v>1997.7253677169169</v>
      </c>
    </row>
    <row r="45" spans="1:20" x14ac:dyDescent="0.2">
      <c r="A45" s="5">
        <v>54</v>
      </c>
      <c r="B45" s="1">
        <f t="shared" si="13"/>
        <v>2.3153221327475517</v>
      </c>
      <c r="C45" s="5">
        <f t="shared" si="14"/>
        <v>160048.13121860317</v>
      </c>
      <c r="D45" s="5">
        <f t="shared" si="15"/>
        <v>153836.86157620323</v>
      </c>
      <c r="E45" s="5">
        <f t="shared" si="1"/>
        <v>144336.86157620323</v>
      </c>
      <c r="F45" s="5">
        <f t="shared" si="2"/>
        <v>57317.241891812169</v>
      </c>
      <c r="G45" s="5">
        <f t="shared" si="3"/>
        <v>96519.619684391058</v>
      </c>
      <c r="H45" s="22">
        <f t="shared" si="16"/>
        <v>71326.482177083803</v>
      </c>
      <c r="I45" s="5">
        <f t="shared" si="17"/>
        <v>164779.06312786025</v>
      </c>
      <c r="J45" s="26">
        <f t="shared" si="5"/>
        <v>0.25582618355902337</v>
      </c>
      <c r="L45" s="22">
        <f t="shared" si="18"/>
        <v>274770.80600564857</v>
      </c>
      <c r="M45" s="5">
        <f>scrimecost*Meta!O42</f>
        <v>627.59799999999996</v>
      </c>
      <c r="N45" s="5">
        <f>L45-Grade13!L45</f>
        <v>11843.325393933163</v>
      </c>
      <c r="O45" s="5">
        <f>Grade13!M45-M45</f>
        <v>4.9759999999999991</v>
      </c>
      <c r="P45" s="22">
        <f t="shared" si="12"/>
        <v>307.39026661544767</v>
      </c>
      <c r="Q45" s="22"/>
      <c r="R45" s="22"/>
      <c r="S45" s="22">
        <f t="shared" si="19"/>
        <v>7658.5621777945153</v>
      </c>
      <c r="T45" s="22">
        <f t="shared" si="20"/>
        <v>1969.6781708347016</v>
      </c>
    </row>
    <row r="46" spans="1:20" x14ac:dyDescent="0.2">
      <c r="A46" s="5">
        <v>55</v>
      </c>
      <c r="B46" s="1">
        <f t="shared" si="13"/>
        <v>2.3732051860662402</v>
      </c>
      <c r="C46" s="5">
        <f t="shared" si="14"/>
        <v>164049.33449906824</v>
      </c>
      <c r="D46" s="5">
        <f t="shared" si="15"/>
        <v>157666.01311560828</v>
      </c>
      <c r="E46" s="5">
        <f t="shared" si="1"/>
        <v>148166.01311560828</v>
      </c>
      <c r="F46" s="5">
        <f t="shared" si="2"/>
        <v>58827.842174107464</v>
      </c>
      <c r="G46" s="5">
        <f t="shared" si="3"/>
        <v>98838.170941500808</v>
      </c>
      <c r="H46" s="22">
        <f t="shared" si="16"/>
        <v>73109.644231510902</v>
      </c>
      <c r="I46" s="5">
        <f t="shared" si="17"/>
        <v>168804.10047105674</v>
      </c>
      <c r="J46" s="26">
        <f t="shared" si="5"/>
        <v>0.25624228665887266</v>
      </c>
      <c r="L46" s="22">
        <f t="shared" si="18"/>
        <v>281640.07615578972</v>
      </c>
      <c r="M46" s="5">
        <f>scrimecost*Meta!O43</f>
        <v>348.10499999999996</v>
      </c>
      <c r="N46" s="5">
        <f>L46-Grade13!L46</f>
        <v>12139.40852878138</v>
      </c>
      <c r="O46" s="5">
        <f>Grade13!M46-M46</f>
        <v>2.7599999999999909</v>
      </c>
      <c r="P46" s="22">
        <f t="shared" si="12"/>
        <v>314.88838851575463</v>
      </c>
      <c r="Q46" s="22"/>
      <c r="R46" s="22"/>
      <c r="S46" s="22">
        <f t="shared" si="19"/>
        <v>7847.974280010063</v>
      </c>
      <c r="T46" s="22">
        <f t="shared" si="20"/>
        <v>1941.5811365720092</v>
      </c>
    </row>
    <row r="47" spans="1:20" x14ac:dyDescent="0.2">
      <c r="A47" s="5">
        <v>56</v>
      </c>
      <c r="B47" s="1">
        <f t="shared" si="13"/>
        <v>2.4325353157178964</v>
      </c>
      <c r="C47" s="5">
        <f t="shared" si="14"/>
        <v>168150.56786154496</v>
      </c>
      <c r="D47" s="5">
        <f t="shared" si="15"/>
        <v>161590.8934434985</v>
      </c>
      <c r="E47" s="5">
        <f t="shared" si="1"/>
        <v>152090.8934434985</v>
      </c>
      <c r="F47" s="5">
        <f t="shared" si="2"/>
        <v>60376.207463460152</v>
      </c>
      <c r="G47" s="5">
        <f t="shared" si="3"/>
        <v>101214.68598003834</v>
      </c>
      <c r="H47" s="22">
        <f t="shared" si="16"/>
        <v>74937.385337298678</v>
      </c>
      <c r="I47" s="5">
        <f t="shared" si="17"/>
        <v>172929.76374783317</v>
      </c>
      <c r="J47" s="26">
        <f t="shared" si="5"/>
        <v>0.25664824090262811</v>
      </c>
      <c r="L47" s="22">
        <f t="shared" si="18"/>
        <v>288681.07805968454</v>
      </c>
      <c r="M47" s="5">
        <f>scrimecost*Meta!O44</f>
        <v>348.10499999999996</v>
      </c>
      <c r="N47" s="5">
        <f>L47-Grade13!L47</f>
        <v>12442.893742001033</v>
      </c>
      <c r="O47" s="5">
        <f>Grade13!M47-M47</f>
        <v>2.7599999999999909</v>
      </c>
      <c r="P47" s="22">
        <f t="shared" si="12"/>
        <v>322.5739634635695</v>
      </c>
      <c r="Q47" s="22"/>
      <c r="R47" s="22"/>
      <c r="S47" s="22">
        <f t="shared" si="19"/>
        <v>8043.9660615811463</v>
      </c>
      <c r="T47" s="22">
        <f t="shared" si="20"/>
        <v>1914.3359102306213</v>
      </c>
    </row>
    <row r="48" spans="1:20" x14ac:dyDescent="0.2">
      <c r="A48" s="5">
        <v>57</v>
      </c>
      <c r="B48" s="1">
        <f t="shared" si="13"/>
        <v>2.4933486986108435</v>
      </c>
      <c r="C48" s="5">
        <f t="shared" si="14"/>
        <v>172354.33205808356</v>
      </c>
      <c r="D48" s="5">
        <f t="shared" si="15"/>
        <v>165613.89577958593</v>
      </c>
      <c r="E48" s="5">
        <f t="shared" si="1"/>
        <v>156113.89577958593</v>
      </c>
      <c r="F48" s="5">
        <f t="shared" si="2"/>
        <v>61963.281885046657</v>
      </c>
      <c r="G48" s="5">
        <f t="shared" si="3"/>
        <v>103650.61389453927</v>
      </c>
      <c r="H48" s="22">
        <f t="shared" si="16"/>
        <v>76810.819970731143</v>
      </c>
      <c r="I48" s="5">
        <f t="shared" si="17"/>
        <v>177158.56860652898</v>
      </c>
      <c r="J48" s="26">
        <f t="shared" si="5"/>
        <v>0.25704429382336513</v>
      </c>
      <c r="L48" s="22">
        <f t="shared" si="18"/>
        <v>295898.10501117655</v>
      </c>
      <c r="M48" s="5">
        <f>scrimecost*Meta!O45</f>
        <v>348.10499999999996</v>
      </c>
      <c r="N48" s="5">
        <f>L48-Grade13!L48</f>
        <v>12753.966085551016</v>
      </c>
      <c r="O48" s="5">
        <f>Grade13!M48-M48</f>
        <v>2.7599999999999909</v>
      </c>
      <c r="P48" s="22">
        <f t="shared" si="12"/>
        <v>330.4516777850796</v>
      </c>
      <c r="Q48" s="22"/>
      <c r="R48" s="22"/>
      <c r="S48" s="22">
        <f t="shared" si="19"/>
        <v>8244.8576376914025</v>
      </c>
      <c r="T48" s="22">
        <f t="shared" si="20"/>
        <v>1887.4741891100209</v>
      </c>
    </row>
    <row r="49" spans="1:20" x14ac:dyDescent="0.2">
      <c r="A49" s="5">
        <v>58</v>
      </c>
      <c r="B49" s="1">
        <f t="shared" si="13"/>
        <v>2.555682416076114</v>
      </c>
      <c r="C49" s="5">
        <f t="shared" si="14"/>
        <v>176663.19035953563</v>
      </c>
      <c r="D49" s="5">
        <f t="shared" si="15"/>
        <v>169737.47317407557</v>
      </c>
      <c r="E49" s="5">
        <f t="shared" si="1"/>
        <v>160237.47317407557</v>
      </c>
      <c r="F49" s="5">
        <f t="shared" si="2"/>
        <v>63590.033167172813</v>
      </c>
      <c r="G49" s="5">
        <f t="shared" si="3"/>
        <v>106147.44000690276</v>
      </c>
      <c r="H49" s="22">
        <f t="shared" si="16"/>
        <v>78731.090469999399</v>
      </c>
      <c r="I49" s="5">
        <f t="shared" si="17"/>
        <v>181493.09358669218</v>
      </c>
      <c r="J49" s="26">
        <f t="shared" si="5"/>
        <v>0.25743068691676713</v>
      </c>
      <c r="L49" s="22">
        <f t="shared" si="18"/>
        <v>303295.55763645592</v>
      </c>
      <c r="M49" s="5">
        <f>scrimecost*Meta!O46</f>
        <v>348.10499999999996</v>
      </c>
      <c r="N49" s="5">
        <f>L49-Grade13!L49</f>
        <v>13072.815237689705</v>
      </c>
      <c r="O49" s="5">
        <f>Grade13!M49-M49</f>
        <v>2.7599999999999909</v>
      </c>
      <c r="P49" s="22">
        <f t="shared" si="12"/>
        <v>338.52633496462744</v>
      </c>
      <c r="Q49" s="22"/>
      <c r="R49" s="22"/>
      <c r="S49" s="22">
        <f t="shared" si="19"/>
        <v>8450.7715032043889</v>
      </c>
      <c r="T49" s="22">
        <f t="shared" si="20"/>
        <v>1860.9905298906913</v>
      </c>
    </row>
    <row r="50" spans="1:20" x14ac:dyDescent="0.2">
      <c r="A50" s="5">
        <v>59</v>
      </c>
      <c r="B50" s="1">
        <f t="shared" si="13"/>
        <v>2.6195744764780171</v>
      </c>
      <c r="C50" s="5">
        <f t="shared" si="14"/>
        <v>181079.770118524</v>
      </c>
      <c r="D50" s="5">
        <f t="shared" si="15"/>
        <v>173964.14000342746</v>
      </c>
      <c r="E50" s="5">
        <f t="shared" si="1"/>
        <v>164464.14000342746</v>
      </c>
      <c r="F50" s="5">
        <f t="shared" si="2"/>
        <v>65257.453231352127</v>
      </c>
      <c r="G50" s="5">
        <f t="shared" si="3"/>
        <v>108706.68677207534</v>
      </c>
      <c r="H50" s="22">
        <f t="shared" si="16"/>
        <v>80699.3677317494</v>
      </c>
      <c r="I50" s="5">
        <f t="shared" si="17"/>
        <v>185935.98169135951</v>
      </c>
      <c r="J50" s="26">
        <f t="shared" si="5"/>
        <v>0.25780765578837878</v>
      </c>
      <c r="L50" s="22">
        <f t="shared" si="18"/>
        <v>310877.94657736731</v>
      </c>
      <c r="M50" s="5">
        <f>scrimecost*Meta!O47</f>
        <v>348.10499999999996</v>
      </c>
      <c r="N50" s="5">
        <f>L50-Grade13!L50</f>
        <v>13399.635618632019</v>
      </c>
      <c r="O50" s="5">
        <f>Grade13!M50-M50</f>
        <v>2.7599999999999909</v>
      </c>
      <c r="P50" s="22">
        <f t="shared" si="12"/>
        <v>346.80285857366397</v>
      </c>
      <c r="Q50" s="22"/>
      <c r="R50" s="22"/>
      <c r="S50" s="22">
        <f t="shared" si="19"/>
        <v>8661.8332153553001</v>
      </c>
      <c r="T50" s="22">
        <f t="shared" si="20"/>
        <v>1834.8795682205639</v>
      </c>
    </row>
    <row r="51" spans="1:20" x14ac:dyDescent="0.2">
      <c r="A51" s="5">
        <v>60</v>
      </c>
      <c r="B51" s="1">
        <f t="shared" si="13"/>
        <v>2.6850638383899672</v>
      </c>
      <c r="C51" s="5">
        <f t="shared" si="14"/>
        <v>185606.76437148708</v>
      </c>
      <c r="D51" s="5">
        <f t="shared" si="15"/>
        <v>178296.47350351312</v>
      </c>
      <c r="E51" s="5">
        <f t="shared" si="1"/>
        <v>168796.47350351312</v>
      </c>
      <c r="F51" s="5">
        <f t="shared" si="2"/>
        <v>66966.55879713592</v>
      </c>
      <c r="G51" s="5">
        <f t="shared" si="3"/>
        <v>111329.9147063772</v>
      </c>
      <c r="H51" s="22">
        <f t="shared" si="16"/>
        <v>82716.851925043113</v>
      </c>
      <c r="I51" s="5">
        <f t="shared" si="17"/>
        <v>190489.94199864345</v>
      </c>
      <c r="J51" s="26">
        <f t="shared" si="5"/>
        <v>0.25817543029726825</v>
      </c>
      <c r="L51" s="22">
        <f t="shared" si="18"/>
        <v>318649.89524180151</v>
      </c>
      <c r="M51" s="5">
        <f>scrimecost*Meta!O48</f>
        <v>183.63800000000001</v>
      </c>
      <c r="N51" s="5">
        <f>L51-Grade13!L51</f>
        <v>13734.626509097812</v>
      </c>
      <c r="O51" s="5">
        <f>Grade13!M51-M51</f>
        <v>1.4559999999999889</v>
      </c>
      <c r="P51" s="22">
        <f t="shared" si="12"/>
        <v>355.28629527292651</v>
      </c>
      <c r="Q51" s="22"/>
      <c r="R51" s="22"/>
      <c r="S51" s="22">
        <f t="shared" si="19"/>
        <v>8877.1126223099327</v>
      </c>
      <c r="T51" s="22">
        <f t="shared" si="20"/>
        <v>1808.9202523490658</v>
      </c>
    </row>
    <row r="52" spans="1:20" x14ac:dyDescent="0.2">
      <c r="A52" s="5">
        <v>61</v>
      </c>
      <c r="B52" s="1">
        <f t="shared" si="13"/>
        <v>2.7521904343497163</v>
      </c>
      <c r="C52" s="5">
        <f t="shared" si="14"/>
        <v>190246.93348077426</v>
      </c>
      <c r="D52" s="5">
        <f t="shared" si="15"/>
        <v>182737.11534110096</v>
      </c>
      <c r="E52" s="5">
        <f t="shared" si="1"/>
        <v>173237.11534110096</v>
      </c>
      <c r="F52" s="5">
        <f t="shared" si="2"/>
        <v>68718.392002064327</v>
      </c>
      <c r="G52" s="5">
        <f t="shared" si="3"/>
        <v>114018.72333903663</v>
      </c>
      <c r="H52" s="22">
        <f t="shared" si="16"/>
        <v>84784.773223169192</v>
      </c>
      <c r="I52" s="5">
        <f t="shared" si="17"/>
        <v>195157.75131360954</v>
      </c>
      <c r="J52" s="26">
        <f t="shared" si="5"/>
        <v>0.25853423469618481</v>
      </c>
      <c r="L52" s="22">
        <f t="shared" si="18"/>
        <v>326616.14262284653</v>
      </c>
      <c r="M52" s="5">
        <f>scrimecost*Meta!O49</f>
        <v>183.63800000000001</v>
      </c>
      <c r="N52" s="5">
        <f>L52-Grade13!L52</f>
        <v>14077.992171825201</v>
      </c>
      <c r="O52" s="5">
        <f>Grade13!M52-M52</f>
        <v>1.4559999999999889</v>
      </c>
      <c r="P52" s="22">
        <f t="shared" si="12"/>
        <v>363.98181788967065</v>
      </c>
      <c r="Q52" s="22"/>
      <c r="R52" s="22"/>
      <c r="S52" s="22">
        <f t="shared" si="19"/>
        <v>9098.8593336384019</v>
      </c>
      <c r="T52" s="22">
        <f t="shared" si="20"/>
        <v>1783.547113648496</v>
      </c>
    </row>
    <row r="53" spans="1:20" x14ac:dyDescent="0.2">
      <c r="A53" s="5">
        <v>62</v>
      </c>
      <c r="B53" s="1">
        <f t="shared" si="13"/>
        <v>2.8209951952084591</v>
      </c>
      <c r="C53" s="5">
        <f t="shared" si="14"/>
        <v>195003.10681779362</v>
      </c>
      <c r="D53" s="5">
        <f t="shared" si="15"/>
        <v>187288.77322462847</v>
      </c>
      <c r="E53" s="5">
        <f t="shared" si="1"/>
        <v>177788.77322462847</v>
      </c>
      <c r="F53" s="5">
        <f t="shared" si="2"/>
        <v>70683.45969834736</v>
      </c>
      <c r="G53" s="5">
        <f t="shared" si="3"/>
        <v>116605.31352628111</v>
      </c>
      <c r="H53" s="22">
        <f t="shared" si="16"/>
        <v>86904.392553748417</v>
      </c>
      <c r="I53" s="5">
        <f t="shared" si="17"/>
        <v>199772.81720021833</v>
      </c>
      <c r="J53" s="26">
        <f t="shared" si="5"/>
        <v>0.25951233736970508</v>
      </c>
      <c r="L53" s="22">
        <f t="shared" si="18"/>
        <v>334781.54618841765</v>
      </c>
      <c r="M53" s="5">
        <f>scrimecost*Meta!O50</f>
        <v>183.63800000000001</v>
      </c>
      <c r="N53" s="5">
        <f>L53-Grade13!L53</f>
        <v>14429.941976120812</v>
      </c>
      <c r="O53" s="5">
        <f>Grade13!M53-M53</f>
        <v>1.4559999999999889</v>
      </c>
      <c r="P53" s="22">
        <f t="shared" si="12"/>
        <v>373.73576623840091</v>
      </c>
      <c r="Q53" s="22"/>
      <c r="R53" s="22"/>
      <c r="S53" s="22">
        <f t="shared" si="19"/>
        <v>9326.8326353353586</v>
      </c>
      <c r="T53" s="22">
        <f t="shared" si="20"/>
        <v>1758.6595000664865</v>
      </c>
    </row>
    <row r="54" spans="1:20" x14ac:dyDescent="0.2">
      <c r="A54" s="5">
        <v>63</v>
      </c>
      <c r="B54" s="1">
        <f t="shared" si="13"/>
        <v>2.8915200750886707</v>
      </c>
      <c r="C54" s="5">
        <f t="shared" si="14"/>
        <v>199878.18448823848</v>
      </c>
      <c r="D54" s="5">
        <f t="shared" si="15"/>
        <v>191954.2225552442</v>
      </c>
      <c r="E54" s="5">
        <f t="shared" si="1"/>
        <v>182454.2225552442</v>
      </c>
      <c r="F54" s="5">
        <f t="shared" si="2"/>
        <v>72757.251925806035</v>
      </c>
      <c r="G54" s="5">
        <f t="shared" si="3"/>
        <v>119196.97062943816</v>
      </c>
      <c r="H54" s="22">
        <f t="shared" si="16"/>
        <v>89077.002367592126</v>
      </c>
      <c r="I54" s="5">
        <f t="shared" si="17"/>
        <v>204443.66189522384</v>
      </c>
      <c r="J54" s="26">
        <f t="shared" si="5"/>
        <v>0.26068210412866766</v>
      </c>
      <c r="L54" s="22">
        <f t="shared" si="18"/>
        <v>343151.0848431281</v>
      </c>
      <c r="M54" s="5">
        <f>scrimecost*Meta!O51</f>
        <v>183.63800000000001</v>
      </c>
      <c r="N54" s="5">
        <f>L54-Grade13!L54</f>
        <v>14790.690525523969</v>
      </c>
      <c r="O54" s="5">
        <f>Grade13!M54-M54</f>
        <v>1.4559999999999889</v>
      </c>
      <c r="P54" s="22">
        <f t="shared" si="12"/>
        <v>384.02938732376668</v>
      </c>
      <c r="Q54" s="22"/>
      <c r="R54" s="22"/>
      <c r="S54" s="22">
        <f t="shared" si="19"/>
        <v>9560.7454786855051</v>
      </c>
      <c r="T54" s="22">
        <f t="shared" si="20"/>
        <v>1734.1604575904569</v>
      </c>
    </row>
    <row r="55" spans="1:20" x14ac:dyDescent="0.2">
      <c r="A55" s="5">
        <v>64</v>
      </c>
      <c r="B55" s="1">
        <f t="shared" si="13"/>
        <v>2.9638080769658868</v>
      </c>
      <c r="C55" s="5">
        <f t="shared" si="14"/>
        <v>204875.13910044436</v>
      </c>
      <c r="D55" s="5">
        <f t="shared" si="15"/>
        <v>196736.30811912523</v>
      </c>
      <c r="E55" s="5">
        <f t="shared" si="1"/>
        <v>187236.30811912523</v>
      </c>
      <c r="F55" s="5">
        <f t="shared" si="2"/>
        <v>74882.888958951167</v>
      </c>
      <c r="G55" s="5">
        <f t="shared" si="3"/>
        <v>121853.41916017406</v>
      </c>
      <c r="H55" s="22">
        <f t="shared" si="16"/>
        <v>91303.927426781898</v>
      </c>
      <c r="I55" s="5">
        <f t="shared" si="17"/>
        <v>209231.27770760434</v>
      </c>
      <c r="J55" s="26">
        <f t="shared" si="5"/>
        <v>0.26182333999107027</v>
      </c>
      <c r="L55" s="22">
        <f t="shared" si="18"/>
        <v>351729.86196420627</v>
      </c>
      <c r="M55" s="5">
        <f>scrimecost*Meta!O52</f>
        <v>183.63800000000001</v>
      </c>
      <c r="N55" s="5">
        <f>L55-Grade13!L55</f>
        <v>15160.457788661937</v>
      </c>
      <c r="O55" s="5">
        <f>Grade13!M55-M55</f>
        <v>1.4559999999999889</v>
      </c>
      <c r="P55" s="22">
        <f t="shared" si="12"/>
        <v>394.58034893626672</v>
      </c>
      <c r="Q55" s="22"/>
      <c r="R55" s="22"/>
      <c r="S55" s="22">
        <f t="shared" si="19"/>
        <v>9800.5061431192389</v>
      </c>
      <c r="T55" s="22">
        <f t="shared" si="20"/>
        <v>1709.9994524937265</v>
      </c>
    </row>
    <row r="56" spans="1:20" x14ac:dyDescent="0.2">
      <c r="A56" s="5">
        <v>65</v>
      </c>
      <c r="B56" s="1">
        <f t="shared" si="13"/>
        <v>3.0379032788900342</v>
      </c>
      <c r="C56" s="5">
        <f t="shared" si="14"/>
        <v>209997.0175779555</v>
      </c>
      <c r="D56" s="5">
        <f t="shared" si="15"/>
        <v>201637.94582210339</v>
      </c>
      <c r="E56" s="5">
        <f t="shared" si="1"/>
        <v>192137.94582210339</v>
      </c>
      <c r="F56" s="5">
        <f t="shared" si="2"/>
        <v>77061.666917924958</v>
      </c>
      <c r="G56" s="5">
        <f t="shared" si="3"/>
        <v>124576.27890417843</v>
      </c>
      <c r="H56" s="22">
        <f t="shared" si="16"/>
        <v>93586.525612451456</v>
      </c>
      <c r="I56" s="5">
        <f t="shared" si="17"/>
        <v>214138.58391529447</v>
      </c>
      <c r="J56" s="26">
        <f t="shared" si="5"/>
        <v>0.26293674083243868</v>
      </c>
      <c r="L56" s="22">
        <f t="shared" si="18"/>
        <v>360523.10851331142</v>
      </c>
      <c r="M56" s="5">
        <f>scrimecost*Meta!O53</f>
        <v>55.494999999999997</v>
      </c>
      <c r="N56" s="5">
        <f>L56-Grade13!L56</f>
        <v>15539.469233378593</v>
      </c>
      <c r="O56" s="5">
        <f>Grade13!M56-M56</f>
        <v>0.44000000000000483</v>
      </c>
      <c r="P56" s="22">
        <f t="shared" si="12"/>
        <v>405.39508458907926</v>
      </c>
      <c r="Q56" s="22"/>
      <c r="R56" s="22"/>
      <c r="S56" s="22">
        <f t="shared" si="19"/>
        <v>10045.435832163967</v>
      </c>
      <c r="T56" s="22">
        <f t="shared" si="20"/>
        <v>1686.0334775137665</v>
      </c>
    </row>
    <row r="57" spans="1:20" x14ac:dyDescent="0.2">
      <c r="A57" s="5">
        <v>66</v>
      </c>
      <c r="C57" s="5"/>
      <c r="H57" s="21"/>
      <c r="I57" s="5"/>
      <c r="M57" s="5">
        <f>scrimecost*Meta!O54</f>
        <v>55.494999999999997</v>
      </c>
      <c r="N57" s="5">
        <f>L57-Grade13!L57</f>
        <v>0</v>
      </c>
      <c r="O57" s="5">
        <f>Grade13!M57-M57</f>
        <v>0.44000000000000483</v>
      </c>
      <c r="Q57" s="22"/>
      <c r="R57" s="22"/>
      <c r="S57" s="22">
        <f t="shared" si="19"/>
        <v>0.35728000000000393</v>
      </c>
      <c r="T57" s="22">
        <f t="shared" si="20"/>
        <v>5.768409178584076E-2</v>
      </c>
    </row>
    <row r="58" spans="1:20" x14ac:dyDescent="0.2">
      <c r="A58" s="5">
        <v>67</v>
      </c>
      <c r="C58" s="5"/>
      <c r="H58" s="21"/>
      <c r="I58" s="5"/>
      <c r="M58" s="5">
        <f>scrimecost*Meta!O55</f>
        <v>55.494999999999997</v>
      </c>
      <c r="N58" s="5">
        <f>L58-Grade13!L58</f>
        <v>0</v>
      </c>
      <c r="O58" s="5">
        <f>Grade13!M58-M58</f>
        <v>0.44000000000000483</v>
      </c>
      <c r="Q58" s="22"/>
      <c r="R58" s="22"/>
      <c r="S58" s="22">
        <f t="shared" si="19"/>
        <v>0.35728000000000393</v>
      </c>
      <c r="T58" s="22">
        <f t="shared" si="20"/>
        <v>5.5488885609510277E-2</v>
      </c>
    </row>
    <row r="59" spans="1:20" x14ac:dyDescent="0.2">
      <c r="A59" s="5">
        <v>68</v>
      </c>
      <c r="H59" s="21"/>
      <c r="I59" s="5"/>
      <c r="M59" s="5">
        <f>scrimecost*Meta!O56</f>
        <v>55.494999999999997</v>
      </c>
      <c r="N59" s="5">
        <f>L59-Grade13!L59</f>
        <v>0</v>
      </c>
      <c r="O59" s="5">
        <f>Grade13!M59-M59</f>
        <v>0.44000000000000483</v>
      </c>
      <c r="Q59" s="22"/>
      <c r="R59" s="22"/>
      <c r="S59" s="22">
        <f t="shared" si="19"/>
        <v>0.35728000000000393</v>
      </c>
      <c r="T59" s="22">
        <f t="shared" si="20"/>
        <v>5.3377219452748634E-2</v>
      </c>
    </row>
    <row r="60" spans="1:20" x14ac:dyDescent="0.2">
      <c r="A60" s="5">
        <v>69</v>
      </c>
      <c r="H60" s="21"/>
      <c r="I60" s="5"/>
      <c r="M60" s="5">
        <f>scrimecost*Meta!O57</f>
        <v>55.494999999999997</v>
      </c>
      <c r="N60" s="5">
        <f>L60-Grade13!L60</f>
        <v>0</v>
      </c>
      <c r="O60" s="5">
        <f>Grade13!M60-M60</f>
        <v>0.44000000000000483</v>
      </c>
      <c r="Q60" s="22"/>
      <c r="R60" s="22"/>
      <c r="S60" s="22">
        <f t="shared" si="19"/>
        <v>0.35728000000000393</v>
      </c>
      <c r="T60" s="22">
        <f t="shared" si="20"/>
        <v>5.1345914144986411E-2</v>
      </c>
    </row>
    <row r="61" spans="1:20" x14ac:dyDescent="0.2">
      <c r="A61" s="5">
        <v>70</v>
      </c>
      <c r="H61" s="21"/>
      <c r="I61" s="5"/>
      <c r="M61" s="5">
        <f>scrimecost*Meta!O58</f>
        <v>55.494999999999997</v>
      </c>
      <c r="N61" s="5">
        <f>L61-Grade13!L61</f>
        <v>0</v>
      </c>
      <c r="O61" s="5">
        <f>Grade13!M61-M61</f>
        <v>0.44000000000000483</v>
      </c>
      <c r="Q61" s="22"/>
      <c r="R61" s="22"/>
      <c r="S61" s="22">
        <f t="shared" si="19"/>
        <v>0.35728000000000393</v>
      </c>
      <c r="T61" s="22">
        <f t="shared" si="20"/>
        <v>4.9391911501088043E-2</v>
      </c>
    </row>
    <row r="62" spans="1:20" x14ac:dyDescent="0.2">
      <c r="A62" s="5">
        <v>71</v>
      </c>
      <c r="H62" s="21"/>
      <c r="I62" s="5"/>
      <c r="M62" s="5">
        <f>scrimecost*Meta!O59</f>
        <v>55.494999999999997</v>
      </c>
      <c r="N62" s="5">
        <f>L62-Grade13!L62</f>
        <v>0</v>
      </c>
      <c r="O62" s="5">
        <f>Grade13!M62-M62</f>
        <v>0.44000000000000483</v>
      </c>
      <c r="Q62" s="22"/>
      <c r="R62" s="22"/>
      <c r="S62" s="22">
        <f t="shared" si="19"/>
        <v>0.35728000000000393</v>
      </c>
      <c r="T62" s="22">
        <f t="shared" si="20"/>
        <v>4.7512269717171263E-2</v>
      </c>
    </row>
    <row r="63" spans="1:20" x14ac:dyDescent="0.2">
      <c r="A63" s="5">
        <v>72</v>
      </c>
      <c r="H63" s="21"/>
      <c r="M63" s="5">
        <f>scrimecost*Meta!O60</f>
        <v>55.494999999999997</v>
      </c>
      <c r="N63" s="5">
        <f>L63-Grade13!L63</f>
        <v>0</v>
      </c>
      <c r="O63" s="5">
        <f>Grade13!M63-M63</f>
        <v>0.44000000000000483</v>
      </c>
      <c r="Q63" s="22"/>
      <c r="R63" s="22"/>
      <c r="S63" s="22">
        <f t="shared" si="19"/>
        <v>0.35728000000000393</v>
      </c>
      <c r="T63" s="22">
        <f t="shared" si="20"/>
        <v>4.5704158941641718E-2</v>
      </c>
    </row>
    <row r="64" spans="1:20" x14ac:dyDescent="0.2">
      <c r="A64" s="5">
        <v>73</v>
      </c>
      <c r="H64" s="21"/>
      <c r="M64" s="5">
        <f>scrimecost*Meta!O61</f>
        <v>55.494999999999997</v>
      </c>
      <c r="N64" s="5">
        <f>L64-Grade13!L64</f>
        <v>0</v>
      </c>
      <c r="O64" s="5">
        <f>Grade13!M64-M64</f>
        <v>0.44000000000000483</v>
      </c>
      <c r="Q64" s="22"/>
      <c r="R64" s="22"/>
      <c r="S64" s="22">
        <f t="shared" si="19"/>
        <v>0.35728000000000393</v>
      </c>
      <c r="T64" s="22">
        <f t="shared" si="20"/>
        <v>4.3964857014774782E-2</v>
      </c>
    </row>
    <row r="65" spans="1:20" x14ac:dyDescent="0.2">
      <c r="A65" s="5">
        <v>74</v>
      </c>
      <c r="H65" s="21"/>
      <c r="M65" s="5">
        <f>scrimecost*Meta!O62</f>
        <v>55.494999999999997</v>
      </c>
      <c r="N65" s="5">
        <f>L65-Grade13!L65</f>
        <v>0</v>
      </c>
      <c r="O65" s="5">
        <f>Grade13!M65-M65</f>
        <v>0.44000000000000483</v>
      </c>
      <c r="Q65" s="22"/>
      <c r="R65" s="22"/>
      <c r="S65" s="22">
        <f t="shared" si="19"/>
        <v>0.35728000000000393</v>
      </c>
      <c r="T65" s="22">
        <f t="shared" si="20"/>
        <v>4.2291745370430407E-2</v>
      </c>
    </row>
    <row r="66" spans="1:20" x14ac:dyDescent="0.2">
      <c r="A66" s="5">
        <v>75</v>
      </c>
      <c r="H66" s="21"/>
      <c r="M66" s="5">
        <f>scrimecost*Meta!O63</f>
        <v>55.494999999999997</v>
      </c>
      <c r="N66" s="5">
        <f>L66-Grade13!L66</f>
        <v>0</v>
      </c>
      <c r="O66" s="5">
        <f>Grade13!M66-M66</f>
        <v>0.44000000000000483</v>
      </c>
      <c r="Q66" s="22"/>
      <c r="R66" s="22"/>
      <c r="S66" s="22">
        <f t="shared" si="19"/>
        <v>0.35728000000000393</v>
      </c>
      <c r="T66" s="22">
        <f t="shared" si="20"/>
        <v>4.0682305093730865E-2</v>
      </c>
    </row>
    <row r="67" spans="1:20" x14ac:dyDescent="0.2">
      <c r="A67" s="5">
        <v>76</v>
      </c>
      <c r="H67" s="21"/>
      <c r="M67" s="5">
        <f>scrimecost*Meta!O64</f>
        <v>55.494999999999997</v>
      </c>
      <c r="N67" s="5">
        <f>L67-Grade13!L67</f>
        <v>0</v>
      </c>
      <c r="O67" s="5">
        <f>Grade13!M67-M67</f>
        <v>0.44000000000000483</v>
      </c>
      <c r="Q67" s="22"/>
      <c r="R67" s="22"/>
      <c r="S67" s="22">
        <f t="shared" si="19"/>
        <v>0.35728000000000393</v>
      </c>
      <c r="T67" s="22">
        <f t="shared" si="20"/>
        <v>3.9134113128766267E-2</v>
      </c>
    </row>
    <row r="68" spans="1:20" x14ac:dyDescent="0.2">
      <c r="A68" s="5">
        <v>77</v>
      </c>
      <c r="H68" s="21"/>
      <c r="M68" s="5">
        <f>scrimecost*Meta!O65</f>
        <v>55.494999999999997</v>
      </c>
      <c r="N68" s="5">
        <f>L68-Grade13!L68</f>
        <v>0</v>
      </c>
      <c r="O68" s="5">
        <f>Grade13!M68-M68</f>
        <v>0.44000000000000483</v>
      </c>
      <c r="Q68" s="22"/>
      <c r="R68" s="22"/>
      <c r="S68" s="22">
        <f t="shared" si="19"/>
        <v>0.35728000000000393</v>
      </c>
      <c r="T68" s="22">
        <f t="shared" si="20"/>
        <v>3.7644838630618231E-2</v>
      </c>
    </row>
    <row r="69" spans="1:20" x14ac:dyDescent="0.2">
      <c r="A69" s="5">
        <v>78</v>
      </c>
      <c r="H69" s="21"/>
      <c r="M69" s="5">
        <f>scrimecost*Meta!O66</f>
        <v>55.494999999999997</v>
      </c>
      <c r="N69" s="5">
        <f>L69-Grade13!L69</f>
        <v>0</v>
      </c>
      <c r="O69" s="5">
        <f>Grade13!M69-M69</f>
        <v>0.44000000000000483</v>
      </c>
      <c r="Q69" s="22"/>
      <c r="R69" s="22"/>
      <c r="S69" s="22">
        <f t="shared" si="19"/>
        <v>0.35728000000000393</v>
      </c>
      <c r="T69" s="22">
        <f t="shared" si="20"/>
        <v>3.6212239456209765E-2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-1.633114476984332E-11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272</vt:i4>
      </vt:variant>
    </vt:vector>
  </HeadingPairs>
  <TitlesOfParts>
    <vt:vector size="285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Meta!_edn1</vt:lpstr>
      <vt:lpstr>Output!_edn1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Grade10!benrat</vt:lpstr>
      <vt:lpstr>Grade11!benrat</vt:lpstr>
      <vt:lpstr>Grade12!benrat</vt:lpstr>
      <vt:lpstr>Grade13!benrat</vt:lpstr>
      <vt:lpstr>Grade14!benrat</vt:lpstr>
      <vt:lpstr>Grade15!benrat</vt:lpstr>
      <vt:lpstr>Grade16!benrat</vt:lpstr>
      <vt:lpstr>Grade17!benrat</vt:lpstr>
      <vt:lpstr>Grade18!benrat</vt:lpstr>
      <vt:lpstr>Grade9!benrat</vt:lpstr>
      <vt:lpstr>benrat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Grade10!comprat</vt:lpstr>
      <vt:lpstr>Grade11!comprat</vt:lpstr>
      <vt:lpstr>Grade12!comprat</vt:lpstr>
      <vt:lpstr>Grade13!comprat</vt:lpstr>
      <vt:lpstr>Grade14!comprat</vt:lpstr>
      <vt:lpstr>Grade15!comprat</vt:lpstr>
      <vt:lpstr>Grade16!comprat</vt:lpstr>
      <vt:lpstr>Grade17!comprat</vt:lpstr>
      <vt:lpstr>Grade18!comprat</vt:lpstr>
      <vt:lpstr>Grade9!comprat</vt:lpstr>
      <vt:lpstr>comprat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Grade10!initialpart</vt:lpstr>
      <vt:lpstr>Grade11!initialpart</vt:lpstr>
      <vt:lpstr>Grade12!initialpart</vt:lpstr>
      <vt:lpstr>Grade13!initialpart</vt:lpstr>
      <vt:lpstr>Grade14!initialpart</vt:lpstr>
      <vt:lpstr>Grade15!initialpart</vt:lpstr>
      <vt:lpstr>Grade16!initialpart</vt:lpstr>
      <vt:lpstr>Grade17!initialpart</vt:lpstr>
      <vt:lpstr>Grade18!initialpart</vt:lpstr>
      <vt:lpstr>initialpart</vt:lpstr>
      <vt:lpstr>Grade10!initialspart</vt:lpstr>
      <vt:lpstr>Grade11!initialspart</vt:lpstr>
      <vt:lpstr>Grade12!initialspart</vt:lpstr>
      <vt:lpstr>Grade13!initialspart</vt:lpstr>
      <vt:lpstr>Grade14!initialspart</vt:lpstr>
      <vt:lpstr>Grade15!initialspart</vt:lpstr>
      <vt:lpstr>Grade16!initialspart</vt:lpstr>
      <vt:lpstr>Grade17!initialspart</vt:lpstr>
      <vt:lpstr>Grade18!initialspart</vt:lpstr>
      <vt:lpstr>initialspart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nptrans</vt:lpstr>
      <vt:lpstr>part10</vt:lpstr>
      <vt:lpstr>part11</vt:lpstr>
      <vt:lpstr>part12</vt:lpstr>
      <vt:lpstr>part13</vt:lpstr>
      <vt:lpstr>part14</vt:lpstr>
      <vt:lpstr>part15</vt:lpstr>
      <vt:lpstr>part16</vt:lpstr>
      <vt:lpstr>part17</vt:lpstr>
      <vt:lpstr>part18</vt:lpstr>
      <vt:lpstr>part8</vt:lpstr>
      <vt:lpstr>part9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returntoexperience</vt:lpstr>
      <vt:lpstr>Grade10!sbenefits</vt:lpstr>
      <vt:lpstr>Grade11!sbenefits</vt:lpstr>
      <vt:lpstr>Grade12!sbenefits</vt:lpstr>
      <vt:lpstr>Grade13!sbenefits</vt:lpstr>
      <vt:lpstr>Grade14!sbenefits</vt:lpstr>
      <vt:lpstr>Grade15!sbenefits</vt:lpstr>
      <vt:lpstr>Grade16!sbenefits</vt:lpstr>
      <vt:lpstr>Grade17!sbenefits</vt:lpstr>
      <vt:lpstr>Grade18!sbenefits</vt:lpstr>
      <vt:lpstr>Grade9!sbenefits</vt:lpstr>
      <vt:lpstr>sbenefits</vt:lpstr>
      <vt:lpstr>Grade10!scrimecost</vt:lpstr>
      <vt:lpstr>Grade11!scrimecost</vt:lpstr>
      <vt:lpstr>Grade12!scrimecost</vt:lpstr>
      <vt:lpstr>Grade13!scrimecost</vt:lpstr>
      <vt:lpstr>Grade14!scrimecost</vt:lpstr>
      <vt:lpstr>Grade15!scrimecost</vt:lpstr>
      <vt:lpstr>Grade16!scrimecost</vt:lpstr>
      <vt:lpstr>Grade17!scrimecost</vt:lpstr>
      <vt:lpstr>Grade18!scrimecost</vt:lpstr>
      <vt:lpstr>Grade9!scrimecost</vt:lpstr>
      <vt:lpstr>scrimecost</vt:lpstr>
      <vt:lpstr>Grade10!sincome</vt:lpstr>
      <vt:lpstr>Grade11!sincome</vt:lpstr>
      <vt:lpstr>Grade12!sincome</vt:lpstr>
      <vt:lpstr>Grade13!sincome</vt:lpstr>
      <vt:lpstr>Grade14!sincome</vt:lpstr>
      <vt:lpstr>Grade15!sincome</vt:lpstr>
      <vt:lpstr>Grade16!sincome</vt:lpstr>
      <vt:lpstr>Grade17!sincome</vt:lpstr>
      <vt:lpstr>Grade18!sincome</vt:lpstr>
      <vt:lpstr>Grade9!sincome</vt:lpstr>
      <vt:lpstr>sincome</vt:lpstr>
      <vt:lpstr>Grade10!spart</vt:lpstr>
      <vt:lpstr>Grade11!spart</vt:lpstr>
      <vt:lpstr>Grade12!spart</vt:lpstr>
      <vt:lpstr>Grade13!spart</vt:lpstr>
      <vt:lpstr>Grade14!spart</vt:lpstr>
      <vt:lpstr>Grade15!spart</vt:lpstr>
      <vt:lpstr>Grade16!spart</vt:lpstr>
      <vt:lpstr>Grade17!spart</vt:lpstr>
      <vt:lpstr>Grade18!spart</vt:lpstr>
      <vt:lpstr>Grade9!spart</vt:lpstr>
      <vt:lpstr>spart</vt:lpstr>
      <vt:lpstr>Grade10!sreturn</vt:lpstr>
      <vt:lpstr>Grade11!sreturn</vt:lpstr>
      <vt:lpstr>Grade12!sreturn</vt:lpstr>
      <vt:lpstr>Grade13!sreturn</vt:lpstr>
      <vt:lpstr>Grade14!sreturn</vt:lpstr>
      <vt:lpstr>Grade15!sreturn</vt:lpstr>
      <vt:lpstr>Grade16!sreturn</vt:lpstr>
      <vt:lpstr>Grade17!sreturn</vt:lpstr>
      <vt:lpstr>Grade18!sreturn</vt:lpstr>
      <vt:lpstr>sreturn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Grade10!sunemp</vt:lpstr>
      <vt:lpstr>Grade11!sunemp</vt:lpstr>
      <vt:lpstr>Grade12!sunemp</vt:lpstr>
      <vt:lpstr>Grade13!sunemp</vt:lpstr>
      <vt:lpstr>Grade14!sunemp</vt:lpstr>
      <vt:lpstr>Grade15!sunemp</vt:lpstr>
      <vt:lpstr>Grade16!sunemp</vt:lpstr>
      <vt:lpstr>Grade17!sunemp</vt:lpstr>
      <vt:lpstr>Grade18!sunemp</vt:lpstr>
      <vt:lpstr>Grade9!sunemp</vt:lpstr>
      <vt:lpstr>sunemp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  <vt:lpstr>Grade10!unempprob8</vt:lpstr>
      <vt:lpstr>Grade11!unempprob8</vt:lpstr>
      <vt:lpstr>Grade12!unempprob8</vt:lpstr>
      <vt:lpstr>Grade13!unempprob8</vt:lpstr>
      <vt:lpstr>Grade14!unempprob8</vt:lpstr>
      <vt:lpstr>Grade15!unempprob8</vt:lpstr>
      <vt:lpstr>Grade16!unempprob8</vt:lpstr>
      <vt:lpstr>Grade17!unempprob8</vt:lpstr>
      <vt:lpstr>Grade18!unempprob8</vt:lpstr>
      <vt:lpstr>Grade9!unempprob8</vt:lpstr>
      <vt:lpstr>unempprob8</vt:lpstr>
      <vt:lpstr>Grade10!unempproby8</vt:lpstr>
      <vt:lpstr>Grade11!unempproby8</vt:lpstr>
      <vt:lpstr>Grade12!unempproby8</vt:lpstr>
      <vt:lpstr>Grade13!unempproby8</vt:lpstr>
      <vt:lpstr>Grade14!unempproby8</vt:lpstr>
      <vt:lpstr>Grade15!unempproby8</vt:lpstr>
      <vt:lpstr>Grade16!unempproby8</vt:lpstr>
      <vt:lpstr>Grade17!unempproby8</vt:lpstr>
      <vt:lpstr>Grade18!unempproby8</vt:lpstr>
      <vt:lpstr>Grade9!unempproby8</vt:lpstr>
      <vt:lpstr>unempproby8</vt:lpstr>
    </vt:vector>
  </TitlesOfParts>
  <Company>GMU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root</cp:lastModifiedBy>
  <dcterms:created xsi:type="dcterms:W3CDTF">2014-05-28T17:05:58Z</dcterms:created>
  <dcterms:modified xsi:type="dcterms:W3CDTF">2017-09-08T19:14:40Z</dcterms:modified>
</cp:coreProperties>
</file>