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research\edubook2014oct\social return - cut\"/>
    </mc:Choice>
  </mc:AlternateContent>
  <bookViews>
    <workbookView xWindow="-1920" yWindow="600" windowWidth="14940" windowHeight="4920" tabRatio="829"/>
  </bookViews>
  <sheets>
    <sheet name="Meta" sheetId="1" r:id="rId1"/>
    <sheet name="CompletionProb" sheetId="36" r:id="rId2"/>
    <sheet name="ExcellentStudent" sheetId="6" r:id="rId3"/>
    <sheet name="GoodStudent" sheetId="25" r:id="rId4"/>
    <sheet name="FairStudent" sheetId="28" r:id="rId5"/>
    <sheet name="PoorStudent" sheetId="29" r:id="rId6"/>
    <sheet name="ExcellentStudentCon" sheetId="32" r:id="rId7"/>
    <sheet name="GoodStudentCon" sheetId="42" r:id="rId8"/>
    <sheet name="FairStudentCon" sheetId="41" r:id="rId9"/>
    <sheet name="PoorStudentCon" sheetId="43" r:id="rId10"/>
    <sheet name="ExcellentStudentReas" sheetId="44" r:id="rId11"/>
    <sheet name="GoodStudentReas" sheetId="45" r:id="rId12"/>
    <sheet name="FairStudentReas" sheetId="46" r:id="rId13"/>
    <sheet name="PoorStudentReas" sheetId="47" r:id="rId14"/>
  </sheets>
  <definedNames>
    <definedName name="abilitybias">Meta!$B$15</definedName>
    <definedName name="basebenefits" localSheetId="6">ExcellentStudentCon!$C$2</definedName>
    <definedName name="basebenefits" localSheetId="10">ExcellentStudentReas!$C$2</definedName>
    <definedName name="basebenefits" localSheetId="4">FairStudent!$C$2</definedName>
    <definedName name="basebenefits" localSheetId="8">FairStudentCon!$C$2</definedName>
    <definedName name="basebenefits" localSheetId="12">FairStudentReas!$C$2</definedName>
    <definedName name="basebenefits" localSheetId="3">GoodStudent!$C$2</definedName>
    <definedName name="basebenefits" localSheetId="7">GoodStudentCon!$C$2</definedName>
    <definedName name="basebenefits" localSheetId="11">GoodStudentReas!$C$2</definedName>
    <definedName name="basebenefits" localSheetId="5">PoorStudent!$C$2</definedName>
    <definedName name="basebenefits" localSheetId="9">PoorStudentCon!$C$2</definedName>
    <definedName name="basebenefits" localSheetId="13">PoorStudentReas!$C$2</definedName>
    <definedName name="basebenefits">ExcellentStudent!$C$2</definedName>
    <definedName name="basecrime" localSheetId="10">ExcellentStudentReas!$J$2</definedName>
    <definedName name="basecrime" localSheetId="8">FairStudentCon!$J$2</definedName>
    <definedName name="basecrime" localSheetId="12">FairStudentReas!$J$2</definedName>
    <definedName name="basecrime" localSheetId="7">GoodStudentCon!$J$2</definedName>
    <definedName name="basecrime" localSheetId="11">GoodStudentReas!$J$2</definedName>
    <definedName name="basecrime" localSheetId="9">PoorStudentCon!$J$2</definedName>
    <definedName name="basecrime" localSheetId="13">PoorStudentReas!$J$2</definedName>
    <definedName name="basecrime">ExcellentStudentCon!$J$2</definedName>
    <definedName name="baseincome" localSheetId="2">ExcellentStudent!$B$2</definedName>
    <definedName name="baseincome" localSheetId="6">ExcellentStudentCon!$B$2</definedName>
    <definedName name="baseincome" localSheetId="10">ExcellentStudentReas!$B$2</definedName>
    <definedName name="baseincome" localSheetId="4">FairStudent!$B$2</definedName>
    <definedName name="baseincome" localSheetId="8">FairStudentCon!$B$2</definedName>
    <definedName name="baseincome" localSheetId="12">FairStudentReas!$B$2</definedName>
    <definedName name="baseincome" localSheetId="3">GoodStudent!$B$2</definedName>
    <definedName name="baseincome" localSheetId="7">GoodStudentCon!$B$2</definedName>
    <definedName name="baseincome" localSheetId="11">GoodStudentReas!$B$2</definedName>
    <definedName name="baseincome" localSheetId="5">PoorStudent!$B$2</definedName>
    <definedName name="baseincome" localSheetId="9">PoorStudentCon!$B$2</definedName>
    <definedName name="baseincome" localSheetId="13">PoorStudentReas!$B$2</definedName>
    <definedName name="baseincome">#REF!</definedName>
    <definedName name="basepart" localSheetId="6">ExcellentStudentCon!$H$2</definedName>
    <definedName name="basepart" localSheetId="10">ExcellentStudentReas!$H$2</definedName>
    <definedName name="basepart" localSheetId="4">FairStudent!$H$2</definedName>
    <definedName name="basepart" localSheetId="8">FairStudentCon!$H$2</definedName>
    <definedName name="basepart" localSheetId="12">FairStudentReas!$H$2</definedName>
    <definedName name="basepart" localSheetId="3">GoodStudent!$H$2</definedName>
    <definedName name="basepart" localSheetId="7">GoodStudentCon!$H$2</definedName>
    <definedName name="basepart" localSheetId="11">GoodStudentReas!$H$2</definedName>
    <definedName name="basepart" localSheetId="5">PoorStudent!$H$2</definedName>
    <definedName name="basepart" localSheetId="9">PoorStudentCon!$H$2</definedName>
    <definedName name="basepart" localSheetId="13">PoorStudentReas!$H$2</definedName>
    <definedName name="basepart">ExcellentStudent!$H$2</definedName>
    <definedName name="baseunemp" localSheetId="2">ExcellentStudent!$D$2</definedName>
    <definedName name="baseunemp" localSheetId="6">ExcellentStudentCon!$D$2</definedName>
    <definedName name="baseunemp" localSheetId="10">ExcellentStudentReas!$D$2</definedName>
    <definedName name="baseunemp" localSheetId="4">FairStudent!$D$2</definedName>
    <definedName name="baseunemp" localSheetId="8">FairStudentCon!$D$2</definedName>
    <definedName name="baseunemp" localSheetId="12">FairStudentReas!$D$2</definedName>
    <definedName name="baseunemp" localSheetId="3">GoodStudent!$D$2</definedName>
    <definedName name="baseunemp" localSheetId="7">GoodStudentCon!$D$2</definedName>
    <definedName name="baseunemp" localSheetId="11">GoodStudentReas!$D$2</definedName>
    <definedName name="baseunemp" localSheetId="5">PoorStudent!$D$2</definedName>
    <definedName name="baseunemp" localSheetId="9">PoorStudentCon!$D$2</definedName>
    <definedName name="baseunemp" localSheetId="13">PoorStudentReas!$D$2</definedName>
    <definedName name="baseunemp">#REF!</definedName>
    <definedName name="benefitsindex" localSheetId="6">ExcellentStudentCon!$F$2</definedName>
    <definedName name="benefitsindex" localSheetId="10">ExcellentStudentReas!$F$2</definedName>
    <definedName name="benefitsindex" localSheetId="4">FairStudent!$F$2</definedName>
    <definedName name="benefitsindex" localSheetId="8">FairStudentCon!$F$2</definedName>
    <definedName name="benefitsindex" localSheetId="12">FairStudentReas!$F$2</definedName>
    <definedName name="benefitsindex" localSheetId="3">GoodStudent!$F$2</definedName>
    <definedName name="benefitsindex" localSheetId="7">GoodStudentCon!$F$2</definedName>
    <definedName name="benefitsindex" localSheetId="11">GoodStudentReas!$F$2</definedName>
    <definedName name="benefitsindex" localSheetId="5">PoorStudent!$F$2</definedName>
    <definedName name="benefitsindex" localSheetId="9">PoorStudentCon!$F$2</definedName>
    <definedName name="benefitsindex" localSheetId="13">PoorStudentReas!$F$2</definedName>
    <definedName name="benefitsindex">ExcellentStudent!$F$2</definedName>
    <definedName name="cabilitybias">Meta!$D$15</definedName>
    <definedName name="colprem">Meta!$G$15</definedName>
    <definedName name="crimeindex" localSheetId="10">ExcellentStudentReas!#REF!</definedName>
    <definedName name="crimeindex" localSheetId="8">FairStudentCon!$K$2</definedName>
    <definedName name="crimeindex" localSheetId="12">FairStudentReas!#REF!</definedName>
    <definedName name="crimeindex" localSheetId="7">GoodStudentCon!$K$2</definedName>
    <definedName name="crimeindex" localSheetId="11">GoodStudentReas!#REF!</definedName>
    <definedName name="crimeindex" localSheetId="9">PoorStudentCon!$K$2</definedName>
    <definedName name="crimeindex" localSheetId="13">PoorStudentReas!#REF!</definedName>
    <definedName name="crimeindex">ExcellentStudentCon!$K$2</definedName>
    <definedName name="fullpart">Meta!$E$15</definedName>
    <definedName name="hsincgrowth">Meta!$I$29</definedName>
    <definedName name="hsprem">Meta!$F$15</definedName>
    <definedName name="incomeindex" localSheetId="2">ExcellentStudent!$E$2</definedName>
    <definedName name="incomeindex" localSheetId="6">ExcellentStudentCon!$E$2</definedName>
    <definedName name="incomeindex" localSheetId="10">ExcellentStudentReas!$E$2</definedName>
    <definedName name="incomeindex" localSheetId="4">FairStudent!$E$2</definedName>
    <definedName name="incomeindex" localSheetId="8">FairStudentCon!$E$2</definedName>
    <definedName name="incomeindex" localSheetId="12">FairStudentReas!$E$2</definedName>
    <definedName name="incomeindex" localSheetId="3">GoodStudent!$E$2</definedName>
    <definedName name="incomeindex" localSheetId="7">GoodStudentCon!$E$2</definedName>
    <definedName name="incomeindex" localSheetId="11">GoodStudentReas!$E$2</definedName>
    <definedName name="incomeindex" localSheetId="5">PoorStudent!$E$2</definedName>
    <definedName name="incomeindex" localSheetId="9">PoorStudentCon!$E$2</definedName>
    <definedName name="incomeindex" localSheetId="13">PoorStudentReas!$E$2</definedName>
    <definedName name="incomeindex">#REF!</definedName>
    <definedName name="maleshare">Meta!$A$15</definedName>
    <definedName name="maprem">Meta!$H$15</definedName>
    <definedName name="oab">Meta!$G$28</definedName>
    <definedName name="oac">Meta!$S$28</definedName>
    <definedName name="oap">Meta!$O$28</definedName>
    <definedName name="oar">Meta!$C$28</definedName>
    <definedName name="oau">Meta!$K$28</definedName>
    <definedName name="oca">Meta!$S$28</definedName>
    <definedName name="ocb">Meta!$F$28</definedName>
    <definedName name="occ">Meta!$R$28</definedName>
    <definedName name="ocp">Meta!$N$28</definedName>
    <definedName name="ocr">Meta!$B$28</definedName>
    <definedName name="ocu">Meta!$J$28</definedName>
    <definedName name="ohsb">Meta!$E$28</definedName>
    <definedName name="ohsc">Meta!$Q$28</definedName>
    <definedName name="ohsp">Meta!$M$28</definedName>
    <definedName name="ohsr">Meta!$A$28</definedName>
    <definedName name="ohsu">Meta!$I$28</definedName>
    <definedName name="partindex" localSheetId="6">ExcellentStudentCon!$I$2</definedName>
    <definedName name="partindex" localSheetId="10">ExcellentStudentReas!$I$2</definedName>
    <definedName name="partindex" localSheetId="4">FairStudent!$I$2</definedName>
    <definedName name="partindex" localSheetId="8">FairStudentCon!$I$2</definedName>
    <definedName name="partindex" localSheetId="12">FairStudentReas!$I$2</definedName>
    <definedName name="partindex" localSheetId="3">GoodStudent!$I$2</definedName>
    <definedName name="partindex" localSheetId="7">GoodStudentCon!$I$2</definedName>
    <definedName name="partindex" localSheetId="11">GoodStudentReas!$I$2</definedName>
    <definedName name="partindex" localSheetId="5">PoorStudent!$I$2</definedName>
    <definedName name="partindex" localSheetId="9">PoorStudentCon!$I$2</definedName>
    <definedName name="partindex" localSheetId="13">PoorStudentReas!$I$2</definedName>
    <definedName name="partindex">ExcellentStudent!$I$2</definedName>
    <definedName name="rsignal">Meta!$C$15</definedName>
    <definedName name="scrimeindex" localSheetId="10">ExcellentStudentReas!$K$2</definedName>
    <definedName name="scrimeindex" localSheetId="8">FairStudentCon!$L$2</definedName>
    <definedName name="scrimeindex" localSheetId="12">FairStudentReas!$K$2</definedName>
    <definedName name="scrimeindex" localSheetId="7">GoodStudentCon!$L$2</definedName>
    <definedName name="scrimeindex" localSheetId="11">GoodStudentReas!$K$2</definedName>
    <definedName name="scrimeindex" localSheetId="9">PoorStudentCon!$L$2</definedName>
    <definedName name="scrimeindex" localSheetId="13">PoorStudentReas!$K$2</definedName>
    <definedName name="scrimeindex">ExcellentStudentCon!$L$2</definedName>
    <definedName name="scrimeindexbg">#REF!</definedName>
    <definedName name="scrimeindexr" localSheetId="10">ExcellentStudentReas!$L$2</definedName>
    <definedName name="scrimeindexr" localSheetId="8">FairStudentCon!$M$2</definedName>
    <definedName name="scrimeindexr" localSheetId="12">FairStudentReas!$L$2</definedName>
    <definedName name="scrimeindexr" localSheetId="7">GoodStudentCon!$M$2</definedName>
    <definedName name="scrimeindexr" localSheetId="11">GoodStudentReas!$L$2</definedName>
    <definedName name="scrimeindexr" localSheetId="9">PoorStudentCon!$M$2</definedName>
    <definedName name="scrimeindexr" localSheetId="13">PoorStudentReas!$L$2</definedName>
    <definedName name="scrimeindexr">ExcellentStudentCon!$M$2</definedName>
    <definedName name="unempindex" localSheetId="2">ExcellentStudent!$G$2</definedName>
    <definedName name="unempindex" localSheetId="6">ExcellentStudentCon!$G$2</definedName>
    <definedName name="unempindex" localSheetId="10">ExcellentStudentReas!$G$2</definedName>
    <definedName name="unempindex" localSheetId="4">FairStudent!$G$2</definedName>
    <definedName name="unempindex" localSheetId="8">FairStudentCon!$G$2</definedName>
    <definedName name="unempindex" localSheetId="12">FairStudentReas!$G$2</definedName>
    <definedName name="unempindex" localSheetId="3">GoodStudent!$G$2</definedName>
    <definedName name="unempindex" localSheetId="7">GoodStudentCon!$G$2</definedName>
    <definedName name="unempindex" localSheetId="11">GoodStudentReas!$G$2</definedName>
    <definedName name="unempindex" localSheetId="5">PoorStudent!$G$2</definedName>
    <definedName name="unempindex" localSheetId="9">PoorStudentCon!$G$2</definedName>
    <definedName name="unempindex" localSheetId="13">PoorStudentReas!$G$2</definedName>
    <definedName name="unempindex">#REF!</definedName>
  </definedNames>
  <calcPr calcId="162913"/>
</workbook>
</file>

<file path=xl/calcChain.xml><?xml version="1.0" encoding="utf-8"?>
<calcChain xmlns="http://schemas.openxmlformats.org/spreadsheetml/2006/main">
  <c r="D12" i="1" l="1"/>
  <c r="C12" i="1"/>
  <c r="D10" i="1"/>
  <c r="C10" i="1"/>
  <c r="D6" i="1"/>
  <c r="C6" i="1"/>
  <c r="T32" i="1" l="1"/>
  <c r="O32" i="1"/>
  <c r="J32" i="1"/>
  <c r="E32" i="1"/>
  <c r="H3" i="36"/>
  <c r="C21" i="36"/>
  <c r="J42" i="1"/>
  <c r="H4" i="36"/>
  <c r="D21" i="36"/>
  <c r="H5" i="36"/>
  <c r="E21" i="36"/>
  <c r="T42" i="1" s="1"/>
  <c r="H2" i="36"/>
  <c r="B21" i="36"/>
  <c r="E42" i="1"/>
  <c r="E3" i="36"/>
  <c r="C16" i="36"/>
  <c r="J37" i="1"/>
  <c r="E4" i="36"/>
  <c r="E5" i="36"/>
  <c r="E2" i="36"/>
  <c r="B19" i="36"/>
  <c r="E40" i="1" s="1"/>
  <c r="B3" i="36"/>
  <c r="B4" i="36"/>
  <c r="D15" i="36"/>
  <c r="O36" i="1" s="1"/>
  <c r="B5" i="36"/>
  <c r="E13" i="36"/>
  <c r="T34" i="1"/>
  <c r="B2" i="36"/>
  <c r="B14" i="36" s="1"/>
  <c r="E35" i="1" s="1"/>
  <c r="AW12" i="1"/>
  <c r="AW10" i="1"/>
  <c r="AW6" i="1"/>
  <c r="AW4" i="1"/>
  <c r="J2" i="43" s="1"/>
  <c r="AK12" i="1"/>
  <c r="AK10" i="1"/>
  <c r="AK6" i="1"/>
  <c r="H2" i="46"/>
  <c r="AK4" i="1"/>
  <c r="Y12" i="1"/>
  <c r="D2" i="44"/>
  <c r="Y10" i="1"/>
  <c r="Y6" i="1"/>
  <c r="Y4" i="1"/>
  <c r="D2" i="47" s="1"/>
  <c r="B12" i="1"/>
  <c r="B10" i="1"/>
  <c r="B2" i="42" s="1"/>
  <c r="B6" i="1"/>
  <c r="B2" i="41" s="1"/>
  <c r="B4" i="1"/>
  <c r="BD12" i="1"/>
  <c r="BB12" i="1"/>
  <c r="BD11" i="1"/>
  <c r="BB11" i="1"/>
  <c r="BD10" i="1"/>
  <c r="BB10" i="1"/>
  <c r="BD9" i="1"/>
  <c r="BB9" i="1"/>
  <c r="BD8" i="1"/>
  <c r="BB8" i="1"/>
  <c r="BD7" i="1"/>
  <c r="BB7" i="1"/>
  <c r="BD6" i="1"/>
  <c r="BB6" i="1"/>
  <c r="BD5" i="1"/>
  <c r="BB5" i="1"/>
  <c r="BD4" i="1"/>
  <c r="BB4" i="1"/>
  <c r="BD3" i="1"/>
  <c r="BE3" i="1" s="1"/>
  <c r="BE4" i="1" s="1"/>
  <c r="BB3" i="1"/>
  <c r="BC3" i="1"/>
  <c r="AR12" i="1"/>
  <c r="AR10" i="1"/>
  <c r="AR6" i="1"/>
  <c r="AR11" i="1"/>
  <c r="AR9" i="1"/>
  <c r="AR8" i="1"/>
  <c r="AR7" i="1"/>
  <c r="AR5" i="1"/>
  <c r="AR4" i="1"/>
  <c r="AR3" i="1"/>
  <c r="AS3" i="1" s="1"/>
  <c r="AF12" i="1"/>
  <c r="AF10" i="1"/>
  <c r="AF6" i="1"/>
  <c r="AF11" i="1"/>
  <c r="AF9" i="1"/>
  <c r="AF8" i="1"/>
  <c r="AF7" i="1"/>
  <c r="AF5" i="1"/>
  <c r="AF4" i="1"/>
  <c r="AF3" i="1"/>
  <c r="AG3" i="1"/>
  <c r="AG4" i="1" s="1"/>
  <c r="T12" i="1"/>
  <c r="T10" i="1"/>
  <c r="T6" i="1"/>
  <c r="T11" i="1"/>
  <c r="T9" i="1"/>
  <c r="T8" i="1"/>
  <c r="T7" i="1"/>
  <c r="T5" i="1"/>
  <c r="T4" i="1"/>
  <c r="T3" i="1"/>
  <c r="U3" i="1" s="1"/>
  <c r="I12" i="1"/>
  <c r="I10" i="1"/>
  <c r="I6" i="1"/>
  <c r="I11" i="1"/>
  <c r="I9" i="1"/>
  <c r="I8" i="1"/>
  <c r="I7" i="1"/>
  <c r="I5" i="1"/>
  <c r="I4" i="1"/>
  <c r="I3" i="1"/>
  <c r="J3" i="1" s="1"/>
  <c r="R12" i="1"/>
  <c r="R11" i="1"/>
  <c r="R10" i="1"/>
  <c r="R9" i="1"/>
  <c r="R8" i="1"/>
  <c r="R7" i="1"/>
  <c r="R6" i="1"/>
  <c r="R5" i="1"/>
  <c r="R4" i="1"/>
  <c r="R3" i="1"/>
  <c r="S3" i="1" s="1"/>
  <c r="S4" i="1" s="1"/>
  <c r="S5" i="1" s="1"/>
  <c r="G3" i="1"/>
  <c r="H3" i="1" s="1"/>
  <c r="G4" i="1"/>
  <c r="G5" i="1"/>
  <c r="G6" i="1"/>
  <c r="G7" i="1"/>
  <c r="G8" i="1"/>
  <c r="G9" i="1"/>
  <c r="G10" i="1"/>
  <c r="G11" i="1"/>
  <c r="G12" i="1"/>
  <c r="AD3" i="1"/>
  <c r="AE3" i="1"/>
  <c r="AD4" i="1"/>
  <c r="AD5" i="1"/>
  <c r="AD6" i="1"/>
  <c r="AD7" i="1"/>
  <c r="AD8" i="1"/>
  <c r="AD9" i="1"/>
  <c r="AD10" i="1"/>
  <c r="AD11" i="1"/>
  <c r="AD12" i="1"/>
  <c r="AP3" i="1"/>
  <c r="AQ3" i="1"/>
  <c r="AP4" i="1"/>
  <c r="AQ4" i="1" s="1"/>
  <c r="I2" i="29" s="1"/>
  <c r="AP5" i="1"/>
  <c r="AP6" i="1"/>
  <c r="AP7" i="1"/>
  <c r="AP8" i="1"/>
  <c r="AP9" i="1"/>
  <c r="AP10" i="1"/>
  <c r="AP11" i="1"/>
  <c r="AP12" i="1"/>
  <c r="D18" i="36"/>
  <c r="O39" i="1" s="1"/>
  <c r="D2" i="32"/>
  <c r="D2" i="6"/>
  <c r="B2" i="47"/>
  <c r="B2" i="29"/>
  <c r="C12" i="36"/>
  <c r="J33" i="1"/>
  <c r="D20" i="36"/>
  <c r="O41" i="1" s="1"/>
  <c r="H2" i="44"/>
  <c r="O42" i="1"/>
  <c r="E14" i="36"/>
  <c r="T35" i="1" s="1"/>
  <c r="E15" i="36"/>
  <c r="T36" i="1" s="1"/>
  <c r="E12" i="36"/>
  <c r="T33" i="1"/>
  <c r="D12" i="36"/>
  <c r="O33" i="1"/>
  <c r="BC4" i="1"/>
  <c r="B12" i="36"/>
  <c r="E33" i="1" s="1"/>
  <c r="C17" i="36"/>
  <c r="J38" i="1" s="1"/>
  <c r="D13" i="36"/>
  <c r="O34" i="1" s="1"/>
  <c r="E20" i="36"/>
  <c r="T41" i="1" s="1"/>
  <c r="D14" i="36"/>
  <c r="O35" i="1"/>
  <c r="B20" i="36"/>
  <c r="E41" i="1"/>
  <c r="C18" i="36"/>
  <c r="J39" i="1"/>
  <c r="B13" i="36"/>
  <c r="E34" i="1" s="1"/>
  <c r="H2" i="28"/>
  <c r="AB12" i="1"/>
  <c r="AC12" i="1"/>
  <c r="B18" i="36"/>
  <c r="E39" i="1"/>
  <c r="B17" i="36"/>
  <c r="E38" i="1"/>
  <c r="C20" i="36"/>
  <c r="J41" i="1"/>
  <c r="H2" i="41"/>
  <c r="C19" i="36"/>
  <c r="J40" i="1"/>
  <c r="B15" i="36"/>
  <c r="E36" i="1" s="1"/>
  <c r="B16" i="36"/>
  <c r="E37" i="1" s="1"/>
  <c r="AQ5" i="1"/>
  <c r="AE4" i="1"/>
  <c r="J2" i="47"/>
  <c r="H2" i="29"/>
  <c r="H2" i="6"/>
  <c r="H2" i="32"/>
  <c r="D2" i="46"/>
  <c r="D2" i="28"/>
  <c r="D2" i="41"/>
  <c r="C14" i="36"/>
  <c r="J35" i="1"/>
  <c r="C13" i="36"/>
  <c r="J34" i="1" s="1"/>
  <c r="C15" i="36"/>
  <c r="J36" i="1" s="1"/>
  <c r="AQ6" i="1"/>
  <c r="E17" i="36" l="1"/>
  <c r="T38" i="1" s="1"/>
  <c r="E16" i="36"/>
  <c r="T37" i="1" s="1"/>
  <c r="E19" i="36"/>
  <c r="T40" i="1" s="1"/>
  <c r="E18" i="36"/>
  <c r="T39" i="1" s="1"/>
  <c r="AQ7" i="1"/>
  <c r="E9" i="28"/>
  <c r="P36" i="1" s="1"/>
  <c r="I2" i="28"/>
  <c r="E8" i="28" s="1"/>
  <c r="P35" i="1" s="1"/>
  <c r="E7" i="29"/>
  <c r="U34" i="1" s="1"/>
  <c r="E5" i="29"/>
  <c r="U32" i="1" s="1"/>
  <c r="E6" i="29"/>
  <c r="U33" i="1" s="1"/>
  <c r="E8" i="29"/>
  <c r="U35" i="1" s="1"/>
  <c r="E9" i="29"/>
  <c r="U36" i="1" s="1"/>
  <c r="K2" i="43"/>
  <c r="F7" i="43" s="1"/>
  <c r="BC5" i="1"/>
  <c r="BE5" i="1"/>
  <c r="BE6" i="1" s="1"/>
  <c r="L2" i="43"/>
  <c r="G6" i="43" s="1"/>
  <c r="T48" i="1" s="1"/>
  <c r="G7" i="43"/>
  <c r="T49" i="1" s="1"/>
  <c r="AS4" i="1"/>
  <c r="O4" i="1"/>
  <c r="B2" i="43"/>
  <c r="J2" i="41"/>
  <c r="AZ6" i="1"/>
  <c r="BA6" i="1" s="1"/>
  <c r="J2" i="46"/>
  <c r="D17" i="36"/>
  <c r="O38" i="1" s="1"/>
  <c r="D19" i="36"/>
  <c r="O40" i="1" s="1"/>
  <c r="D16" i="36"/>
  <c r="O37" i="1" s="1"/>
  <c r="K29" i="1"/>
  <c r="AH12" i="1"/>
  <c r="G2" i="43"/>
  <c r="AG5" i="1"/>
  <c r="AB6" i="1"/>
  <c r="AC6" i="1" s="1"/>
  <c r="D2" i="29"/>
  <c r="D2" i="43"/>
  <c r="H2" i="25"/>
  <c r="H2" i="45"/>
  <c r="H2" i="42"/>
  <c r="AN10" i="1"/>
  <c r="AO10" i="1" s="1"/>
  <c r="G2" i="29"/>
  <c r="AE5" i="1"/>
  <c r="D2" i="25"/>
  <c r="D2" i="42"/>
  <c r="D2" i="45"/>
  <c r="AB10" i="1"/>
  <c r="AC10" i="1" s="1"/>
  <c r="F5" i="43"/>
  <c r="G8" i="43"/>
  <c r="T50" i="1" s="1"/>
  <c r="G5" i="43"/>
  <c r="T47" i="1" s="1"/>
  <c r="J2" i="32"/>
  <c r="AZ12" i="1"/>
  <c r="BA12" i="1" s="1"/>
  <c r="J2" i="44"/>
  <c r="AN6" i="1"/>
  <c r="AO6" i="1" s="1"/>
  <c r="H2" i="43"/>
  <c r="H2" i="47"/>
  <c r="AN12" i="1"/>
  <c r="AO12" i="1" s="1"/>
  <c r="J2" i="42"/>
  <c r="AZ10" i="1"/>
  <c r="BA10" i="1" s="1"/>
  <c r="J2" i="45"/>
  <c r="U4" i="1"/>
  <c r="U5" i="1" s="1"/>
  <c r="S6" i="1"/>
  <c r="F2" i="29"/>
  <c r="H4" i="1"/>
  <c r="H5" i="1" s="1"/>
  <c r="H6" i="1" s="1"/>
  <c r="J4" i="1"/>
  <c r="J5" i="1" s="1"/>
  <c r="J6" i="1" s="1"/>
  <c r="B2" i="28"/>
  <c r="O12" i="1"/>
  <c r="B2" i="44"/>
  <c r="B2" i="32"/>
  <c r="B2" i="6"/>
  <c r="O10" i="1"/>
  <c r="E12" i="1"/>
  <c r="F12" i="1" s="1"/>
  <c r="B2" i="25"/>
  <c r="B2" i="45"/>
  <c r="O6" i="1"/>
  <c r="C2" i="46" s="1"/>
  <c r="E10" i="1"/>
  <c r="F10" i="1" s="1"/>
  <c r="E6" i="1"/>
  <c r="F6" i="1" s="1"/>
  <c r="B2" i="46"/>
  <c r="AT12" i="1" l="1"/>
  <c r="O29" i="1"/>
  <c r="F8" i="43"/>
  <c r="BC6" i="1"/>
  <c r="AE6" i="1"/>
  <c r="AI11" i="1"/>
  <c r="AI12" i="1"/>
  <c r="E10" i="28"/>
  <c r="P37" i="1" s="1"/>
  <c r="AQ8" i="1"/>
  <c r="F2" i="43"/>
  <c r="BF10" i="1"/>
  <c r="R29" i="1"/>
  <c r="G9" i="43"/>
  <c r="T51" i="1" s="1"/>
  <c r="I29" i="1"/>
  <c r="AH6" i="1"/>
  <c r="C2" i="47"/>
  <c r="C2" i="29"/>
  <c r="C6" i="29" s="1"/>
  <c r="R33" i="1" s="1"/>
  <c r="C2" i="43"/>
  <c r="C6" i="43" s="1"/>
  <c r="R48" i="1" s="1"/>
  <c r="BE7" i="1"/>
  <c r="G10" i="41" s="1"/>
  <c r="O52" i="1" s="1"/>
  <c r="L2" i="41"/>
  <c r="AT10" i="1"/>
  <c r="N29" i="1"/>
  <c r="D7" i="43"/>
  <c r="S49" i="1" s="1"/>
  <c r="D8" i="43"/>
  <c r="S50" i="1" s="1"/>
  <c r="D5" i="43"/>
  <c r="S47" i="1" s="1"/>
  <c r="D6" i="43"/>
  <c r="S48" i="1" s="1"/>
  <c r="D9" i="43"/>
  <c r="S51" i="1" s="1"/>
  <c r="G7" i="41"/>
  <c r="O49" i="1" s="1"/>
  <c r="G9" i="41"/>
  <c r="O51" i="1" s="1"/>
  <c r="G8" i="41"/>
  <c r="O50" i="1" s="1"/>
  <c r="G6" i="41"/>
  <c r="O48" i="1" s="1"/>
  <c r="G5" i="41"/>
  <c r="O47" i="1" s="1"/>
  <c r="E2" i="29"/>
  <c r="B5" i="29" s="1"/>
  <c r="BF12" i="1"/>
  <c r="S29" i="1"/>
  <c r="J29" i="1"/>
  <c r="AH10" i="1"/>
  <c r="D8" i="29"/>
  <c r="S35" i="1" s="1"/>
  <c r="D7" i="29"/>
  <c r="S34" i="1" s="1"/>
  <c r="D5" i="29"/>
  <c r="S32" i="1" s="1"/>
  <c r="D9" i="29"/>
  <c r="S36" i="1" s="1"/>
  <c r="D6" i="29"/>
  <c r="S33" i="1" s="1"/>
  <c r="AT6" i="1"/>
  <c r="M29" i="1"/>
  <c r="F6" i="43"/>
  <c r="AG6" i="1"/>
  <c r="BF6" i="1"/>
  <c r="Q29" i="1"/>
  <c r="AS5" i="1"/>
  <c r="I2" i="43"/>
  <c r="E6" i="43" s="1"/>
  <c r="U48" i="1" s="1"/>
  <c r="E10" i="29"/>
  <c r="U37" i="1" s="1"/>
  <c r="E6" i="28"/>
  <c r="P33" i="1" s="1"/>
  <c r="E7" i="28"/>
  <c r="P34" i="1" s="1"/>
  <c r="E5" i="28"/>
  <c r="P32" i="1" s="1"/>
  <c r="C7" i="29"/>
  <c r="R34" i="1" s="1"/>
  <c r="C8" i="43"/>
  <c r="R50" i="1" s="1"/>
  <c r="U6" i="1"/>
  <c r="F2" i="28"/>
  <c r="S7" i="1"/>
  <c r="C9" i="29"/>
  <c r="R36" i="1" s="1"/>
  <c r="B6" i="29"/>
  <c r="Q33" i="1" s="1"/>
  <c r="B8" i="29"/>
  <c r="Q35" i="1" s="1"/>
  <c r="E2" i="43"/>
  <c r="Q32" i="1"/>
  <c r="B7" i="29"/>
  <c r="B9" i="29"/>
  <c r="E2" i="28"/>
  <c r="B6" i="28" s="1"/>
  <c r="L33" i="1" s="1"/>
  <c r="H7" i="1"/>
  <c r="J7" i="1"/>
  <c r="E2" i="41"/>
  <c r="C2" i="32"/>
  <c r="C2" i="44"/>
  <c r="C2" i="6"/>
  <c r="K12" i="1"/>
  <c r="C29" i="1"/>
  <c r="C2" i="42"/>
  <c r="C2" i="25"/>
  <c r="P12" i="1"/>
  <c r="Q12" i="1" s="1"/>
  <c r="C2" i="45"/>
  <c r="P6" i="1"/>
  <c r="Q6" i="1" s="1"/>
  <c r="C2" i="28"/>
  <c r="C2" i="41"/>
  <c r="P10" i="1"/>
  <c r="Q10" i="1" s="1"/>
  <c r="B29" i="1"/>
  <c r="K10" i="1"/>
  <c r="A29" i="1"/>
  <c r="K6" i="1"/>
  <c r="E11" i="28" l="1"/>
  <c r="P38" i="1" s="1"/>
  <c r="AQ9" i="1"/>
  <c r="E11" i="29"/>
  <c r="U38" i="1" s="1"/>
  <c r="AU3" i="1"/>
  <c r="AV3" i="1" s="1"/>
  <c r="AU4" i="1"/>
  <c r="AU5" i="1"/>
  <c r="AU6" i="1"/>
  <c r="BG11" i="1"/>
  <c r="BG12" i="1"/>
  <c r="BG7" i="1"/>
  <c r="BG9" i="1"/>
  <c r="BG8" i="1"/>
  <c r="BG10" i="1"/>
  <c r="C5" i="29"/>
  <c r="C7" i="43"/>
  <c r="R49" i="1" s="1"/>
  <c r="C8" i="29"/>
  <c r="R35" i="1" s="1"/>
  <c r="AI10" i="1"/>
  <c r="AI8" i="1"/>
  <c r="AI7" i="1"/>
  <c r="AI9" i="1"/>
  <c r="AI5" i="1"/>
  <c r="AI6" i="1"/>
  <c r="AI4" i="1"/>
  <c r="AI3" i="1"/>
  <c r="AJ3" i="1" s="1"/>
  <c r="E5" i="43"/>
  <c r="U47" i="1" s="1"/>
  <c r="C5" i="43"/>
  <c r="R47" i="1" s="1"/>
  <c r="G2" i="28"/>
  <c r="D9" i="28" s="1"/>
  <c r="N36" i="1" s="1"/>
  <c r="AE7" i="1"/>
  <c r="K2" i="41"/>
  <c r="BC7" i="1"/>
  <c r="F9" i="43"/>
  <c r="E7" i="43"/>
  <c r="U49" i="1" s="1"/>
  <c r="BG6" i="1"/>
  <c r="BG3" i="1"/>
  <c r="BH3" i="1" s="1"/>
  <c r="BG5" i="1"/>
  <c r="BG4" i="1"/>
  <c r="AU10" i="1"/>
  <c r="AU7" i="1"/>
  <c r="AU9" i="1"/>
  <c r="AU8" i="1"/>
  <c r="AS6" i="1"/>
  <c r="G2" i="41"/>
  <c r="AG7" i="1"/>
  <c r="BE8" i="1"/>
  <c r="G10" i="43"/>
  <c r="T52" i="1" s="1"/>
  <c r="E8" i="43"/>
  <c r="U50" i="1" s="1"/>
  <c r="AU11" i="1"/>
  <c r="AU12" i="1"/>
  <c r="G8" i="29"/>
  <c r="G6" i="29"/>
  <c r="S8" i="1"/>
  <c r="C11" i="28" s="1"/>
  <c r="C10" i="29"/>
  <c r="R37" i="1" s="1"/>
  <c r="F2" i="41"/>
  <c r="C9" i="41" s="1"/>
  <c r="C9" i="43"/>
  <c r="R51" i="1" s="1"/>
  <c r="U7" i="1"/>
  <c r="B8" i="28"/>
  <c r="L35" i="1" s="1"/>
  <c r="B5" i="43"/>
  <c r="B6" i="43"/>
  <c r="B7" i="43"/>
  <c r="B9" i="43"/>
  <c r="B8" i="43"/>
  <c r="B10" i="43"/>
  <c r="J8" i="1"/>
  <c r="B10" i="41"/>
  <c r="L52" i="1" s="1"/>
  <c r="B5" i="28"/>
  <c r="L32" i="1" s="1"/>
  <c r="G9" i="29"/>
  <c r="Q36" i="1"/>
  <c r="B7" i="41"/>
  <c r="L49" i="1" s="1"/>
  <c r="B6" i="41"/>
  <c r="L48" i="1" s="1"/>
  <c r="B8" i="41"/>
  <c r="L50" i="1" s="1"/>
  <c r="B5" i="41"/>
  <c r="L47" i="1" s="1"/>
  <c r="G7" i="29"/>
  <c r="Q34" i="1"/>
  <c r="B9" i="41"/>
  <c r="L51" i="1" s="1"/>
  <c r="B7" i="28"/>
  <c r="L34" i="1" s="1"/>
  <c r="Q51" i="1"/>
  <c r="B10" i="29"/>
  <c r="H8" i="1"/>
  <c r="B10" i="28"/>
  <c r="L37" i="1" s="1"/>
  <c r="B9" i="28"/>
  <c r="L36" i="1" s="1"/>
  <c r="L11" i="1"/>
  <c r="L12" i="1"/>
  <c r="V12" i="1"/>
  <c r="G29" i="1"/>
  <c r="C6" i="28"/>
  <c r="C10" i="28"/>
  <c r="C7" i="28"/>
  <c r="C9" i="28"/>
  <c r="C8" i="28"/>
  <c r="C5" i="28"/>
  <c r="V10" i="1"/>
  <c r="F29" i="1"/>
  <c r="C7" i="41"/>
  <c r="V6" i="1"/>
  <c r="E29" i="1"/>
  <c r="L9" i="1"/>
  <c r="L10" i="1"/>
  <c r="L7" i="1"/>
  <c r="L8" i="1"/>
  <c r="L3" i="1"/>
  <c r="M3" i="1" s="1"/>
  <c r="L6" i="1"/>
  <c r="L4" i="1"/>
  <c r="L5" i="1"/>
  <c r="F5" i="41" l="1"/>
  <c r="F9" i="41"/>
  <c r="F6" i="41"/>
  <c r="F8" i="41"/>
  <c r="F7" i="41"/>
  <c r="E12" i="28"/>
  <c r="P39" i="1" s="1"/>
  <c r="AQ10" i="1"/>
  <c r="E12" i="29"/>
  <c r="U39" i="1" s="1"/>
  <c r="AG8" i="1"/>
  <c r="D10" i="41"/>
  <c r="N52" i="1" s="1"/>
  <c r="D10" i="43"/>
  <c r="S52" i="1" s="1"/>
  <c r="AS7" i="1"/>
  <c r="I2" i="41"/>
  <c r="E9" i="43"/>
  <c r="U51" i="1" s="1"/>
  <c r="D5" i="28"/>
  <c r="N32" i="1" s="1"/>
  <c r="D7" i="28"/>
  <c r="N34" i="1" s="1"/>
  <c r="D6" i="28"/>
  <c r="N33" i="1" s="1"/>
  <c r="D8" i="28"/>
  <c r="N35" i="1" s="1"/>
  <c r="BE9" i="1"/>
  <c r="G11" i="43"/>
  <c r="T53" i="1" s="1"/>
  <c r="G11" i="41"/>
  <c r="O53" i="1" s="1"/>
  <c r="D7" i="41"/>
  <c r="N49" i="1" s="1"/>
  <c r="D5" i="41"/>
  <c r="N47" i="1" s="1"/>
  <c r="D6" i="41"/>
  <c r="N48" i="1" s="1"/>
  <c r="D8" i="41"/>
  <c r="N50" i="1" s="1"/>
  <c r="R32" i="1"/>
  <c r="G5" i="29"/>
  <c r="H6" i="29" s="1"/>
  <c r="H9" i="29"/>
  <c r="D9" i="41"/>
  <c r="N51" i="1" s="1"/>
  <c r="BH4" i="1"/>
  <c r="BC8" i="1"/>
  <c r="F10" i="43"/>
  <c r="F10" i="41"/>
  <c r="AE8" i="1"/>
  <c r="D10" i="28"/>
  <c r="N37" i="1" s="1"/>
  <c r="D10" i="29"/>
  <c r="S37" i="1" s="1"/>
  <c r="AJ4" i="1"/>
  <c r="AV4" i="1"/>
  <c r="H7" i="29"/>
  <c r="I9" i="43"/>
  <c r="C10" i="41"/>
  <c r="I10" i="41" s="1"/>
  <c r="C6" i="41"/>
  <c r="M48" i="1" s="1"/>
  <c r="C8" i="41"/>
  <c r="I8" i="41" s="1"/>
  <c r="C5" i="41"/>
  <c r="I5" i="41" s="1"/>
  <c r="C10" i="43"/>
  <c r="R52" i="1" s="1"/>
  <c r="U8" i="1"/>
  <c r="C11" i="29"/>
  <c r="R38" i="1" s="1"/>
  <c r="S9" i="1"/>
  <c r="Q49" i="1"/>
  <c r="I7" i="43"/>
  <c r="Q48" i="1"/>
  <c r="I6" i="43"/>
  <c r="Q50" i="1"/>
  <c r="I8" i="43"/>
  <c r="J8" i="43" s="1"/>
  <c r="I5" i="43"/>
  <c r="Q47" i="1"/>
  <c r="J9" i="1"/>
  <c r="B11" i="43"/>
  <c r="B11" i="41"/>
  <c r="L53" i="1" s="1"/>
  <c r="G10" i="29"/>
  <c r="H10" i="29" s="1"/>
  <c r="Q37" i="1"/>
  <c r="H8" i="29"/>
  <c r="B11" i="29"/>
  <c r="H9" i="1"/>
  <c r="B11" i="28"/>
  <c r="L38" i="1" s="1"/>
  <c r="Q52" i="1"/>
  <c r="W11" i="1"/>
  <c r="W12" i="1"/>
  <c r="W7" i="1"/>
  <c r="W8" i="1"/>
  <c r="W9" i="1"/>
  <c r="W10" i="1"/>
  <c r="M38" i="1"/>
  <c r="M51" i="1"/>
  <c r="I9" i="41"/>
  <c r="M32" i="1"/>
  <c r="G5" i="28"/>
  <c r="M37" i="1"/>
  <c r="G10" i="28"/>
  <c r="M35" i="1"/>
  <c r="G8" i="28"/>
  <c r="M34" i="1"/>
  <c r="G7" i="28"/>
  <c r="M49" i="1"/>
  <c r="I7" i="41"/>
  <c r="W5" i="1"/>
  <c r="W3" i="1"/>
  <c r="X3" i="1" s="1"/>
  <c r="W6" i="1"/>
  <c r="W4" i="1"/>
  <c r="M36" i="1"/>
  <c r="G9" i="28"/>
  <c r="M33" i="1"/>
  <c r="G6" i="28"/>
  <c r="M4" i="1"/>
  <c r="E10" i="41" l="1"/>
  <c r="P52" i="1" s="1"/>
  <c r="AS8" i="1"/>
  <c r="E10" i="43"/>
  <c r="U52" i="1" s="1"/>
  <c r="AQ11" i="1"/>
  <c r="E13" i="28"/>
  <c r="P40" i="1" s="1"/>
  <c r="I2" i="25"/>
  <c r="E13" i="29"/>
  <c r="U40" i="1" s="1"/>
  <c r="E13" i="25"/>
  <c r="K40" i="1" s="1"/>
  <c r="G2" i="47"/>
  <c r="AJ5" i="1"/>
  <c r="D7" i="47"/>
  <c r="S63" i="1" s="1"/>
  <c r="AG9" i="1"/>
  <c r="D11" i="41"/>
  <c r="N53" i="1" s="1"/>
  <c r="D11" i="43"/>
  <c r="S53" i="1" s="1"/>
  <c r="G12" i="43"/>
  <c r="T54" i="1" s="1"/>
  <c r="BE10" i="1"/>
  <c r="G12" i="41"/>
  <c r="O54" i="1" s="1"/>
  <c r="E5" i="41"/>
  <c r="P47" i="1" s="1"/>
  <c r="E6" i="41"/>
  <c r="P48" i="1" s="1"/>
  <c r="E7" i="41"/>
  <c r="P49" i="1" s="1"/>
  <c r="E8" i="41"/>
  <c r="P50" i="1" s="1"/>
  <c r="I2" i="47"/>
  <c r="AV5" i="1"/>
  <c r="AE9" i="1"/>
  <c r="D11" i="28"/>
  <c r="N38" i="1" s="1"/>
  <c r="D11" i="29"/>
  <c r="S38" i="1" s="1"/>
  <c r="F11" i="43"/>
  <c r="BC9" i="1"/>
  <c r="F11" i="41"/>
  <c r="K2" i="47"/>
  <c r="BH5" i="1"/>
  <c r="F7" i="47"/>
  <c r="T63" i="1" s="1"/>
  <c r="E9" i="41"/>
  <c r="P51" i="1" s="1"/>
  <c r="H6" i="28"/>
  <c r="M52" i="1"/>
  <c r="J10" i="41"/>
  <c r="I6" i="41"/>
  <c r="J7" i="41" s="1"/>
  <c r="M47" i="1"/>
  <c r="M50" i="1"/>
  <c r="I10" i="43"/>
  <c r="J10" i="43" s="1"/>
  <c r="U9" i="1"/>
  <c r="C11" i="43"/>
  <c r="R53" i="1" s="1"/>
  <c r="C11" i="41"/>
  <c r="M53" i="1" s="1"/>
  <c r="S10" i="1"/>
  <c r="C12" i="29"/>
  <c r="R39" i="1" s="1"/>
  <c r="C12" i="28"/>
  <c r="M39" i="1" s="1"/>
  <c r="J6" i="43"/>
  <c r="J7" i="43"/>
  <c r="J9" i="43"/>
  <c r="J10" i="1"/>
  <c r="B12" i="43"/>
  <c r="B12" i="41"/>
  <c r="G11" i="28"/>
  <c r="H11" i="28" s="1"/>
  <c r="H10" i="1"/>
  <c r="B12" i="29"/>
  <c r="B12" i="28"/>
  <c r="Q53" i="1"/>
  <c r="Q38" i="1"/>
  <c r="G11" i="29"/>
  <c r="H11" i="29" s="1"/>
  <c r="H8" i="28"/>
  <c r="H10" i="28"/>
  <c r="J9" i="41"/>
  <c r="H9" i="28"/>
  <c r="X4" i="1"/>
  <c r="H7" i="28"/>
  <c r="J8" i="41"/>
  <c r="M5" i="1"/>
  <c r="E2" i="47"/>
  <c r="B7" i="47" s="1"/>
  <c r="E11" i="41" l="1"/>
  <c r="P53" i="1" s="1"/>
  <c r="AS9" i="1"/>
  <c r="E11" i="43"/>
  <c r="U53" i="1" s="1"/>
  <c r="AE10" i="1"/>
  <c r="D12" i="28"/>
  <c r="N39" i="1" s="1"/>
  <c r="D12" i="29"/>
  <c r="S39" i="1" s="1"/>
  <c r="AV6" i="1"/>
  <c r="E8" i="47"/>
  <c r="U64" i="1" s="1"/>
  <c r="AQ12" i="1"/>
  <c r="E14" i="28"/>
  <c r="P41" i="1" s="1"/>
  <c r="E14" i="29"/>
  <c r="U41" i="1" s="1"/>
  <c r="E14" i="25"/>
  <c r="K41" i="1" s="1"/>
  <c r="F5" i="47"/>
  <c r="T61" i="1" s="1"/>
  <c r="F6" i="47"/>
  <c r="T62" i="1" s="1"/>
  <c r="BC10" i="1"/>
  <c r="F12" i="43"/>
  <c r="F12" i="41"/>
  <c r="E5" i="47"/>
  <c r="U61" i="1" s="1"/>
  <c r="E6" i="47"/>
  <c r="U62" i="1" s="1"/>
  <c r="BE11" i="1"/>
  <c r="L2" i="42"/>
  <c r="G13" i="43"/>
  <c r="T55" i="1" s="1"/>
  <c r="G13" i="41"/>
  <c r="O55" i="1" s="1"/>
  <c r="G13" i="42"/>
  <c r="J55" i="1" s="1"/>
  <c r="D5" i="47"/>
  <c r="S61" i="1" s="1"/>
  <c r="D6" i="47"/>
  <c r="S62" i="1" s="1"/>
  <c r="E6" i="25"/>
  <c r="K33" i="1" s="1"/>
  <c r="E8" i="25"/>
  <c r="K35" i="1" s="1"/>
  <c r="E10" i="25"/>
  <c r="K37" i="1" s="1"/>
  <c r="E7" i="25"/>
  <c r="K34" i="1" s="1"/>
  <c r="E5" i="25"/>
  <c r="K32" i="1" s="1"/>
  <c r="E9" i="25"/>
  <c r="K36" i="1" s="1"/>
  <c r="E11" i="25"/>
  <c r="K38" i="1" s="1"/>
  <c r="E12" i="25"/>
  <c r="K39" i="1" s="1"/>
  <c r="AG10" i="1"/>
  <c r="D12" i="41"/>
  <c r="N54" i="1" s="1"/>
  <c r="D12" i="43"/>
  <c r="S54" i="1" s="1"/>
  <c r="BH6" i="1"/>
  <c r="F8" i="47"/>
  <c r="T64" i="1" s="1"/>
  <c r="E7" i="47"/>
  <c r="U63" i="1" s="1"/>
  <c r="AJ6" i="1"/>
  <c r="D8" i="47"/>
  <c r="S64" i="1" s="1"/>
  <c r="J6" i="41"/>
  <c r="I11" i="41"/>
  <c r="J11" i="41" s="1"/>
  <c r="I11" i="43"/>
  <c r="J11" i="43" s="1"/>
  <c r="S11" i="1"/>
  <c r="C13" i="29"/>
  <c r="R40" i="1" s="1"/>
  <c r="F2" i="25"/>
  <c r="C13" i="28"/>
  <c r="M40" i="1" s="1"/>
  <c r="U10" i="1"/>
  <c r="C12" i="43"/>
  <c r="R54" i="1" s="1"/>
  <c r="C12" i="41"/>
  <c r="M54" i="1" s="1"/>
  <c r="G12" i="29"/>
  <c r="H12" i="29" s="1"/>
  <c r="Q39" i="1"/>
  <c r="L54" i="1"/>
  <c r="E2" i="25"/>
  <c r="B13" i="29"/>
  <c r="H11" i="1"/>
  <c r="B13" i="28"/>
  <c r="B13" i="25"/>
  <c r="Q54" i="1"/>
  <c r="L39" i="1"/>
  <c r="G12" i="28"/>
  <c r="H12" i="28" s="1"/>
  <c r="J11" i="1"/>
  <c r="E2" i="42"/>
  <c r="B13" i="43"/>
  <c r="B13" i="41"/>
  <c r="F2" i="47"/>
  <c r="X5" i="1"/>
  <c r="Q63" i="1"/>
  <c r="B5" i="47"/>
  <c r="B6" i="47"/>
  <c r="B8" i="47"/>
  <c r="M6" i="1"/>
  <c r="G10" i="42" l="1"/>
  <c r="J52" i="1" s="1"/>
  <c r="G5" i="42"/>
  <c r="J47" i="1" s="1"/>
  <c r="G6" i="42"/>
  <c r="J48" i="1" s="1"/>
  <c r="G7" i="42"/>
  <c r="J49" i="1" s="1"/>
  <c r="G8" i="42"/>
  <c r="J50" i="1" s="1"/>
  <c r="G9" i="42"/>
  <c r="J51" i="1" s="1"/>
  <c r="G11" i="42"/>
  <c r="J53" i="1" s="1"/>
  <c r="G12" i="42"/>
  <c r="J54" i="1" s="1"/>
  <c r="K2" i="42"/>
  <c r="BC11" i="1"/>
  <c r="F13" i="43"/>
  <c r="F13" i="42"/>
  <c r="F13" i="41"/>
  <c r="G2" i="25"/>
  <c r="AE11" i="1"/>
  <c r="D13" i="28"/>
  <c r="N40" i="1" s="1"/>
  <c r="D13" i="29"/>
  <c r="S40" i="1" s="1"/>
  <c r="G14" i="43"/>
  <c r="T56" i="1" s="1"/>
  <c r="BE12" i="1"/>
  <c r="G14" i="41"/>
  <c r="O56" i="1" s="1"/>
  <c r="G14" i="42"/>
  <c r="J56" i="1" s="1"/>
  <c r="I2" i="6"/>
  <c r="E15" i="6" s="1"/>
  <c r="F42" i="1" s="1"/>
  <c r="E15" i="28"/>
  <c r="P42" i="1" s="1"/>
  <c r="E15" i="29"/>
  <c r="U42" i="1" s="1"/>
  <c r="E15" i="25"/>
  <c r="K42" i="1" s="1"/>
  <c r="F9" i="47"/>
  <c r="T65" i="1" s="1"/>
  <c r="BH7" i="1"/>
  <c r="K2" i="46"/>
  <c r="F9" i="46"/>
  <c r="O65" i="1" s="1"/>
  <c r="AV7" i="1"/>
  <c r="I2" i="46"/>
  <c r="E9" i="47"/>
  <c r="U65" i="1" s="1"/>
  <c r="D13" i="41"/>
  <c r="N55" i="1" s="1"/>
  <c r="AG11" i="1"/>
  <c r="G2" i="42"/>
  <c r="D13" i="42"/>
  <c r="I55" i="1" s="1"/>
  <c r="D13" i="43"/>
  <c r="S55" i="1" s="1"/>
  <c r="E12" i="41"/>
  <c r="P54" i="1" s="1"/>
  <c r="AS10" i="1"/>
  <c r="E12" i="43"/>
  <c r="U54" i="1" s="1"/>
  <c r="AJ7" i="1"/>
  <c r="G2" i="46"/>
  <c r="D9" i="47"/>
  <c r="S65" i="1" s="1"/>
  <c r="I12" i="41"/>
  <c r="J12" i="41" s="1"/>
  <c r="F2" i="42"/>
  <c r="C13" i="43"/>
  <c r="R55" i="1" s="1"/>
  <c r="U11" i="1"/>
  <c r="C13" i="41"/>
  <c r="M55" i="1" s="1"/>
  <c r="C10" i="25"/>
  <c r="H37" i="1" s="1"/>
  <c r="C6" i="25"/>
  <c r="H33" i="1" s="1"/>
  <c r="C11" i="25"/>
  <c r="H38" i="1" s="1"/>
  <c r="C7" i="25"/>
  <c r="H34" i="1" s="1"/>
  <c r="C5" i="25"/>
  <c r="H32" i="1" s="1"/>
  <c r="C9" i="25"/>
  <c r="H36" i="1" s="1"/>
  <c r="C8" i="25"/>
  <c r="H35" i="1" s="1"/>
  <c r="C12" i="25"/>
  <c r="H39" i="1" s="1"/>
  <c r="I12" i="43"/>
  <c r="J12" i="43" s="1"/>
  <c r="C13" i="25"/>
  <c r="H40" i="1" s="1"/>
  <c r="S12" i="1"/>
  <c r="C14" i="29"/>
  <c r="R41" i="1" s="1"/>
  <c r="C14" i="25"/>
  <c r="H41" i="1" s="1"/>
  <c r="C14" i="28"/>
  <c r="M41" i="1" s="1"/>
  <c r="B8" i="42"/>
  <c r="B6" i="42"/>
  <c r="B5" i="42"/>
  <c r="B7" i="42"/>
  <c r="B9" i="42"/>
  <c r="B10" i="42"/>
  <c r="B11" i="42"/>
  <c r="B12" i="42"/>
  <c r="L40" i="1"/>
  <c r="G13" i="28"/>
  <c r="H13" i="28" s="1"/>
  <c r="L55" i="1"/>
  <c r="B14" i="43"/>
  <c r="J12" i="1"/>
  <c r="B14" i="42"/>
  <c r="B14" i="41"/>
  <c r="H12" i="1"/>
  <c r="B14" i="29"/>
  <c r="B14" i="28"/>
  <c r="B14" i="25"/>
  <c r="B13" i="42"/>
  <c r="G40" i="1"/>
  <c r="Q40" i="1"/>
  <c r="G13" i="29"/>
  <c r="H13" i="29" s="1"/>
  <c r="Q55" i="1"/>
  <c r="B5" i="25"/>
  <c r="B9" i="25"/>
  <c r="B8" i="25"/>
  <c r="B6" i="25"/>
  <c r="B7" i="25"/>
  <c r="B10" i="25"/>
  <c r="B11" i="25"/>
  <c r="B12" i="25"/>
  <c r="C8" i="47"/>
  <c r="R64" i="1" s="1"/>
  <c r="X6" i="1"/>
  <c r="C5" i="47"/>
  <c r="R61" i="1" s="1"/>
  <c r="C6" i="47"/>
  <c r="R62" i="1" s="1"/>
  <c r="C7" i="47"/>
  <c r="Q64" i="1"/>
  <c r="Q61" i="1"/>
  <c r="B9" i="47"/>
  <c r="E2" i="46"/>
  <c r="B9" i="46" s="1"/>
  <c r="M7" i="1"/>
  <c r="Q62" i="1"/>
  <c r="D5" i="46" l="1"/>
  <c r="N61" i="1" s="1"/>
  <c r="D6" i="46"/>
  <c r="N62" i="1" s="1"/>
  <c r="D7" i="46"/>
  <c r="N63" i="1" s="1"/>
  <c r="D8" i="46"/>
  <c r="N64" i="1" s="1"/>
  <c r="D8" i="25"/>
  <c r="I35" i="1" s="1"/>
  <c r="D5" i="25"/>
  <c r="I32" i="1" s="1"/>
  <c r="D6" i="25"/>
  <c r="I33" i="1" s="1"/>
  <c r="D9" i="25"/>
  <c r="I36" i="1" s="1"/>
  <c r="D7" i="25"/>
  <c r="I34" i="1" s="1"/>
  <c r="D10" i="25"/>
  <c r="I37" i="1" s="1"/>
  <c r="D11" i="25"/>
  <c r="I38" i="1" s="1"/>
  <c r="D12" i="25"/>
  <c r="I39" i="1" s="1"/>
  <c r="D9" i="46"/>
  <c r="N65" i="1" s="1"/>
  <c r="E13" i="41"/>
  <c r="P55" i="1" s="1"/>
  <c r="AS11" i="1"/>
  <c r="I2" i="42"/>
  <c r="E13" i="43"/>
  <c r="U55" i="1" s="1"/>
  <c r="E5" i="46"/>
  <c r="P61" i="1" s="1"/>
  <c r="E6" i="46"/>
  <c r="P62" i="1" s="1"/>
  <c r="E7" i="46"/>
  <c r="P63" i="1" s="1"/>
  <c r="E8" i="46"/>
  <c r="P64" i="1" s="1"/>
  <c r="AG12" i="1"/>
  <c r="D14" i="41"/>
  <c r="N56" i="1" s="1"/>
  <c r="D14" i="42"/>
  <c r="I56" i="1" s="1"/>
  <c r="D14" i="43"/>
  <c r="S56" i="1" s="1"/>
  <c r="E9" i="46"/>
  <c r="P65" i="1" s="1"/>
  <c r="F10" i="47"/>
  <c r="T66" i="1" s="1"/>
  <c r="BH8" i="1"/>
  <c r="F10" i="46"/>
  <c r="O66" i="1" s="1"/>
  <c r="D13" i="25"/>
  <c r="I40" i="1" s="1"/>
  <c r="AE12" i="1"/>
  <c r="D14" i="28"/>
  <c r="N41" i="1" s="1"/>
  <c r="D14" i="29"/>
  <c r="S41" i="1" s="1"/>
  <c r="D14" i="25"/>
  <c r="I41" i="1" s="1"/>
  <c r="E5" i="6"/>
  <c r="F32" i="1" s="1"/>
  <c r="E9" i="6"/>
  <c r="F36" i="1" s="1"/>
  <c r="E8" i="6"/>
  <c r="F35" i="1" s="1"/>
  <c r="E6" i="6"/>
  <c r="F33" i="1" s="1"/>
  <c r="E7" i="6"/>
  <c r="F34" i="1" s="1"/>
  <c r="E10" i="6"/>
  <c r="F37" i="1" s="1"/>
  <c r="E11" i="6"/>
  <c r="F38" i="1" s="1"/>
  <c r="E12" i="6"/>
  <c r="F39" i="1" s="1"/>
  <c r="E13" i="6"/>
  <c r="F40" i="1" s="1"/>
  <c r="E14" i="6"/>
  <c r="F41" i="1" s="1"/>
  <c r="AJ8" i="1"/>
  <c r="D10" i="47"/>
  <c r="S66" i="1" s="1"/>
  <c r="D10" i="46"/>
  <c r="N66" i="1" s="1"/>
  <c r="G15" i="43"/>
  <c r="T57" i="1" s="1"/>
  <c r="L2" i="32"/>
  <c r="G15" i="32"/>
  <c r="E57" i="1" s="1"/>
  <c r="G15" i="41"/>
  <c r="O57" i="1" s="1"/>
  <c r="G15" i="42"/>
  <c r="J57" i="1" s="1"/>
  <c r="F14" i="43"/>
  <c r="BC12" i="1"/>
  <c r="F14" i="41"/>
  <c r="F14" i="42"/>
  <c r="D8" i="42"/>
  <c r="I50" i="1" s="1"/>
  <c r="D6" i="42"/>
  <c r="I48" i="1" s="1"/>
  <c r="D9" i="42"/>
  <c r="I51" i="1" s="1"/>
  <c r="D7" i="42"/>
  <c r="I49" i="1" s="1"/>
  <c r="D5" i="42"/>
  <c r="I47" i="1" s="1"/>
  <c r="D10" i="42"/>
  <c r="I52" i="1" s="1"/>
  <c r="D11" i="42"/>
  <c r="I53" i="1" s="1"/>
  <c r="D12" i="42"/>
  <c r="I54" i="1" s="1"/>
  <c r="AV8" i="1"/>
  <c r="E10" i="46"/>
  <c r="P66" i="1" s="1"/>
  <c r="E10" i="47"/>
  <c r="U66" i="1" s="1"/>
  <c r="F5" i="46"/>
  <c r="O61" i="1" s="1"/>
  <c r="F6" i="46"/>
  <c r="O62" i="1" s="1"/>
  <c r="F7" i="46"/>
  <c r="O63" i="1" s="1"/>
  <c r="F8" i="46"/>
  <c r="O64" i="1" s="1"/>
  <c r="F8" i="42"/>
  <c r="F7" i="42"/>
  <c r="F9" i="42"/>
  <c r="F6" i="42"/>
  <c r="F5" i="42"/>
  <c r="F10" i="42"/>
  <c r="F11" i="42"/>
  <c r="F12" i="42"/>
  <c r="H5" i="47"/>
  <c r="I13" i="41"/>
  <c r="J13" i="41" s="1"/>
  <c r="G13" i="25"/>
  <c r="I13" i="43"/>
  <c r="J13" i="43" s="1"/>
  <c r="C14" i="43"/>
  <c r="R56" i="1" s="1"/>
  <c r="U12" i="1"/>
  <c r="C14" i="42"/>
  <c r="H56" i="1" s="1"/>
  <c r="C14" i="41"/>
  <c r="M56" i="1" s="1"/>
  <c r="F2" i="6"/>
  <c r="C15" i="29"/>
  <c r="R42" i="1" s="1"/>
  <c r="C15" i="25"/>
  <c r="H42" i="1" s="1"/>
  <c r="C15" i="28"/>
  <c r="M42" i="1" s="1"/>
  <c r="C7" i="42"/>
  <c r="H49" i="1" s="1"/>
  <c r="C9" i="42"/>
  <c r="H51" i="1" s="1"/>
  <c r="C5" i="42"/>
  <c r="H47" i="1" s="1"/>
  <c r="C6" i="42"/>
  <c r="H48" i="1" s="1"/>
  <c r="C8" i="42"/>
  <c r="H50" i="1" s="1"/>
  <c r="C10" i="42"/>
  <c r="H52" i="1" s="1"/>
  <c r="C11" i="42"/>
  <c r="H53" i="1" s="1"/>
  <c r="C12" i="42"/>
  <c r="H54" i="1" s="1"/>
  <c r="C13" i="42"/>
  <c r="H55" i="1" s="1"/>
  <c r="L41" i="1"/>
  <c r="G14" i="28"/>
  <c r="H14" i="28" s="1"/>
  <c r="G54" i="1"/>
  <c r="G49" i="1"/>
  <c r="G37" i="1"/>
  <c r="G10" i="25"/>
  <c r="G36" i="1"/>
  <c r="G9" i="25"/>
  <c r="G55" i="1"/>
  <c r="Q41" i="1"/>
  <c r="G14" i="29"/>
  <c r="H14" i="29" s="1"/>
  <c r="G56" i="1"/>
  <c r="G53" i="1"/>
  <c r="G47" i="1"/>
  <c r="G38" i="1"/>
  <c r="G11" i="25"/>
  <c r="L56" i="1"/>
  <c r="G34" i="1"/>
  <c r="G7" i="25"/>
  <c r="G32" i="1"/>
  <c r="G5" i="25"/>
  <c r="G41" i="1"/>
  <c r="G14" i="25"/>
  <c r="E2" i="6"/>
  <c r="B15" i="6" s="1"/>
  <c r="B15" i="29"/>
  <c r="B15" i="28"/>
  <c r="B15" i="25"/>
  <c r="E2" i="32"/>
  <c r="B15" i="43"/>
  <c r="B15" i="41"/>
  <c r="B15" i="42"/>
  <c r="B15" i="32"/>
  <c r="G52" i="1"/>
  <c r="G48" i="1"/>
  <c r="G35" i="1"/>
  <c r="G8" i="25"/>
  <c r="G39" i="1"/>
  <c r="G12" i="25"/>
  <c r="G33" i="1"/>
  <c r="G6" i="25"/>
  <c r="Q56" i="1"/>
  <c r="G51" i="1"/>
  <c r="G50" i="1"/>
  <c r="H6" i="47"/>
  <c r="I6" i="47" s="1"/>
  <c r="H8" i="47"/>
  <c r="R63" i="1"/>
  <c r="H7" i="47"/>
  <c r="C9" i="47"/>
  <c r="R65" i="1" s="1"/>
  <c r="F2" i="46"/>
  <c r="X7" i="1"/>
  <c r="M8" i="1"/>
  <c r="B10" i="47"/>
  <c r="B10" i="46"/>
  <c r="L65" i="1"/>
  <c r="B5" i="46"/>
  <c r="B6" i="46"/>
  <c r="B7" i="46"/>
  <c r="B8" i="46"/>
  <c r="Q65" i="1"/>
  <c r="D15" i="28" l="1"/>
  <c r="N42" i="1" s="1"/>
  <c r="G2" i="6"/>
  <c r="D15" i="6"/>
  <c r="D42" i="1" s="1"/>
  <c r="D15" i="29"/>
  <c r="S42" i="1" s="1"/>
  <c r="D15" i="25"/>
  <c r="I42" i="1" s="1"/>
  <c r="D15" i="41"/>
  <c r="N57" i="1" s="1"/>
  <c r="D15" i="32"/>
  <c r="D57" i="1" s="1"/>
  <c r="G2" i="32"/>
  <c r="D15" i="43"/>
  <c r="S57" i="1" s="1"/>
  <c r="D15" i="42"/>
  <c r="I57" i="1" s="1"/>
  <c r="AS12" i="1"/>
  <c r="E14" i="41"/>
  <c r="P56" i="1" s="1"/>
  <c r="E14" i="42"/>
  <c r="K56" i="1" s="1"/>
  <c r="E14" i="43"/>
  <c r="U56" i="1" s="1"/>
  <c r="AV9" i="1"/>
  <c r="E11" i="46"/>
  <c r="P67" i="1" s="1"/>
  <c r="E11" i="47"/>
  <c r="U67" i="1" s="1"/>
  <c r="F15" i="43"/>
  <c r="K2" i="32"/>
  <c r="F15" i="32"/>
  <c r="F15" i="41"/>
  <c r="F15" i="42"/>
  <c r="E5" i="42"/>
  <c r="K47" i="1" s="1"/>
  <c r="E6" i="42"/>
  <c r="K48" i="1" s="1"/>
  <c r="E7" i="42"/>
  <c r="K49" i="1" s="1"/>
  <c r="E8" i="42"/>
  <c r="K50" i="1" s="1"/>
  <c r="E9" i="42"/>
  <c r="K51" i="1" s="1"/>
  <c r="E10" i="42"/>
  <c r="K52" i="1" s="1"/>
  <c r="E11" i="42"/>
  <c r="K53" i="1" s="1"/>
  <c r="E12" i="42"/>
  <c r="K54" i="1" s="1"/>
  <c r="AJ9" i="1"/>
  <c r="D11" i="46"/>
  <c r="N67" i="1" s="1"/>
  <c r="D11" i="47"/>
  <c r="S67" i="1" s="1"/>
  <c r="F11" i="47"/>
  <c r="T67" i="1" s="1"/>
  <c r="BH9" i="1"/>
  <c r="F11" i="46"/>
  <c r="O67" i="1" s="1"/>
  <c r="E13" i="42"/>
  <c r="K55" i="1" s="1"/>
  <c r="G7" i="32"/>
  <c r="E49" i="1" s="1"/>
  <c r="G8" i="32"/>
  <c r="E50" i="1" s="1"/>
  <c r="G9" i="32"/>
  <c r="E51" i="1" s="1"/>
  <c r="G6" i="32"/>
  <c r="E48" i="1" s="1"/>
  <c r="G5" i="32"/>
  <c r="E47" i="1" s="1"/>
  <c r="G10" i="32"/>
  <c r="E52" i="1" s="1"/>
  <c r="G11" i="32"/>
  <c r="E53" i="1" s="1"/>
  <c r="G12" i="32"/>
  <c r="E54" i="1" s="1"/>
  <c r="G13" i="32"/>
  <c r="E55" i="1" s="1"/>
  <c r="G14" i="32"/>
  <c r="E56" i="1" s="1"/>
  <c r="I14" i="43"/>
  <c r="J14" i="43" s="1"/>
  <c r="I14" i="41"/>
  <c r="J14" i="41" s="1"/>
  <c r="I14" i="42"/>
  <c r="I13" i="42"/>
  <c r="I5" i="42"/>
  <c r="I6" i="42"/>
  <c r="H14" i="25"/>
  <c r="I11" i="42"/>
  <c r="I9" i="42"/>
  <c r="I10" i="42"/>
  <c r="I12" i="42"/>
  <c r="I8" i="42"/>
  <c r="C5" i="6"/>
  <c r="C32" i="1" s="1"/>
  <c r="C7" i="6"/>
  <c r="C34" i="1" s="1"/>
  <c r="C8" i="6"/>
  <c r="C35" i="1" s="1"/>
  <c r="C9" i="6"/>
  <c r="C36" i="1" s="1"/>
  <c r="C6" i="6"/>
  <c r="C33" i="1" s="1"/>
  <c r="C10" i="6"/>
  <c r="C37" i="1" s="1"/>
  <c r="C11" i="6"/>
  <c r="C38" i="1" s="1"/>
  <c r="C12" i="6"/>
  <c r="C39" i="1" s="1"/>
  <c r="C13" i="6"/>
  <c r="C40" i="1" s="1"/>
  <c r="C14" i="6"/>
  <c r="C41" i="1" s="1"/>
  <c r="F2" i="32"/>
  <c r="C15" i="43"/>
  <c r="R57" i="1" s="1"/>
  <c r="C15" i="41"/>
  <c r="M57" i="1" s="1"/>
  <c r="C15" i="42"/>
  <c r="H57" i="1" s="1"/>
  <c r="C15" i="32"/>
  <c r="C57" i="1" s="1"/>
  <c r="I7" i="42"/>
  <c r="C15" i="6"/>
  <c r="C42" i="1" s="1"/>
  <c r="H12" i="25"/>
  <c r="H10" i="25"/>
  <c r="H13" i="25"/>
  <c r="Q42" i="1"/>
  <c r="G15" i="29"/>
  <c r="H15" i="29" s="1"/>
  <c r="G57" i="1"/>
  <c r="G42" i="1"/>
  <c r="G15" i="25"/>
  <c r="H15" i="25" s="1"/>
  <c r="B8" i="6"/>
  <c r="B10" i="6"/>
  <c r="B7" i="6"/>
  <c r="B5" i="6"/>
  <c r="B9" i="6"/>
  <c r="B6" i="6"/>
  <c r="B11" i="6"/>
  <c r="B12" i="6"/>
  <c r="B13" i="6"/>
  <c r="B14" i="6"/>
  <c r="B57" i="1"/>
  <c r="L57" i="1"/>
  <c r="B42" i="1"/>
  <c r="H8" i="25"/>
  <c r="H7" i="25"/>
  <c r="H11" i="25"/>
  <c r="H9" i="25"/>
  <c r="B7" i="32"/>
  <c r="B8" i="32"/>
  <c r="B6" i="32"/>
  <c r="B5" i="32"/>
  <c r="B9" i="32"/>
  <c r="B10" i="32"/>
  <c r="B11" i="32"/>
  <c r="B12" i="32"/>
  <c r="B13" i="32"/>
  <c r="B14" i="32"/>
  <c r="H6" i="25"/>
  <c r="Q57" i="1"/>
  <c r="L42" i="1"/>
  <c r="G15" i="28"/>
  <c r="H15" i="28" s="1"/>
  <c r="H9" i="47"/>
  <c r="I7" i="47"/>
  <c r="I8" i="47"/>
  <c r="C9" i="46"/>
  <c r="C8" i="46"/>
  <c r="M64" i="1" s="1"/>
  <c r="C5" i="46"/>
  <c r="M61" i="1" s="1"/>
  <c r="C6" i="46"/>
  <c r="M62" i="1" s="1"/>
  <c r="C7" i="46"/>
  <c r="M63" i="1" s="1"/>
  <c r="I9" i="47"/>
  <c r="C10" i="46"/>
  <c r="M66" i="1" s="1"/>
  <c r="C10" i="47"/>
  <c r="R66" i="1" s="1"/>
  <c r="X8" i="1"/>
  <c r="L66" i="1"/>
  <c r="B11" i="47"/>
  <c r="M9" i="1"/>
  <c r="B11" i="46"/>
  <c r="L61" i="1"/>
  <c r="L64" i="1"/>
  <c r="L62" i="1"/>
  <c r="L63" i="1"/>
  <c r="Q66" i="1"/>
  <c r="D6" i="6" l="1"/>
  <c r="D33" i="1" s="1"/>
  <c r="D5" i="6"/>
  <c r="D32" i="1" s="1"/>
  <c r="D7" i="6"/>
  <c r="D34" i="1" s="1"/>
  <c r="D8" i="6"/>
  <c r="D35" i="1" s="1"/>
  <c r="D9" i="6"/>
  <c r="D36" i="1" s="1"/>
  <c r="D10" i="6"/>
  <c r="D37" i="1" s="1"/>
  <c r="D11" i="6"/>
  <c r="D38" i="1" s="1"/>
  <c r="D12" i="6"/>
  <c r="D39" i="1" s="1"/>
  <c r="D13" i="6"/>
  <c r="D40" i="1" s="1"/>
  <c r="D14" i="6"/>
  <c r="D41" i="1" s="1"/>
  <c r="F12" i="47"/>
  <c r="T68" i="1" s="1"/>
  <c r="BH10" i="1"/>
  <c r="F12" i="46"/>
  <c r="O68" i="1" s="1"/>
  <c r="AV10" i="1"/>
  <c r="E12" i="46"/>
  <c r="P68" i="1" s="1"/>
  <c r="E12" i="47"/>
  <c r="U68" i="1" s="1"/>
  <c r="E15" i="41"/>
  <c r="P57" i="1" s="1"/>
  <c r="I2" i="32"/>
  <c r="E15" i="43"/>
  <c r="U57" i="1" s="1"/>
  <c r="E15" i="42"/>
  <c r="K57" i="1" s="1"/>
  <c r="D7" i="32"/>
  <c r="D49" i="1" s="1"/>
  <c r="D5" i="32"/>
  <c r="D47" i="1" s="1"/>
  <c r="D6" i="32"/>
  <c r="D48" i="1" s="1"/>
  <c r="D8" i="32"/>
  <c r="D50" i="1" s="1"/>
  <c r="D9" i="32"/>
  <c r="D51" i="1" s="1"/>
  <c r="D10" i="32"/>
  <c r="D52" i="1" s="1"/>
  <c r="D11" i="32"/>
  <c r="D53" i="1" s="1"/>
  <c r="D12" i="32"/>
  <c r="D54" i="1" s="1"/>
  <c r="D13" i="32"/>
  <c r="D55" i="1" s="1"/>
  <c r="D14" i="32"/>
  <c r="D56" i="1" s="1"/>
  <c r="AJ10" i="1"/>
  <c r="D12" i="47"/>
  <c r="S68" i="1" s="1"/>
  <c r="D12" i="46"/>
  <c r="N68" i="1" s="1"/>
  <c r="F8" i="32"/>
  <c r="F7" i="32"/>
  <c r="F5" i="32"/>
  <c r="F9" i="32"/>
  <c r="F6" i="32"/>
  <c r="F10" i="32"/>
  <c r="F11" i="32"/>
  <c r="F12" i="32"/>
  <c r="F13" i="32"/>
  <c r="F14" i="32"/>
  <c r="J13" i="42"/>
  <c r="H7" i="46"/>
  <c r="I15" i="43"/>
  <c r="J15" i="43" s="1"/>
  <c r="J14" i="42"/>
  <c r="J10" i="42"/>
  <c r="J11" i="42"/>
  <c r="J8" i="42"/>
  <c r="I15" i="41"/>
  <c r="J15" i="41" s="1"/>
  <c r="J7" i="42"/>
  <c r="J12" i="42"/>
  <c r="J9" i="42"/>
  <c r="I15" i="32"/>
  <c r="J6" i="42"/>
  <c r="I15" i="42"/>
  <c r="J15" i="42" s="1"/>
  <c r="C8" i="32"/>
  <c r="C50" i="1" s="1"/>
  <c r="C5" i="32"/>
  <c r="C47" i="1" s="1"/>
  <c r="C9" i="32"/>
  <c r="C51" i="1" s="1"/>
  <c r="C10" i="32"/>
  <c r="C52" i="1" s="1"/>
  <c r="C6" i="32"/>
  <c r="C48" i="1" s="1"/>
  <c r="C7" i="32"/>
  <c r="C49" i="1" s="1"/>
  <c r="C11" i="32"/>
  <c r="C53" i="1" s="1"/>
  <c r="C12" i="32"/>
  <c r="C54" i="1" s="1"/>
  <c r="C13" i="32"/>
  <c r="C55" i="1" s="1"/>
  <c r="C14" i="32"/>
  <c r="C56" i="1" s="1"/>
  <c r="G15" i="6"/>
  <c r="B52" i="1"/>
  <c r="B35" i="1"/>
  <c r="G8" i="6"/>
  <c r="B55" i="1"/>
  <c r="B51" i="1"/>
  <c r="B49" i="1"/>
  <c r="B39" i="1"/>
  <c r="G12" i="6"/>
  <c r="B32" i="1"/>
  <c r="G5" i="6"/>
  <c r="B50" i="1"/>
  <c r="B40" i="1"/>
  <c r="G13" i="6"/>
  <c r="B54" i="1"/>
  <c r="B47" i="1"/>
  <c r="B38" i="1"/>
  <c r="G11" i="6"/>
  <c r="B34" i="1"/>
  <c r="G7" i="6"/>
  <c r="B56" i="1"/>
  <c r="B36" i="1"/>
  <c r="G9" i="6"/>
  <c r="B53" i="1"/>
  <c r="B48" i="1"/>
  <c r="B41" i="1"/>
  <c r="G14" i="6"/>
  <c r="B33" i="1"/>
  <c r="G6" i="6"/>
  <c r="B37" i="1"/>
  <c r="G10" i="6"/>
  <c r="H6" i="46"/>
  <c r="H10" i="46"/>
  <c r="H5" i="46"/>
  <c r="H10" i="47"/>
  <c r="I10" i="47" s="1"/>
  <c r="H8" i="46"/>
  <c r="C11" i="47"/>
  <c r="R67" i="1" s="1"/>
  <c r="X9" i="1"/>
  <c r="C11" i="46"/>
  <c r="M67" i="1" s="1"/>
  <c r="M65" i="1"/>
  <c r="H9" i="46"/>
  <c r="L67" i="1"/>
  <c r="Q67" i="1"/>
  <c r="B12" i="47"/>
  <c r="M10" i="1"/>
  <c r="B12" i="46"/>
  <c r="E5" i="32" l="1"/>
  <c r="F47" i="1" s="1"/>
  <c r="E6" i="32"/>
  <c r="F48" i="1" s="1"/>
  <c r="E7" i="32"/>
  <c r="F49" i="1" s="1"/>
  <c r="E8" i="32"/>
  <c r="F50" i="1" s="1"/>
  <c r="E9" i="32"/>
  <c r="F51" i="1" s="1"/>
  <c r="E10" i="32"/>
  <c r="F52" i="1" s="1"/>
  <c r="E11" i="32"/>
  <c r="F53" i="1" s="1"/>
  <c r="E12" i="32"/>
  <c r="F54" i="1" s="1"/>
  <c r="E13" i="32"/>
  <c r="F55" i="1" s="1"/>
  <c r="E14" i="32"/>
  <c r="F56" i="1" s="1"/>
  <c r="G2" i="45"/>
  <c r="D13" i="47"/>
  <c r="S69" i="1" s="1"/>
  <c r="AJ11" i="1"/>
  <c r="D13" i="46"/>
  <c r="N69" i="1" s="1"/>
  <c r="D13" i="45"/>
  <c r="I69" i="1" s="1"/>
  <c r="AV11" i="1"/>
  <c r="E13" i="46"/>
  <c r="P69" i="1" s="1"/>
  <c r="I2" i="45"/>
  <c r="E13" i="47"/>
  <c r="U69" i="1" s="1"/>
  <c r="K2" i="45"/>
  <c r="BH11" i="1"/>
  <c r="F13" i="47"/>
  <c r="T69" i="1" s="1"/>
  <c r="F13" i="46"/>
  <c r="O69" i="1" s="1"/>
  <c r="F13" i="45"/>
  <c r="J69" i="1" s="1"/>
  <c r="E15" i="32"/>
  <c r="F57" i="1" s="1"/>
  <c r="I10" i="46"/>
  <c r="I8" i="46"/>
  <c r="I7" i="46"/>
  <c r="I6" i="32"/>
  <c r="I8" i="32"/>
  <c r="I12" i="32"/>
  <c r="I11" i="32"/>
  <c r="I9" i="32"/>
  <c r="H6" i="6"/>
  <c r="I13" i="32"/>
  <c r="J13" i="32" s="1"/>
  <c r="I10" i="32"/>
  <c r="I5" i="32"/>
  <c r="I14" i="32"/>
  <c r="J15" i="32" s="1"/>
  <c r="I7" i="32"/>
  <c r="H10" i="6"/>
  <c r="H14" i="6"/>
  <c r="H9" i="6"/>
  <c r="H13" i="6"/>
  <c r="H8" i="6"/>
  <c r="H7" i="6"/>
  <c r="H15" i="6"/>
  <c r="H11" i="6"/>
  <c r="H12" i="6"/>
  <c r="I6" i="46"/>
  <c r="H11" i="46"/>
  <c r="I11" i="46" s="1"/>
  <c r="I9" i="46"/>
  <c r="H11" i="47"/>
  <c r="I11" i="47" s="1"/>
  <c r="X10" i="1"/>
  <c r="C12" i="47"/>
  <c r="R68" i="1" s="1"/>
  <c r="C12" i="46"/>
  <c r="M68" i="1" s="1"/>
  <c r="M11" i="1"/>
  <c r="E2" i="45"/>
  <c r="B13" i="45" s="1"/>
  <c r="B13" i="47"/>
  <c r="B13" i="46"/>
  <c r="L68" i="1"/>
  <c r="Q68" i="1"/>
  <c r="F5" i="45" l="1"/>
  <c r="J61" i="1" s="1"/>
  <c r="F6" i="45"/>
  <c r="J62" i="1" s="1"/>
  <c r="F7" i="45"/>
  <c r="J63" i="1" s="1"/>
  <c r="F8" i="45"/>
  <c r="J64" i="1" s="1"/>
  <c r="F9" i="45"/>
  <c r="J65" i="1" s="1"/>
  <c r="F10" i="45"/>
  <c r="J66" i="1" s="1"/>
  <c r="F11" i="45"/>
  <c r="J67" i="1" s="1"/>
  <c r="F12" i="45"/>
  <c r="J68" i="1" s="1"/>
  <c r="E5" i="45"/>
  <c r="K61" i="1" s="1"/>
  <c r="E6" i="45"/>
  <c r="K62" i="1" s="1"/>
  <c r="E7" i="45"/>
  <c r="K63" i="1" s="1"/>
  <c r="E8" i="45"/>
  <c r="K64" i="1" s="1"/>
  <c r="E9" i="45"/>
  <c r="K65" i="1" s="1"/>
  <c r="E10" i="45"/>
  <c r="K66" i="1" s="1"/>
  <c r="E11" i="45"/>
  <c r="K67" i="1" s="1"/>
  <c r="E12" i="45"/>
  <c r="K68" i="1" s="1"/>
  <c r="D5" i="45"/>
  <c r="I61" i="1" s="1"/>
  <c r="D6" i="45"/>
  <c r="I62" i="1" s="1"/>
  <c r="D7" i="45"/>
  <c r="I63" i="1" s="1"/>
  <c r="D8" i="45"/>
  <c r="I64" i="1" s="1"/>
  <c r="D9" i="45"/>
  <c r="I65" i="1" s="1"/>
  <c r="D10" i="45"/>
  <c r="I66" i="1" s="1"/>
  <c r="D11" i="45"/>
  <c r="I67" i="1" s="1"/>
  <c r="D12" i="45"/>
  <c r="I68" i="1" s="1"/>
  <c r="E13" i="45"/>
  <c r="K69" i="1" s="1"/>
  <c r="F14" i="47"/>
  <c r="T70" i="1" s="1"/>
  <c r="BH12" i="1"/>
  <c r="F14" i="46"/>
  <c r="O70" i="1" s="1"/>
  <c r="F14" i="45"/>
  <c r="J70" i="1" s="1"/>
  <c r="E14" i="46"/>
  <c r="P70" i="1" s="1"/>
  <c r="AV12" i="1"/>
  <c r="E14" i="47"/>
  <c r="U70" i="1" s="1"/>
  <c r="E14" i="45"/>
  <c r="K70" i="1" s="1"/>
  <c r="AJ12" i="1"/>
  <c r="D14" i="47"/>
  <c r="S70" i="1" s="1"/>
  <c r="D14" i="46"/>
  <c r="N70" i="1" s="1"/>
  <c r="D14" i="45"/>
  <c r="I70" i="1" s="1"/>
  <c r="J6" i="32"/>
  <c r="J8" i="32"/>
  <c r="J12" i="32"/>
  <c r="J9" i="32"/>
  <c r="J7" i="32"/>
  <c r="J10" i="32"/>
  <c r="J11" i="32"/>
  <c r="J14" i="32"/>
  <c r="H12" i="46"/>
  <c r="I12" i="46" s="1"/>
  <c r="X11" i="1"/>
  <c r="C13" i="47"/>
  <c r="R69" i="1" s="1"/>
  <c r="C13" i="46"/>
  <c r="M69" i="1" s="1"/>
  <c r="F2" i="45"/>
  <c r="C13" i="45" s="1"/>
  <c r="H69" i="1" s="1"/>
  <c r="H12" i="47"/>
  <c r="I12" i="47" s="1"/>
  <c r="Q69" i="1"/>
  <c r="M12" i="1"/>
  <c r="B14" i="47"/>
  <c r="B14" i="45"/>
  <c r="B14" i="46"/>
  <c r="G69" i="1"/>
  <c r="L69" i="1"/>
  <c r="B5" i="45"/>
  <c r="B6" i="45"/>
  <c r="B7" i="45"/>
  <c r="B8" i="45"/>
  <c r="B9" i="45"/>
  <c r="B10" i="45"/>
  <c r="B11" i="45"/>
  <c r="B12" i="45"/>
  <c r="G2" i="44" l="1"/>
  <c r="D15" i="47"/>
  <c r="S71" i="1" s="1"/>
  <c r="D15" i="44"/>
  <c r="D71" i="1" s="1"/>
  <c r="D15" i="46"/>
  <c r="N71" i="1" s="1"/>
  <c r="D15" i="45"/>
  <c r="I71" i="1" s="1"/>
  <c r="I2" i="44"/>
  <c r="E15" i="44"/>
  <c r="F71" i="1" s="1"/>
  <c r="E15" i="46"/>
  <c r="P71" i="1" s="1"/>
  <c r="E15" i="45"/>
  <c r="K71" i="1" s="1"/>
  <c r="E15" i="47"/>
  <c r="U71" i="1" s="1"/>
  <c r="K2" i="44"/>
  <c r="F15" i="47"/>
  <c r="T71" i="1" s="1"/>
  <c r="F15" i="45"/>
  <c r="J71" i="1" s="1"/>
  <c r="F15" i="46"/>
  <c r="O71" i="1" s="1"/>
  <c r="H13" i="46"/>
  <c r="I13" i="46" s="1"/>
  <c r="H13" i="47"/>
  <c r="I13" i="47" s="1"/>
  <c r="C14" i="47"/>
  <c r="R70" i="1" s="1"/>
  <c r="C14" i="46"/>
  <c r="M70" i="1" s="1"/>
  <c r="C14" i="45"/>
  <c r="H70" i="1" s="1"/>
  <c r="X12" i="1"/>
  <c r="C7" i="45"/>
  <c r="H63" i="1" s="1"/>
  <c r="C11" i="45"/>
  <c r="H67" i="1" s="1"/>
  <c r="C8" i="45"/>
  <c r="H64" i="1" s="1"/>
  <c r="C12" i="45"/>
  <c r="H68" i="1" s="1"/>
  <c r="C5" i="45"/>
  <c r="H61" i="1" s="1"/>
  <c r="C6" i="45"/>
  <c r="H62" i="1" s="1"/>
  <c r="C9" i="45"/>
  <c r="H65" i="1" s="1"/>
  <c r="C10" i="45"/>
  <c r="H66" i="1" s="1"/>
  <c r="H13" i="45"/>
  <c r="G61" i="1"/>
  <c r="B15" i="45"/>
  <c r="B15" i="47"/>
  <c r="E2" i="44"/>
  <c r="B15" i="46"/>
  <c r="G68" i="1"/>
  <c r="G67" i="1"/>
  <c r="G63" i="1"/>
  <c r="G70" i="1"/>
  <c r="G65" i="1"/>
  <c r="G64" i="1"/>
  <c r="L70" i="1"/>
  <c r="G66" i="1"/>
  <c r="G62" i="1"/>
  <c r="Q70" i="1"/>
  <c r="E5" i="44" l="1"/>
  <c r="F61" i="1" s="1"/>
  <c r="E6" i="44"/>
  <c r="F62" i="1" s="1"/>
  <c r="E7" i="44"/>
  <c r="F63" i="1" s="1"/>
  <c r="E8" i="44"/>
  <c r="F64" i="1" s="1"/>
  <c r="E9" i="44"/>
  <c r="F65" i="1" s="1"/>
  <c r="E10" i="44"/>
  <c r="F66" i="1" s="1"/>
  <c r="E11" i="44"/>
  <c r="F67" i="1" s="1"/>
  <c r="E12" i="44"/>
  <c r="F68" i="1" s="1"/>
  <c r="E13" i="44"/>
  <c r="F69" i="1" s="1"/>
  <c r="E14" i="44"/>
  <c r="F70" i="1" s="1"/>
  <c r="F5" i="44"/>
  <c r="E61" i="1" s="1"/>
  <c r="F6" i="44"/>
  <c r="E62" i="1" s="1"/>
  <c r="F7" i="44"/>
  <c r="E63" i="1" s="1"/>
  <c r="F8" i="44"/>
  <c r="E64" i="1" s="1"/>
  <c r="F9" i="44"/>
  <c r="E65" i="1" s="1"/>
  <c r="F10" i="44"/>
  <c r="E66" i="1" s="1"/>
  <c r="F11" i="44"/>
  <c r="E67" i="1" s="1"/>
  <c r="F12" i="44"/>
  <c r="E68" i="1" s="1"/>
  <c r="F13" i="44"/>
  <c r="E69" i="1" s="1"/>
  <c r="F14" i="44"/>
  <c r="E70" i="1" s="1"/>
  <c r="F15" i="44"/>
  <c r="E71" i="1" s="1"/>
  <c r="D5" i="44"/>
  <c r="D61" i="1" s="1"/>
  <c r="D6" i="44"/>
  <c r="D62" i="1" s="1"/>
  <c r="D7" i="44"/>
  <c r="D63" i="1" s="1"/>
  <c r="D8" i="44"/>
  <c r="D64" i="1" s="1"/>
  <c r="D9" i="44"/>
  <c r="D65" i="1" s="1"/>
  <c r="D10" i="44"/>
  <c r="D66" i="1" s="1"/>
  <c r="D11" i="44"/>
  <c r="D67" i="1" s="1"/>
  <c r="D12" i="44"/>
  <c r="D68" i="1" s="1"/>
  <c r="D13" i="44"/>
  <c r="D69" i="1" s="1"/>
  <c r="D14" i="44"/>
  <c r="D70" i="1" s="1"/>
  <c r="H7" i="45"/>
  <c r="H9" i="45"/>
  <c r="H14" i="47"/>
  <c r="I14" i="47" s="1"/>
  <c r="H8" i="45"/>
  <c r="H10" i="45"/>
  <c r="H14" i="45"/>
  <c r="I14" i="45" s="1"/>
  <c r="H6" i="45"/>
  <c r="H14" i="46"/>
  <c r="I14" i="46" s="1"/>
  <c r="H11" i="45"/>
  <c r="I11" i="45" s="1"/>
  <c r="F2" i="44"/>
  <c r="C15" i="45"/>
  <c r="H71" i="1" s="1"/>
  <c r="C15" i="46"/>
  <c r="M71" i="1" s="1"/>
  <c r="C15" i="47"/>
  <c r="R71" i="1" s="1"/>
  <c r="H5" i="45"/>
  <c r="H12" i="45"/>
  <c r="Q71" i="1"/>
  <c r="L71" i="1"/>
  <c r="G71" i="1"/>
  <c r="B5" i="44"/>
  <c r="B6" i="44"/>
  <c r="B7" i="44"/>
  <c r="B8" i="44"/>
  <c r="B9" i="44"/>
  <c r="B10" i="44"/>
  <c r="B11" i="44"/>
  <c r="B12" i="44"/>
  <c r="B13" i="44"/>
  <c r="B14" i="44"/>
  <c r="B15" i="44"/>
  <c r="I7" i="45" l="1"/>
  <c r="I8" i="45"/>
  <c r="H15" i="47"/>
  <c r="I15" i="47" s="1"/>
  <c r="H15" i="45"/>
  <c r="I15" i="45" s="1"/>
  <c r="I6" i="45"/>
  <c r="I10" i="45"/>
  <c r="I9" i="45"/>
  <c r="I12" i="45"/>
  <c r="C6" i="44"/>
  <c r="C62" i="1" s="1"/>
  <c r="C10" i="44"/>
  <c r="C66" i="1" s="1"/>
  <c r="C14" i="44"/>
  <c r="C70" i="1" s="1"/>
  <c r="C13" i="44"/>
  <c r="C69" i="1" s="1"/>
  <c r="C7" i="44"/>
  <c r="C63" i="1" s="1"/>
  <c r="C11" i="44"/>
  <c r="C67" i="1" s="1"/>
  <c r="C9" i="44"/>
  <c r="C65" i="1" s="1"/>
  <c r="C8" i="44"/>
  <c r="C64" i="1" s="1"/>
  <c r="C12" i="44"/>
  <c r="C68" i="1" s="1"/>
  <c r="C5" i="44"/>
  <c r="C61" i="1" s="1"/>
  <c r="H15" i="46"/>
  <c r="I15" i="46" s="1"/>
  <c r="I13" i="45"/>
  <c r="C15" i="44"/>
  <c r="C71" i="1" s="1"/>
  <c r="B69" i="1"/>
  <c r="B65" i="1"/>
  <c r="B61" i="1"/>
  <c r="B71" i="1"/>
  <c r="B68" i="1"/>
  <c r="B64" i="1"/>
  <c r="B67" i="1"/>
  <c r="B63" i="1"/>
  <c r="B70" i="1"/>
  <c r="B66" i="1"/>
  <c r="B62" i="1"/>
  <c r="H10" i="44" l="1"/>
  <c r="H9" i="44"/>
  <c r="H12" i="44"/>
  <c r="H6" i="44"/>
  <c r="H15" i="44"/>
  <c r="H7" i="44"/>
  <c r="H8" i="44"/>
  <c r="H11" i="44"/>
  <c r="H5" i="44"/>
  <c r="H13" i="44"/>
  <c r="H14" i="44"/>
  <c r="I11" i="44" l="1"/>
  <c r="I12" i="44"/>
  <c r="I13" i="44"/>
  <c r="I10" i="44"/>
  <c r="I7" i="44"/>
  <c r="I8" i="44"/>
  <c r="I6" i="44"/>
  <c r="I9" i="44"/>
  <c r="I14" i="44"/>
  <c r="I15" i="44"/>
</calcChain>
</file>

<file path=xl/sharedStrings.xml><?xml version="1.0" encoding="utf-8"?>
<sst xmlns="http://schemas.openxmlformats.org/spreadsheetml/2006/main" count="391" uniqueCount="156">
  <si>
    <t>Highest Grade</t>
  </si>
  <si>
    <t>Income Index</t>
  </si>
  <si>
    <t>Unemployment Index</t>
  </si>
  <si>
    <t>Education</t>
  </si>
  <si>
    <t>Income</t>
  </si>
  <si>
    <t>Unemployment</t>
  </si>
  <si>
    <t>Base Income</t>
  </si>
  <si>
    <t>Base Unemployment</t>
  </si>
  <si>
    <t>Compensation</t>
  </si>
  <si>
    <t>Gain</t>
  </si>
  <si>
    <t>Intermediate years have constant rate of return consistent with these sheepskin effects.</t>
  </si>
  <si>
    <t>ordinary high school income premium</t>
  </si>
  <si>
    <t>ordinary college income premium</t>
  </si>
  <si>
    <t>ordinary advanced income premium</t>
  </si>
  <si>
    <t>ordinary high school unemp premium</t>
  </si>
  <si>
    <t>ordinary college unemp premium</t>
  </si>
  <si>
    <t>ordinary advanced unemp premium</t>
  </si>
  <si>
    <t>Excellent Income</t>
  </si>
  <si>
    <t>Excellent Unemp</t>
  </si>
  <si>
    <t>Good Income</t>
  </si>
  <si>
    <t>Good Unemp</t>
  </si>
  <si>
    <t>Fair Income</t>
  </si>
  <si>
    <t>Fair Unemp</t>
  </si>
  <si>
    <t>Poor Income</t>
  </si>
  <si>
    <t>Poor Unemp</t>
  </si>
  <si>
    <t>ordinary high school participation premium</t>
  </si>
  <si>
    <t>ordinary college participation premium</t>
  </si>
  <si>
    <t>ordinary advanced participation premium</t>
  </si>
  <si>
    <t>Participation Index</t>
  </si>
  <si>
    <t>Base Participation</t>
  </si>
  <si>
    <t>Participation</t>
  </si>
  <si>
    <t>Excellent Participation</t>
  </si>
  <si>
    <t>Good Participation</t>
  </si>
  <si>
    <t>Fair Participation</t>
  </si>
  <si>
    <t>Poor Participation</t>
  </si>
  <si>
    <t>Note: Benefits ratio from CBO, “Comparing the Compensation of Federal and Private-Sector Employees"</t>
  </si>
  <si>
    <t>CBO Benefits Ratio</t>
  </si>
  <si>
    <t>Benefits</t>
  </si>
  <si>
    <t>ordinary high school benefit premium</t>
  </si>
  <si>
    <t>ordinary college benefit premium</t>
  </si>
  <si>
    <t>ordinary advanced benefit premium</t>
  </si>
  <si>
    <t>Benefit Index</t>
  </si>
  <si>
    <t>Base Benefits</t>
  </si>
  <si>
    <t>Benefits Index</t>
  </si>
  <si>
    <t>Excellent Benefits</t>
  </si>
  <si>
    <t>Good Benefits</t>
  </si>
  <si>
    <t>Fair Benefits</t>
  </si>
  <si>
    <t>Poor Benefits</t>
  </si>
  <si>
    <t>Selfish</t>
  </si>
  <si>
    <t xml:space="preserve">Calculations of selfish benefits assume following sheepskin effects: senior year of high school has 3.4 times percent effect one regular year; senior year of college has 6.7 times percent effect of one regular year; last year of advanced degree has 6.7 times percent effect of one regular year.  </t>
  </si>
  <si>
    <t>Estimated/Observed Crime Cost from crimeworksheet.xls</t>
  </si>
  <si>
    <t>Census Income Observation (Balanced)</t>
  </si>
  <si>
    <t>Census Income Observation (Male)</t>
  </si>
  <si>
    <t>Census Income Observation (Female)</t>
  </si>
  <si>
    <t>St. Louis Fed Unemployment (Balanced)</t>
  </si>
  <si>
    <t>St. Louis Fed Unemployment (Male)</t>
  </si>
  <si>
    <t>St. Louis Fed Unemployment (Female)</t>
  </si>
  <si>
    <t>DES Workforce Participation (Balanced)</t>
  </si>
  <si>
    <t>DES Workforce Participation (Male)</t>
  </si>
  <si>
    <t>DES Workforce Participation (Female)</t>
  </si>
  <si>
    <t>Estimated/Observed Crime Cost (Balanced)</t>
  </si>
  <si>
    <t>Estimated/Observed Crime Cost (Male)</t>
  </si>
  <si>
    <t>Estimated/Observed Crime Cost (Female)</t>
  </si>
  <si>
    <t>Crime Index</t>
  </si>
  <si>
    <t>Note: 35,524 is Census observation for males with some high school (grades 9-12, no high school); 22,662 is Census observation for females with some high school (grades 9-12, no high school).  Calculations assume average drop-out's highest completed grade=10.</t>
  </si>
  <si>
    <t>Note: 9.2% is St. Louis Fed observation for male drop-outs.  10.8% is St. Louis Fed observation for female dropouts.  Calculations assume average drop-out's highest completed grade=10.</t>
  </si>
  <si>
    <t>DES Workforce Participation treats part-time males as 31% of a full-time worker, and part-time females as 38% of a full-time worker.</t>
  </si>
  <si>
    <t>Conservative calculations of social benefits assume sheepskin effects are 100% signaling, and remaining effects are human capital.</t>
  </si>
  <si>
    <t>Reasonable calculations of social benefits assume 80% of effects are signaling, and productivity within degree programs changes at a constant rate.</t>
  </si>
  <si>
    <t>ordinary high school crime reduction premium</t>
  </si>
  <si>
    <t>ordinary college crime reduction premium</t>
  </si>
  <si>
    <t>ordinary advanced crime reduction premium</t>
  </si>
  <si>
    <t>Raw % Income Change from Lower Tier</t>
  </si>
  <si>
    <t>Raw % Benefits Change from Lower Tier</t>
  </si>
  <si>
    <t>Raw % Unemployment Change from Lower Tier</t>
  </si>
  <si>
    <t>Raw % Participation Change from Lower Tier</t>
  </si>
  <si>
    <t>Raw % Crime Change from Lower Tier</t>
  </si>
  <si>
    <t>Social Crime Index (Reasonable Signaling)</t>
  </si>
  <si>
    <t>Social Crime Index (Conservative Signaling)</t>
  </si>
  <si>
    <t>HS Completion Probability (Balanced)</t>
  </si>
  <si>
    <t>HS Completion Probability (Male)</t>
  </si>
  <si>
    <t>HS Completion Probability (Female)</t>
  </si>
  <si>
    <t>BA Completion Probability (Balanced)</t>
  </si>
  <si>
    <t>BA Completion Probability (Male)</t>
  </si>
  <si>
    <t>BA Completion Probability (Female)</t>
  </si>
  <si>
    <t>MA Completion Probability (Balanced)</t>
  </si>
  <si>
    <t>MA Completion Probability (Male)</t>
  </si>
  <si>
    <t>MA Completion Probability (Female)</t>
  </si>
  <si>
    <t>Source: See Technical Appendix A1</t>
  </si>
  <si>
    <t>Excellent</t>
  </si>
  <si>
    <t>Student Ability</t>
  </si>
  <si>
    <t>Good</t>
  </si>
  <si>
    <t>Poor</t>
  </si>
  <si>
    <t>Fair</t>
  </si>
  <si>
    <t>Base Crime Cost</t>
  </si>
  <si>
    <t>Crime Cost</t>
  </si>
  <si>
    <t>Excellent Completion Probability</t>
  </si>
  <si>
    <t>Good Completion Probability</t>
  </si>
  <si>
    <t>Fair Completion Probability</t>
  </si>
  <si>
    <t>Poor Completion Probability</t>
  </si>
  <si>
    <t>Balanced Excellent</t>
  </si>
  <si>
    <t>Balanced Good</t>
  </si>
  <si>
    <t>Balanced Fair</t>
  </si>
  <si>
    <t>Balanced Poor</t>
  </si>
  <si>
    <t>Male Share</t>
  </si>
  <si>
    <t>Social - Conservative Signaling</t>
  </si>
  <si>
    <t>Social - Reasonable Signaling</t>
  </si>
  <si>
    <t>Excellent Crime</t>
  </si>
  <si>
    <t>Good Crime</t>
  </si>
  <si>
    <t>Fair Crime</t>
  </si>
  <si>
    <t>Poor Crime</t>
  </si>
  <si>
    <t>Social Income Index (Conservative Signaling)</t>
  </si>
  <si>
    <t>Social Benefit Index (Conservative Signaling)</t>
  </si>
  <si>
    <t>Social Unemployment Index (Conservative Signaling)</t>
  </si>
  <si>
    <t>Social Participation Index (Conservative Signaling)</t>
  </si>
  <si>
    <t>Social Income Index (Reasonable Signaling)</t>
  </si>
  <si>
    <t>Social Benefit Index (Reasonable Signaling)</t>
  </si>
  <si>
    <t>Social Unemployment Index (Reasonable Signaling)</t>
  </si>
  <si>
    <t>Social Participation Index (Reasonable Signaling)</t>
  </si>
  <si>
    <t>Social Crime Cost</t>
  </si>
  <si>
    <t>Social Crime Index</t>
  </si>
  <si>
    <t>Social Crime Index - Signaling</t>
  </si>
  <si>
    <t xml:space="preserve">Social Crime Index </t>
  </si>
  <si>
    <t>Ability Bias</t>
  </si>
  <si>
    <t>Reasonable Signaling</t>
  </si>
  <si>
    <t>Crime Ability Bias</t>
  </si>
  <si>
    <t>100% Participation?</t>
  </si>
  <si>
    <t>% Income Change from Lower Tier Adjusted for Ability Bias</t>
  </si>
  <si>
    <t xml:space="preserve">% Income Change Adjusted for Ability Bias and Sheepskin </t>
  </si>
  <si>
    <t xml:space="preserve">% Social Income Change Adjusted for Ability Bias,  Sheepskin, and Conservative Signaling </t>
  </si>
  <si>
    <t xml:space="preserve">% Social Income Change from Lower Tier Adjusted for Ability Bias,  Sheepskin, and Reasonable Signaling </t>
  </si>
  <si>
    <t xml:space="preserve">% Social Income Change Adjusted for Ability Bias,  Sheepskin, and Reasonable Signaling </t>
  </si>
  <si>
    <t>% Benefit Change  from Lower Tier Adjusted for Ability Bias</t>
  </si>
  <si>
    <t xml:space="preserve">% Benefit Change Adjusted for Ability Bias and Sheepskin </t>
  </si>
  <si>
    <t xml:space="preserve">% Social Benefit Change Adjusted for Ability Bias,  Sheepskin, and Conservative Signaling </t>
  </si>
  <si>
    <t xml:space="preserve">% Social Benefit Change from Lower Tier Adjusted for Ability Bias,  Sheepskin, and Reasonable Signaling </t>
  </si>
  <si>
    <t xml:space="preserve">% Social Benefit Change Adjusted for Ability Bias,  Sheepskin, and Reasonable Signaling </t>
  </si>
  <si>
    <t>% Unemployment Change  from Lower Tier Adjusted for Ability Bias</t>
  </si>
  <si>
    <t xml:space="preserve">% Unemployment Change Adjusted for Ability Bias and Sheepskin </t>
  </si>
  <si>
    <t xml:space="preserve">% Social Unemployment Change Adjusted for Ability Bias,  Sheepskin, and Conservative Signaling </t>
  </si>
  <si>
    <t xml:space="preserve">% Social Unemployment Change from Lower Tier Adjusted for Ability Bias,  Sheepskin, and Reasonable Signaling </t>
  </si>
  <si>
    <t xml:space="preserve">% Social Unemployment Change Adjusted for Ability Bias,  Sheepskin, and Reasonable Signaling </t>
  </si>
  <si>
    <t>% Participation Change  from Lower Tier Adjusted for Ability Bias</t>
  </si>
  <si>
    <t xml:space="preserve">% Participation Change Adjusted for Ability Bias and Sheepskin </t>
  </si>
  <si>
    <t xml:space="preserve">% Social Participation Change Adjusted for Ability Bias,  Sheepskin, and Conservative Signaling </t>
  </si>
  <si>
    <t xml:space="preserve">% Social Participation Change from Lower Tier Adjusted for Ability Bias,  Sheepskin, and Reasonable Signaling </t>
  </si>
  <si>
    <t xml:space="preserve">% Social Participation Change Adjusted for Ability Bias,  Sheepskin, and Reasonable Signaling </t>
  </si>
  <si>
    <t>% Crime Change from Lower Tier Adjusted for Ability Bias</t>
  </si>
  <si>
    <t xml:space="preserve">% Crime Change for Ability Bias and Sheepskin </t>
  </si>
  <si>
    <t xml:space="preserve">% Social Crime Change Adjusted for Ability Bias,  Sheepskin, and Conservative Signaling </t>
  </si>
  <si>
    <t>% Social Crime Change from Lower Tier Adjusted for Ability Bias and Reasonable Signaling</t>
  </si>
  <si>
    <t>% Social Crime Change Adjusted for Ability Bias and Reasonable Signaling</t>
  </si>
  <si>
    <t>hsprem</t>
  </si>
  <si>
    <t>colprem</t>
  </si>
  <si>
    <t>maprem</t>
  </si>
  <si>
    <t>hsprem, colprem, and maprem selected to give social returns of 4% given signaling assumption and student quality.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</si>
</sst>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%"/>
    <numFmt numFmtId="165" formatCode="0.0"/>
    <numFmt numFmtId="166" formatCode="0.000"/>
    <numFmt numFmtId="167" formatCode="#,##0.0"/>
    <numFmt numFmtId="168" formatCode="0.000000000000000"/>
  </numFmts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166" fontId="5" fillId="0" borderId="0" applyFont="0" applyAlignment="0"/>
    <xf numFmtId="3" fontId="4" fillId="0" borderId="0"/>
    <xf numFmtId="165" fontId="7" fillId="0" borderId="0"/>
    <xf numFmtId="164" fontId="4" fillId="0" borderId="0"/>
  </cellStyleXfs>
  <cellXfs count="40">
    <xf numFmtId="0" fontId="0" fillId="0" borderId="0" xfId="0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164" fontId="1" fillId="0" borderId="0" xfId="0" applyNumberFormat="1" applyFont="1" applyAlignment="1">
      <alignment horizontal="right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2" fontId="0" fillId="0" borderId="0" xfId="0" applyNumberFormat="1"/>
    <xf numFmtId="166" fontId="1" fillId="0" borderId="0" xfId="0" applyNumberFormat="1" applyFont="1"/>
    <xf numFmtId="164" fontId="1" fillId="0" borderId="0" xfId="0" applyNumberFormat="1" applyFont="1"/>
    <xf numFmtId="3" fontId="3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0" fontId="4" fillId="0" borderId="0" xfId="0" applyFont="1"/>
    <xf numFmtId="0" fontId="5" fillId="0" borderId="0" xfId="0" applyFont="1" applyBorder="1"/>
    <xf numFmtId="10" fontId="5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/>
    <xf numFmtId="3" fontId="4" fillId="0" borderId="0" xfId="2"/>
    <xf numFmtId="164" fontId="4" fillId="0" borderId="0" xfId="4"/>
    <xf numFmtId="0" fontId="5" fillId="0" borderId="0" xfId="0" applyFont="1"/>
    <xf numFmtId="166" fontId="1" fillId="0" borderId="0" xfId="1" applyFont="1"/>
    <xf numFmtId="166" fontId="5" fillId="0" borderId="0" xfId="1" applyFont="1" applyAlignment="1">
      <alignment horizontal="right" vertical="center" wrapText="1"/>
    </xf>
    <xf numFmtId="3" fontId="4" fillId="0" borderId="0" xfId="0" applyNumberFormat="1" applyFont="1"/>
    <xf numFmtId="0" fontId="6" fillId="0" borderId="0" xfId="0" applyFont="1"/>
    <xf numFmtId="0" fontId="8" fillId="0" borderId="0" xfId="0" applyFont="1" applyAlignment="1">
      <alignment horizontal="right" vertical="center"/>
    </xf>
    <xf numFmtId="164" fontId="4" fillId="0" borderId="0" xfId="0" applyNumberFormat="1" applyFont="1"/>
    <xf numFmtId="164" fontId="4" fillId="0" borderId="0" xfId="0" applyNumberFormat="1" applyFont="1" applyAlignment="1">
      <alignment horizontal="right"/>
    </xf>
    <xf numFmtId="166" fontId="8" fillId="0" borderId="0" xfId="1" applyFont="1" applyAlignment="1">
      <alignment horizontal="right" vertical="center" wrapText="1"/>
    </xf>
    <xf numFmtId="166" fontId="4" fillId="0" borderId="0" xfId="1" applyFont="1" applyAlignment="1">
      <alignment horizontal="justify" vertical="center" wrapText="1"/>
    </xf>
    <xf numFmtId="166" fontId="0" fillId="0" borderId="0" xfId="1" applyFont="1"/>
    <xf numFmtId="166" fontId="5" fillId="0" borderId="0" xfId="1" applyFont="1"/>
    <xf numFmtId="168" fontId="1" fillId="0" borderId="0" xfId="1" applyNumberFormat="1" applyFont="1"/>
    <xf numFmtId="0" fontId="1" fillId="0" borderId="0" xfId="0" applyFont="1" applyAlignment="1">
      <alignment horizontal="left"/>
    </xf>
    <xf numFmtId="3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5" fontId="0" fillId="0" borderId="0" xfId="0" applyNumberFormat="1" applyAlignment="1">
      <alignment horizontal="left"/>
    </xf>
    <xf numFmtId="165" fontId="4" fillId="0" borderId="0" xfId="0" applyNumberFormat="1" applyFont="1" applyAlignment="1">
      <alignment horizontal="left"/>
    </xf>
    <xf numFmtId="165" fontId="5" fillId="0" borderId="0" xfId="0" applyNumberFormat="1" applyFont="1" applyAlignment="1">
      <alignment horizontal="left"/>
    </xf>
    <xf numFmtId="165" fontId="7" fillId="0" borderId="0" xfId="3"/>
    <xf numFmtId="0" fontId="0" fillId="0" borderId="0" xfId="0" applyFont="1"/>
  </cellXfs>
  <cellStyles count="5">
    <cellStyle name="3Decimals" xfId="1"/>
    <cellStyle name="NoDecimals" xfId="2"/>
    <cellStyle name="Normal" xfId="0" builtinId="0"/>
    <cellStyle name="OneDecimal" xfId="3"/>
    <cellStyle name="PercentOneDecimal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1"/>
  <sheetViews>
    <sheetView tabSelected="1" workbookViewId="0">
      <selection activeCell="A26" sqref="A26"/>
    </sheetView>
  </sheetViews>
  <sheetFormatPr defaultRowHeight="12.75" x14ac:dyDescent="0.2"/>
  <cols>
    <col min="1" max="1" width="10.28515625" style="2" bestFit="1" customWidth="1"/>
    <col min="2" max="2" width="10.7109375" style="2" customWidth="1"/>
    <col min="3" max="3" width="12.7109375" style="2" customWidth="1"/>
    <col min="4" max="4" width="9.28515625" style="2" bestFit="1" customWidth="1"/>
    <col min="5" max="5" width="12.7109375" style="2" customWidth="1"/>
    <col min="6" max="7" width="10.140625" style="2" bestFit="1" customWidth="1"/>
    <col min="8" max="8" width="9.5703125" style="2" bestFit="1" customWidth="1"/>
    <col min="9" max="9" width="9.140625" style="2"/>
    <col min="10" max="10" width="9.5703125" style="2" bestFit="1" customWidth="1"/>
    <col min="11" max="15" width="9.140625" style="2"/>
    <col min="16" max="16" width="10.5703125" style="2" customWidth="1"/>
    <col min="17" max="19" width="9.140625" style="2"/>
    <col min="20" max="20" width="9.5703125" style="2" bestFit="1" customWidth="1"/>
    <col min="21" max="16384" width="9.140625" style="2"/>
  </cols>
  <sheetData>
    <row r="1" spans="1:60" s="32" customFormat="1" x14ac:dyDescent="0.2">
      <c r="A1" s="32" t="s">
        <v>0</v>
      </c>
      <c r="B1" s="33" t="s">
        <v>51</v>
      </c>
      <c r="C1" s="33" t="s">
        <v>52</v>
      </c>
      <c r="D1" s="33" t="s">
        <v>53</v>
      </c>
      <c r="E1" s="33" t="s">
        <v>72</v>
      </c>
      <c r="F1" s="34" t="s">
        <v>127</v>
      </c>
      <c r="G1" s="33" t="s">
        <v>128</v>
      </c>
      <c r="H1" s="35" t="s">
        <v>1</v>
      </c>
      <c r="I1" s="36" t="s">
        <v>129</v>
      </c>
      <c r="J1" s="36" t="s">
        <v>111</v>
      </c>
      <c r="K1" s="36" t="s">
        <v>130</v>
      </c>
      <c r="L1" s="36" t="s">
        <v>131</v>
      </c>
      <c r="M1" s="36" t="s">
        <v>115</v>
      </c>
      <c r="N1" s="37" t="s">
        <v>36</v>
      </c>
      <c r="O1" s="37" t="s">
        <v>37</v>
      </c>
      <c r="P1" s="36" t="s">
        <v>73</v>
      </c>
      <c r="Q1" s="36" t="s">
        <v>132</v>
      </c>
      <c r="R1" s="36" t="s">
        <v>133</v>
      </c>
      <c r="S1" s="37" t="s">
        <v>41</v>
      </c>
      <c r="T1" s="36" t="s">
        <v>134</v>
      </c>
      <c r="U1" s="36" t="s">
        <v>112</v>
      </c>
      <c r="V1" s="36" t="s">
        <v>135</v>
      </c>
      <c r="W1" s="36" t="s">
        <v>136</v>
      </c>
      <c r="X1" s="36" t="s">
        <v>116</v>
      </c>
      <c r="Y1" s="33" t="s">
        <v>54</v>
      </c>
      <c r="Z1" s="33" t="s">
        <v>55</v>
      </c>
      <c r="AA1" s="33" t="s">
        <v>56</v>
      </c>
      <c r="AB1" s="33" t="s">
        <v>74</v>
      </c>
      <c r="AC1" s="33" t="s">
        <v>137</v>
      </c>
      <c r="AD1" s="33" t="s">
        <v>138</v>
      </c>
      <c r="AE1" s="35" t="s">
        <v>2</v>
      </c>
      <c r="AF1" s="36" t="s">
        <v>139</v>
      </c>
      <c r="AG1" s="36" t="s">
        <v>113</v>
      </c>
      <c r="AH1" s="36" t="s">
        <v>140</v>
      </c>
      <c r="AI1" s="36" t="s">
        <v>141</v>
      </c>
      <c r="AJ1" s="36" t="s">
        <v>117</v>
      </c>
      <c r="AK1" s="33" t="s">
        <v>57</v>
      </c>
      <c r="AL1" s="33" t="s">
        <v>58</v>
      </c>
      <c r="AM1" s="33" t="s">
        <v>59</v>
      </c>
      <c r="AN1" s="33" t="s">
        <v>75</v>
      </c>
      <c r="AO1" s="33" t="s">
        <v>142</v>
      </c>
      <c r="AP1" s="33" t="s">
        <v>143</v>
      </c>
      <c r="AQ1" s="35" t="s">
        <v>28</v>
      </c>
      <c r="AR1" s="34" t="s">
        <v>144</v>
      </c>
      <c r="AS1" s="33" t="s">
        <v>114</v>
      </c>
      <c r="AT1" s="36" t="s">
        <v>145</v>
      </c>
      <c r="AU1" s="36" t="s">
        <v>146</v>
      </c>
      <c r="AV1" s="36" t="s">
        <v>118</v>
      </c>
      <c r="AW1" s="33" t="s">
        <v>60</v>
      </c>
      <c r="AX1" s="33" t="s">
        <v>61</v>
      </c>
      <c r="AY1" s="33" t="s">
        <v>62</v>
      </c>
      <c r="AZ1" s="33" t="s">
        <v>76</v>
      </c>
      <c r="BA1" s="33" t="s">
        <v>147</v>
      </c>
      <c r="BB1" s="33" t="s">
        <v>148</v>
      </c>
      <c r="BC1" s="36" t="s">
        <v>63</v>
      </c>
      <c r="BD1" s="34" t="s">
        <v>149</v>
      </c>
      <c r="BE1" s="33" t="s">
        <v>78</v>
      </c>
      <c r="BF1" s="34" t="s">
        <v>150</v>
      </c>
      <c r="BG1" s="34" t="s">
        <v>151</v>
      </c>
      <c r="BH1" s="34" t="s">
        <v>77</v>
      </c>
    </row>
    <row r="2" spans="1:60" x14ac:dyDescent="0.2">
      <c r="A2" s="2">
        <v>8</v>
      </c>
      <c r="B2" s="12"/>
      <c r="C2" s="12"/>
      <c r="D2" s="12"/>
      <c r="E2" s="4"/>
      <c r="F2" s="4"/>
      <c r="G2" s="4"/>
      <c r="H2" s="6">
        <v>1</v>
      </c>
      <c r="I2" s="4"/>
      <c r="J2" s="6">
        <v>1</v>
      </c>
      <c r="K2" s="18"/>
      <c r="L2" s="13"/>
      <c r="M2" s="6">
        <v>1</v>
      </c>
      <c r="N2" s="8"/>
      <c r="O2" s="17"/>
      <c r="P2" s="18"/>
      <c r="Q2" s="6"/>
      <c r="R2" s="4"/>
      <c r="S2" s="6">
        <v>1</v>
      </c>
      <c r="T2" s="4"/>
      <c r="U2" s="6">
        <v>1</v>
      </c>
      <c r="V2" s="18"/>
      <c r="W2" s="13"/>
      <c r="X2" s="6">
        <v>1</v>
      </c>
      <c r="Y2" s="7"/>
      <c r="Z2" s="7"/>
      <c r="AA2" s="7"/>
      <c r="AB2" s="4"/>
      <c r="AC2" s="4"/>
      <c r="AD2" s="4"/>
      <c r="AE2" s="6">
        <v>1</v>
      </c>
      <c r="AF2" s="4"/>
      <c r="AG2" s="6">
        <v>1</v>
      </c>
      <c r="AH2" s="18"/>
      <c r="AI2" s="13"/>
      <c r="AJ2" s="6">
        <v>1</v>
      </c>
      <c r="AK2" s="7"/>
      <c r="AL2" s="7"/>
      <c r="AM2" s="7"/>
      <c r="AN2" s="4"/>
      <c r="AO2" s="4"/>
      <c r="AP2" s="4"/>
      <c r="AQ2" s="6">
        <v>1</v>
      </c>
      <c r="AR2" s="4"/>
      <c r="AS2" s="6">
        <v>1</v>
      </c>
      <c r="AT2" s="18"/>
      <c r="AU2" s="13"/>
      <c r="AV2" s="6">
        <v>1</v>
      </c>
      <c r="AW2" s="17"/>
      <c r="AX2" s="13"/>
      <c r="AY2" s="13"/>
      <c r="AZ2" s="26"/>
      <c r="BA2" s="26"/>
      <c r="BB2" s="26"/>
      <c r="BC2" s="6">
        <v>1</v>
      </c>
      <c r="BD2" s="26"/>
      <c r="BE2" s="6">
        <v>1</v>
      </c>
      <c r="BF2" s="26"/>
      <c r="BG2" s="13"/>
      <c r="BH2" s="6">
        <v>1</v>
      </c>
    </row>
    <row r="3" spans="1:60" x14ac:dyDescent="0.2">
      <c r="A3" s="2">
        <v>9</v>
      </c>
      <c r="B3" s="12"/>
      <c r="C3" s="12"/>
      <c r="D3" s="12"/>
      <c r="E3" s="4"/>
      <c r="F3" s="4"/>
      <c r="G3" s="4">
        <f>ohsr</f>
        <v>5.7471373194587186E-2</v>
      </c>
      <c r="H3" s="6">
        <f>H2*(1+G3)</f>
        <v>1.0574713731945873</v>
      </c>
      <c r="I3" s="4">
        <f>ohsr</f>
        <v>5.7471373194587186E-2</v>
      </c>
      <c r="J3" s="6">
        <f>J2*(1+I3)</f>
        <v>1.0574713731945873</v>
      </c>
      <c r="K3" s="18"/>
      <c r="L3" s="18">
        <f>(1+K6)^0.5-1</f>
        <v>6.2902238850522263E-2</v>
      </c>
      <c r="M3" s="6">
        <f>M2*(1+L3)</f>
        <v>1.0629022388505223</v>
      </c>
      <c r="N3" s="8"/>
      <c r="O3" s="17"/>
      <c r="P3" s="18"/>
      <c r="Q3" s="6"/>
      <c r="R3" s="4">
        <f>ohsb</f>
        <v>5.7471382685923833E-2</v>
      </c>
      <c r="S3" s="6">
        <f>S2*(1+R3)</f>
        <v>1.0574713826859239</v>
      </c>
      <c r="T3" s="4">
        <f>ohsb</f>
        <v>5.7471382685923833E-2</v>
      </c>
      <c r="U3" s="6">
        <f>U2*(1+T3)</f>
        <v>1.0574713826859239</v>
      </c>
      <c r="V3" s="18"/>
      <c r="W3" s="18">
        <f>(1+V6)^0.5-1</f>
        <v>6.2902238850522263E-2</v>
      </c>
      <c r="X3" s="6">
        <f>X2*(1+W3)</f>
        <v>1.0629022388505223</v>
      </c>
      <c r="Y3" s="7"/>
      <c r="Z3" s="7"/>
      <c r="AA3" s="7"/>
      <c r="AB3" s="4"/>
      <c r="AC3" s="4"/>
      <c r="AD3" s="4">
        <f>ohsu</f>
        <v>-4.8704216146417227E-2</v>
      </c>
      <c r="AE3" s="6">
        <f>AE2*(1+AD3)</f>
        <v>0.95129578385358282</v>
      </c>
      <c r="AF3" s="4">
        <f>ohsu</f>
        <v>-4.8704216146417227E-2</v>
      </c>
      <c r="AG3" s="6">
        <f>AG2*(1+AF3)</f>
        <v>0.95129578385358282</v>
      </c>
      <c r="AH3" s="18"/>
      <c r="AI3" s="18">
        <f>(1+AH6)^0.5-1</f>
        <v>-2.0842198621693009E-2</v>
      </c>
      <c r="AJ3" s="6">
        <f>AJ2*(1+AI3)</f>
        <v>0.97915780137830699</v>
      </c>
      <c r="AK3" s="7"/>
      <c r="AL3" s="7"/>
      <c r="AM3" s="7"/>
      <c r="AN3" s="4"/>
      <c r="AO3" s="4"/>
      <c r="AP3" s="4">
        <f>ohsp</f>
        <v>2.6355576006563859E-2</v>
      </c>
      <c r="AQ3" s="6">
        <f>AQ2*(1+AP3)</f>
        <v>1.0263555760065639</v>
      </c>
      <c r="AR3" s="4">
        <f>ohsp</f>
        <v>2.6355576006563859E-2</v>
      </c>
      <c r="AS3" s="6">
        <f>AS2*(1+AR3)</f>
        <v>1.0263555760065639</v>
      </c>
      <c r="AT3" s="18"/>
      <c r="AU3" s="18">
        <f>(1+AT6)^0.5-1</f>
        <v>1.1749160432744654E-2</v>
      </c>
      <c r="AV3" s="6">
        <f>AV2*(1+AU3)</f>
        <v>1.0117491604327447</v>
      </c>
      <c r="AW3" s="17"/>
      <c r="AX3" s="13"/>
      <c r="AY3" s="13"/>
      <c r="AZ3" s="26"/>
      <c r="BA3" s="26"/>
      <c r="BB3" s="26">
        <f>ohsc</f>
        <v>-4.7526277409333843E-2</v>
      </c>
      <c r="BC3" s="6">
        <f>BC2*(1+BB3)</f>
        <v>0.95247372259066621</v>
      </c>
      <c r="BD3" s="26">
        <f>ohsc</f>
        <v>-4.7526277409333843E-2</v>
      </c>
      <c r="BE3" s="6">
        <f>BE2*(1+BD3)</f>
        <v>0.95247372259066621</v>
      </c>
      <c r="BF3" s="26"/>
      <c r="BG3" s="18">
        <f>(1+BF6)^0.5-1</f>
        <v>-2.0368238091994062E-2</v>
      </c>
      <c r="BH3" s="6">
        <f>BH2*(1+BG3)</f>
        <v>0.97963176190800594</v>
      </c>
    </row>
    <row r="4" spans="1:60" x14ac:dyDescent="0.2">
      <c r="A4" s="2">
        <v>10</v>
      </c>
      <c r="B4" s="12">
        <f>maleshare*C4+(1-maleshare)*D4</f>
        <v>29093</v>
      </c>
      <c r="C4" s="12">
        <v>35524</v>
      </c>
      <c r="D4" s="12">
        <v>22662</v>
      </c>
      <c r="E4" s="4"/>
      <c r="F4" s="4"/>
      <c r="G4" s="4">
        <f>ohsr</f>
        <v>5.7471373194587186E-2</v>
      </c>
      <c r="H4" s="6">
        <f t="shared" ref="H4:J12" si="0">H3*(1+G4)</f>
        <v>1.1182457051260462</v>
      </c>
      <c r="I4" s="4">
        <f>ohsr</f>
        <v>5.7471373194587186E-2</v>
      </c>
      <c r="J4" s="6">
        <f t="shared" si="0"/>
        <v>1.1182457051260462</v>
      </c>
      <c r="K4" s="18"/>
      <c r="L4" s="18">
        <f>(1+K6)^0.5-1</f>
        <v>6.2902238850522263E-2</v>
      </c>
      <c r="M4" s="6">
        <f t="shared" ref="M4:M12" si="1">M3*(1+L4)</f>
        <v>1.1297611693534526</v>
      </c>
      <c r="N4" s="8">
        <v>0.46</v>
      </c>
      <c r="O4" s="17">
        <f>B4*N4</f>
        <v>13382.78</v>
      </c>
      <c r="P4" s="18"/>
      <c r="Q4" s="6"/>
      <c r="R4" s="4">
        <f>ohsb</f>
        <v>5.7471382685923833E-2</v>
      </c>
      <c r="S4" s="6">
        <f t="shared" ref="S4:U12" si="2">S3*(1+R4)</f>
        <v>1.1182457251996798</v>
      </c>
      <c r="T4" s="4">
        <f>ohsb</f>
        <v>5.7471382685923833E-2</v>
      </c>
      <c r="U4" s="6">
        <f t="shared" si="2"/>
        <v>1.1182457251996798</v>
      </c>
      <c r="V4" s="18"/>
      <c r="W4" s="18">
        <f>(1+V6)^0.5-1</f>
        <v>6.2902238850522263E-2</v>
      </c>
      <c r="X4" s="6">
        <f t="shared" ref="X4:X12" si="3">X3*(1+W4)</f>
        <v>1.1297611693534526</v>
      </c>
      <c r="Y4" s="7">
        <f>maleshare*Z4+(1-maleshare)*AA4</f>
        <v>10</v>
      </c>
      <c r="Z4" s="7">
        <v>9.1999999999999993</v>
      </c>
      <c r="AA4" s="7">
        <v>10.8</v>
      </c>
      <c r="AB4" s="4"/>
      <c r="AC4" s="4"/>
      <c r="AD4" s="4">
        <f>ohsu</f>
        <v>-4.8704216146417227E-2</v>
      </c>
      <c r="AE4" s="6">
        <f t="shared" ref="AE4:AG12" si="4">AE3*(1+AD4)</f>
        <v>0.90496366837760256</v>
      </c>
      <c r="AF4" s="4">
        <f>ohsu</f>
        <v>-4.8704216146417227E-2</v>
      </c>
      <c r="AG4" s="6">
        <f t="shared" si="4"/>
        <v>0.90496366837760256</v>
      </c>
      <c r="AH4" s="18"/>
      <c r="AI4" s="18">
        <f>(1+AH6)^0.5-1</f>
        <v>-2.0842198621693009E-2</v>
      </c>
      <c r="AJ4" s="6">
        <f t="shared" ref="AJ4:AJ12" si="5">AJ3*(1+AI4)</f>
        <v>0.9587500000000001</v>
      </c>
      <c r="AK4" s="7">
        <f>maleshare*AL4+(1-maleshare)*AM4</f>
        <v>54.449999999999996</v>
      </c>
      <c r="AL4" s="7">
        <v>65.599999999999994</v>
      </c>
      <c r="AM4" s="7">
        <v>43.3</v>
      </c>
      <c r="AN4" s="4"/>
      <c r="AO4" s="4"/>
      <c r="AP4" s="4">
        <f>ohsp</f>
        <v>2.6355576006563859E-2</v>
      </c>
      <c r="AQ4" s="6">
        <f t="shared" ref="AQ4:AS12" si="6">AQ3*(1+AP4)</f>
        <v>1.0534057683997655</v>
      </c>
      <c r="AR4" s="4">
        <f>ohsp</f>
        <v>2.6355576006563859E-2</v>
      </c>
      <c r="AS4" s="6">
        <f t="shared" si="6"/>
        <v>1.0534057683997655</v>
      </c>
      <c r="AT4" s="18"/>
      <c r="AU4" s="18">
        <f>(1+AT6)^0.5-1</f>
        <v>1.1749160432744654E-2</v>
      </c>
      <c r="AV4" s="6">
        <f t="shared" ref="AV4:AV12" si="7">AV3*(1+AU4)</f>
        <v>1.0236363636363637</v>
      </c>
      <c r="AW4" s="17">
        <f>maleshare*AX4+(1-maleshare)*AY4</f>
        <v>13308</v>
      </c>
      <c r="AX4" s="24">
        <v>24812</v>
      </c>
      <c r="AY4" s="24">
        <v>1804</v>
      </c>
      <c r="AZ4" s="26"/>
      <c r="BA4" s="26"/>
      <c r="BB4" s="26">
        <f>ohsc</f>
        <v>-4.7526277409333843E-2</v>
      </c>
      <c r="BC4" s="6">
        <f t="shared" ref="BC4:BE12" si="8">BC3*(1+BB4)</f>
        <v>0.90720619222572141</v>
      </c>
      <c r="BD4" s="26">
        <f>ohsc</f>
        <v>-4.7526277409333843E-2</v>
      </c>
      <c r="BE4" s="6">
        <f t="shared" si="8"/>
        <v>0.90720619222572141</v>
      </c>
      <c r="BF4" s="26"/>
      <c r="BG4" s="18">
        <f>(1+BF6)^0.5-1</f>
        <v>-2.0368238091994062E-2</v>
      </c>
      <c r="BH4" s="6">
        <f t="shared" ref="BH4:BH12" si="9">BH3*(1+BG4)</f>
        <v>0.95967838893898405</v>
      </c>
    </row>
    <row r="5" spans="1:60" x14ac:dyDescent="0.2">
      <c r="A5" s="2">
        <v>11</v>
      </c>
      <c r="B5" s="12"/>
      <c r="C5" s="12"/>
      <c r="D5" s="12"/>
      <c r="E5" s="4"/>
      <c r="F5" s="4"/>
      <c r="G5" s="4">
        <f>ohsr</f>
        <v>5.7471373194587186E-2</v>
      </c>
      <c r="H5" s="6">
        <f t="shared" si="0"/>
        <v>1.1825128213685896</v>
      </c>
      <c r="I5" s="4">
        <f>ohsr</f>
        <v>5.7471373194587186E-2</v>
      </c>
      <c r="J5" s="6">
        <f t="shared" si="0"/>
        <v>1.1825128213685896</v>
      </c>
      <c r="K5" s="18"/>
      <c r="L5" s="18">
        <f>(1+K6)^0.5-1</f>
        <v>6.2902238850522263E-2</v>
      </c>
      <c r="M5" s="6">
        <f t="shared" si="1"/>
        <v>1.2008256762721687</v>
      </c>
      <c r="N5" s="8"/>
      <c r="O5" s="17"/>
      <c r="P5" s="18"/>
      <c r="Q5" s="6"/>
      <c r="R5" s="4">
        <f>ohsb</f>
        <v>5.7471382685923833E-2</v>
      </c>
      <c r="S5" s="6">
        <f t="shared" si="2"/>
        <v>1.182512853209529</v>
      </c>
      <c r="T5" s="4">
        <f>ohsb</f>
        <v>5.7471382685923833E-2</v>
      </c>
      <c r="U5" s="6">
        <f t="shared" si="2"/>
        <v>1.182512853209529</v>
      </c>
      <c r="V5" s="18"/>
      <c r="W5" s="18">
        <f>(1+V6)^0.5-1</f>
        <v>6.2902238850522263E-2</v>
      </c>
      <c r="X5" s="6">
        <f t="shared" si="3"/>
        <v>1.2008256762721687</v>
      </c>
      <c r="Y5" s="7"/>
      <c r="Z5" s="7"/>
      <c r="AA5" s="7"/>
      <c r="AB5" s="4"/>
      <c r="AC5" s="4"/>
      <c r="AD5" s="4">
        <f>ohsu</f>
        <v>-4.8704216146417227E-2</v>
      </c>
      <c r="AE5" s="6">
        <f t="shared" si="4"/>
        <v>0.86088812226828526</v>
      </c>
      <c r="AF5" s="4">
        <f>ohsu</f>
        <v>-4.8704216146417227E-2</v>
      </c>
      <c r="AG5" s="6">
        <f t="shared" si="4"/>
        <v>0.86088812226828526</v>
      </c>
      <c r="AH5" s="18"/>
      <c r="AI5" s="18">
        <f>(1+AH6)^0.5-1</f>
        <v>-2.0842198621693009E-2</v>
      </c>
      <c r="AJ5" s="6">
        <f t="shared" si="5"/>
        <v>0.93876754207145197</v>
      </c>
      <c r="AK5" s="7"/>
      <c r="AL5" s="7"/>
      <c r="AM5" s="7"/>
      <c r="AN5" s="4"/>
      <c r="AO5" s="4"/>
      <c r="AP5" s="4">
        <f>ohsp</f>
        <v>2.6355576006563859E-2</v>
      </c>
      <c r="AQ5" s="6">
        <f t="shared" si="6"/>
        <v>1.0811688841945784</v>
      </c>
      <c r="AR5" s="4">
        <f>ohsp</f>
        <v>2.6355576006563859E-2</v>
      </c>
      <c r="AS5" s="6">
        <f t="shared" si="6"/>
        <v>1.0811688841945784</v>
      </c>
      <c r="AT5" s="18"/>
      <c r="AU5" s="18">
        <f>(1+AT6)^0.5-1</f>
        <v>1.1749160432744654E-2</v>
      </c>
      <c r="AV5" s="6">
        <f t="shared" si="7"/>
        <v>1.0356632314975187</v>
      </c>
      <c r="AW5" s="17"/>
      <c r="AX5" s="13"/>
      <c r="AY5" s="13"/>
      <c r="AZ5" s="26"/>
      <c r="BA5" s="26"/>
      <c r="BB5" s="26">
        <f>ohsc</f>
        <v>-4.7526277409333843E-2</v>
      </c>
      <c r="BC5" s="6">
        <f t="shared" si="8"/>
        <v>0.86409005906653635</v>
      </c>
      <c r="BD5" s="26">
        <f>ohsc</f>
        <v>-4.7526277409333843E-2</v>
      </c>
      <c r="BE5" s="6">
        <f t="shared" si="8"/>
        <v>0.86409005906653635</v>
      </c>
      <c r="BF5" s="26"/>
      <c r="BG5" s="18">
        <f>(1+BF6)^0.5-1</f>
        <v>-2.0368238091994062E-2</v>
      </c>
      <c r="BH5" s="6">
        <f t="shared" si="9"/>
        <v>0.94013143102133356</v>
      </c>
    </row>
    <row r="6" spans="1:60" x14ac:dyDescent="0.2">
      <c r="A6" s="2">
        <v>12</v>
      </c>
      <c r="B6" s="11">
        <f>maleshare*C6+(1-maleshare)*D6</f>
        <v>63412.47</v>
      </c>
      <c r="C6" s="11">
        <f>46038*hsprem</f>
        <v>74581.56</v>
      </c>
      <c r="D6" s="11">
        <f>32249*hsprem</f>
        <v>52243.380000000005</v>
      </c>
      <c r="E6" s="4">
        <f>B6/B4-1</f>
        <v>1.1796469941222973</v>
      </c>
      <c r="F6" s="4">
        <f>E6*(1-abilitybias)</f>
        <v>0.64880584676726361</v>
      </c>
      <c r="G6" s="4">
        <f>3.4*ohsr</f>
        <v>0.19540266886159643</v>
      </c>
      <c r="H6" s="6">
        <f t="shared" si="0"/>
        <v>1.4135789826270682</v>
      </c>
      <c r="I6" s="4">
        <f>ohsr</f>
        <v>5.7471373194587186E-2</v>
      </c>
      <c r="J6" s="6">
        <f t="shared" si="0"/>
        <v>1.2504734570328482</v>
      </c>
      <c r="K6" s="18">
        <f>(1-rsignal)*F6</f>
        <v>0.12976116935345269</v>
      </c>
      <c r="L6" s="18">
        <f>(1+K6)^0.5-1</f>
        <v>6.2902238850522263E-2</v>
      </c>
      <c r="M6" s="6">
        <f t="shared" si="1"/>
        <v>1.2763602997788805</v>
      </c>
      <c r="N6" s="8">
        <v>0.46</v>
      </c>
      <c r="O6" s="17">
        <f>B6*N6</f>
        <v>29169.736200000003</v>
      </c>
      <c r="P6" s="18">
        <f>O6/O4-1</f>
        <v>1.1796469941222978</v>
      </c>
      <c r="Q6" s="4">
        <f>P6*(1-abilitybias)</f>
        <v>0.64880584676726383</v>
      </c>
      <c r="R6" s="4">
        <f>3.4*ohsb</f>
        <v>0.19540270113214103</v>
      </c>
      <c r="S6" s="6">
        <f t="shared" si="2"/>
        <v>1.413579058850146</v>
      </c>
      <c r="T6" s="4">
        <f>ohsb</f>
        <v>5.7471382685923833E-2</v>
      </c>
      <c r="U6" s="6">
        <f t="shared" si="2"/>
        <v>1.2504735019273576</v>
      </c>
      <c r="V6" s="18">
        <f>(1-rsignal)*Q6</f>
        <v>0.12976116935345275</v>
      </c>
      <c r="W6" s="18">
        <f>(1+V6)^0.5-1</f>
        <v>6.2902238850522263E-2</v>
      </c>
      <c r="X6" s="6">
        <f t="shared" si="3"/>
        <v>1.2763602997788805</v>
      </c>
      <c r="Y6" s="7">
        <f>maleshare*Z6+(1-maleshare)*AA6</f>
        <v>6.25</v>
      </c>
      <c r="Z6" s="7">
        <v>6.6</v>
      </c>
      <c r="AA6" s="7">
        <v>5.9</v>
      </c>
      <c r="AB6" s="4">
        <f>Y6/Y4-1</f>
        <v>-0.375</v>
      </c>
      <c r="AC6" s="4">
        <f>AB6*(1-abilitybias)</f>
        <v>-0.20625000000000002</v>
      </c>
      <c r="AD6" s="4">
        <f>3.4*ohsu</f>
        <v>-0.16559433489781858</v>
      </c>
      <c r="AE6" s="6">
        <f t="shared" si="4"/>
        <v>0.7183299262398366</v>
      </c>
      <c r="AF6" s="4">
        <f>ohsu</f>
        <v>-4.8704216146417227E-2</v>
      </c>
      <c r="AG6" s="6">
        <f t="shared" si="4"/>
        <v>0.81895924108344742</v>
      </c>
      <c r="AH6" s="18">
        <f>(1-rsignal)*AC6</f>
        <v>-4.1249999999999995E-2</v>
      </c>
      <c r="AI6" s="18">
        <f>(1+AH6)^0.5-1</f>
        <v>-2.0842198621693009E-2</v>
      </c>
      <c r="AJ6" s="6">
        <f t="shared" si="5"/>
        <v>0.91920156250000018</v>
      </c>
      <c r="AK6" s="7">
        <f>maleshare*AL6+(1-maleshare)*AM6</f>
        <v>66.150000000000006</v>
      </c>
      <c r="AL6" s="7">
        <v>74.2</v>
      </c>
      <c r="AM6" s="7">
        <v>58.1</v>
      </c>
      <c r="AN6" s="4">
        <f>AK6/AK4-1</f>
        <v>0.21487603305785141</v>
      </c>
      <c r="AO6" s="4">
        <f>AN6*(1-abilitybias)</f>
        <v>0.11818181818181829</v>
      </c>
      <c r="AP6" s="4">
        <f>3.4*ohsp</f>
        <v>8.9608958422317114E-2</v>
      </c>
      <c r="AQ6" s="6">
        <f t="shared" si="6"/>
        <v>1.1780513017858734</v>
      </c>
      <c r="AR6" s="4">
        <f>ohsp</f>
        <v>2.6355576006563859E-2</v>
      </c>
      <c r="AS6" s="6">
        <f t="shared" si="6"/>
        <v>1.1096637128979006</v>
      </c>
      <c r="AT6" s="18">
        <f>(1-rsignal)*AO6</f>
        <v>2.3636363636363653E-2</v>
      </c>
      <c r="AU6" s="18">
        <f>(1+AT6)^0.5-1</f>
        <v>1.1749160432744654E-2</v>
      </c>
      <c r="AV6" s="6">
        <f t="shared" si="7"/>
        <v>1.0478314049586779</v>
      </c>
      <c r="AW6" s="17">
        <f>maleshare*AX6+(1-maleshare)*AY6</f>
        <v>2576</v>
      </c>
      <c r="AX6" s="13">
        <v>4803</v>
      </c>
      <c r="AY6" s="13">
        <v>349</v>
      </c>
      <c r="AZ6" s="26">
        <f>AW6/AW4-1</f>
        <v>-0.80643222122031855</v>
      </c>
      <c r="BA6" s="26">
        <f>AZ6*(1-cabilitybias)</f>
        <v>-0.20160805530507964</v>
      </c>
      <c r="BB6" s="26">
        <f>3.4*ohsc</f>
        <v>-0.16158934319173507</v>
      </c>
      <c r="BC6" s="6">
        <f t="shared" si="8"/>
        <v>0.72446231396346727</v>
      </c>
      <c r="BD6" s="26">
        <f>ohsc</f>
        <v>-4.7526277409333843E-2</v>
      </c>
      <c r="BE6" s="6">
        <f t="shared" si="8"/>
        <v>0.82302307521269247</v>
      </c>
      <c r="BF6" s="26">
        <f>(1-rsignal)*BA6</f>
        <v>-4.0321611061015922E-2</v>
      </c>
      <c r="BG6" s="18">
        <f>(1+BF6)^0.5-1</f>
        <v>-2.0368238091994062E-2</v>
      </c>
      <c r="BH6" s="6">
        <f t="shared" si="9"/>
        <v>0.92098261019652394</v>
      </c>
    </row>
    <row r="7" spans="1:60" x14ac:dyDescent="0.2">
      <c r="A7" s="2">
        <v>13</v>
      </c>
      <c r="B7" s="12"/>
      <c r="C7" s="12"/>
      <c r="D7" s="12"/>
      <c r="E7" s="4"/>
      <c r="F7" s="4"/>
      <c r="G7" s="4">
        <f>ocr</f>
        <v>4.814601372016046E-2</v>
      </c>
      <c r="H7" s="6">
        <f t="shared" si="0"/>
        <v>1.4816371757191613</v>
      </c>
      <c r="I7" s="4">
        <f>ocr</f>
        <v>4.814601372016046E-2</v>
      </c>
      <c r="J7" s="6">
        <f t="shared" si="0"/>
        <v>1.310678769251848</v>
      </c>
      <c r="K7" s="18"/>
      <c r="L7" s="18">
        <f>(1+K10)^0.25-1</f>
        <v>0.13674448581519072</v>
      </c>
      <c r="M7" s="6">
        <f t="shared" si="1"/>
        <v>1.4508955326870663</v>
      </c>
      <c r="N7" s="8"/>
      <c r="O7" s="17"/>
      <c r="P7" s="18"/>
      <c r="Q7" s="4"/>
      <c r="R7" s="4">
        <f>ocb</f>
        <v>4.2281471031529412E-2</v>
      </c>
      <c r="S7" s="6">
        <f t="shared" si="2"/>
        <v>1.473347260877695</v>
      </c>
      <c r="T7" s="4">
        <f>ocb</f>
        <v>4.2281471031529412E-2</v>
      </c>
      <c r="U7" s="6">
        <f t="shared" si="2"/>
        <v>1.3033453610747943</v>
      </c>
      <c r="V7" s="18"/>
      <c r="W7" s="18">
        <f>(1+V10)^0.25-1</f>
        <v>0.12798878177440276</v>
      </c>
      <c r="X7" s="6">
        <f t="shared" si="3"/>
        <v>1.439720099652791</v>
      </c>
      <c r="Y7" s="7"/>
      <c r="Z7" s="7"/>
      <c r="AA7" s="7"/>
      <c r="AB7" s="4"/>
      <c r="AC7" s="4"/>
      <c r="AD7" s="4">
        <f>ocu</f>
        <v>-2.7624174806135226E-2</v>
      </c>
      <c r="AE7" s="6">
        <f t="shared" si="4"/>
        <v>0.69848665478890914</v>
      </c>
      <c r="AF7" s="4">
        <f>ocu</f>
        <v>-2.7624174806135226E-2</v>
      </c>
      <c r="AG7" s="6">
        <f t="shared" si="4"/>
        <v>0.79633616784865846</v>
      </c>
      <c r="AH7" s="18"/>
      <c r="AI7" s="18">
        <f>(1+AH10)^0.25-1</f>
        <v>-1.2783026505058803E-2</v>
      </c>
      <c r="AJ7" s="6">
        <f t="shared" si="5"/>
        <v>0.90745138456307117</v>
      </c>
      <c r="AK7" s="7"/>
      <c r="AL7" s="7"/>
      <c r="AM7" s="7"/>
      <c r="AN7" s="4"/>
      <c r="AO7" s="4"/>
      <c r="AP7" s="4">
        <f>ocp</f>
        <v>9.6766953208857562E-3</v>
      </c>
      <c r="AQ7" s="6">
        <f t="shared" si="6"/>
        <v>1.1894509453056281</v>
      </c>
      <c r="AR7" s="4">
        <f>ocp</f>
        <v>9.6766953208857562E-3</v>
      </c>
      <c r="AS7" s="6">
        <f t="shared" si="6"/>
        <v>1.1204015905562563</v>
      </c>
      <c r="AT7" s="18"/>
      <c r="AU7" s="18">
        <f>(1+AT10)^0.25-1</f>
        <v>4.7673868532731589E-3</v>
      </c>
      <c r="AV7" s="6">
        <f t="shared" si="7"/>
        <v>1.0528268226231245</v>
      </c>
      <c r="AW7" s="17"/>
      <c r="AX7" s="13"/>
      <c r="AY7" s="13"/>
      <c r="AZ7" s="26"/>
      <c r="BA7" s="26"/>
      <c r="BB7" s="26">
        <f>occ</f>
        <v>-1.6465382486860459E-2</v>
      </c>
      <c r="BC7" s="6">
        <f t="shared" si="8"/>
        <v>0.7125337648667428</v>
      </c>
      <c r="BD7" s="26">
        <f>occ</f>
        <v>-1.6465382486860459E-2</v>
      </c>
      <c r="BE7" s="6">
        <f t="shared" si="8"/>
        <v>0.80947168548380333</v>
      </c>
      <c r="BF7" s="26"/>
      <c r="BG7" s="18">
        <f>(1+BF10)^0.25-1</f>
        <v>-7.7691276653985009E-3</v>
      </c>
      <c r="BH7" s="6">
        <f t="shared" si="9"/>
        <v>0.91382737872029518</v>
      </c>
    </row>
    <row r="8" spans="1:60" x14ac:dyDescent="0.2">
      <c r="A8" s="2">
        <v>14</v>
      </c>
      <c r="B8" s="12"/>
      <c r="C8" s="12"/>
      <c r="D8" s="12"/>
      <c r="E8" s="4"/>
      <c r="F8" s="4"/>
      <c r="G8" s="4">
        <f>ocr</f>
        <v>4.814601372016046E-2</v>
      </c>
      <c r="H8" s="6">
        <f t="shared" si="0"/>
        <v>1.5529720995096357</v>
      </c>
      <c r="I8" s="4">
        <f>ocr</f>
        <v>4.814601372016046E-2</v>
      </c>
      <c r="J8" s="6">
        <f t="shared" si="0"/>
        <v>1.3737827272589704</v>
      </c>
      <c r="K8" s="18"/>
      <c r="L8" s="18">
        <f>(1+K10)^0.25-1</f>
        <v>0.13674448581519072</v>
      </c>
      <c r="M8" s="6">
        <f t="shared" si="1"/>
        <v>1.6492974962759164</v>
      </c>
      <c r="N8" s="8"/>
      <c r="O8" s="17"/>
      <c r="P8" s="18"/>
      <c r="Q8" s="4"/>
      <c r="R8" s="4">
        <f>ocb</f>
        <v>4.2281471031529412E-2</v>
      </c>
      <c r="S8" s="6">
        <f t="shared" si="2"/>
        <v>1.5356425504078783</v>
      </c>
      <c r="T8" s="4">
        <f>ocb</f>
        <v>4.2281471031529412E-2</v>
      </c>
      <c r="U8" s="6">
        <f t="shared" si="2"/>
        <v>1.3584527202031564</v>
      </c>
      <c r="V8" s="18"/>
      <c r="W8" s="18">
        <f>(1+V10)^0.25-1</f>
        <v>0.12798878177440276</v>
      </c>
      <c r="X8" s="6">
        <f t="shared" si="3"/>
        <v>1.6239881213034735</v>
      </c>
      <c r="Y8" s="7"/>
      <c r="Z8" s="7"/>
      <c r="AA8" s="7"/>
      <c r="AB8" s="4"/>
      <c r="AC8" s="4"/>
      <c r="AD8" s="4">
        <f>ocu</f>
        <v>-2.7624174806135226E-2</v>
      </c>
      <c r="AE8" s="6">
        <f t="shared" si="4"/>
        <v>0.67919153733726767</v>
      </c>
      <c r="AF8" s="4">
        <f>ocu</f>
        <v>-2.7624174806135226E-2</v>
      </c>
      <c r="AG8" s="6">
        <f t="shared" si="4"/>
        <v>0.7743380383435593</v>
      </c>
      <c r="AH8" s="18"/>
      <c r="AI8" s="18">
        <f>(1+AH10)^0.25-1</f>
        <v>-1.2783026505058803E-2</v>
      </c>
      <c r="AJ8" s="6">
        <f t="shared" si="5"/>
        <v>0.89585140946214914</v>
      </c>
      <c r="AK8" s="7"/>
      <c r="AL8" s="7"/>
      <c r="AM8" s="7"/>
      <c r="AN8" s="4"/>
      <c r="AO8" s="4"/>
      <c r="AP8" s="4">
        <f>ocp</f>
        <v>9.6766953208857562E-3</v>
      </c>
      <c r="AQ8" s="6">
        <f t="shared" si="6"/>
        <v>1.2009608997024903</v>
      </c>
      <c r="AR8" s="4">
        <f>ocp</f>
        <v>9.6766953208857562E-3</v>
      </c>
      <c r="AS8" s="6">
        <f t="shared" si="6"/>
        <v>1.131243375385105</v>
      </c>
      <c r="AT8" s="18"/>
      <c r="AU8" s="18">
        <f>(1+AT10)^0.25-1</f>
        <v>4.7673868532731589E-3</v>
      </c>
      <c r="AV8" s="6">
        <f t="shared" si="7"/>
        <v>1.0578460553760713</v>
      </c>
      <c r="AW8" s="17"/>
      <c r="AX8" s="13"/>
      <c r="AY8" s="13"/>
      <c r="AZ8" s="26"/>
      <c r="BA8" s="26"/>
      <c r="BB8" s="26">
        <f>occ</f>
        <v>-1.6465382486860459E-2</v>
      </c>
      <c r="BC8" s="6">
        <f t="shared" si="8"/>
        <v>0.70080162389340916</v>
      </c>
      <c r="BD8" s="26">
        <f>occ</f>
        <v>-1.6465382486860459E-2</v>
      </c>
      <c r="BE8" s="6">
        <f t="shared" si="8"/>
        <v>0.79614342457002885</v>
      </c>
      <c r="BF8" s="26"/>
      <c r="BG8" s="18">
        <f>(1+BF10)^0.25-1</f>
        <v>-7.7691276653985009E-3</v>
      </c>
      <c r="BH8" s="6">
        <f t="shared" si="9"/>
        <v>0.90672773715088073</v>
      </c>
    </row>
    <row r="9" spans="1:60" x14ac:dyDescent="0.2">
      <c r="A9" s="2">
        <v>15</v>
      </c>
      <c r="B9" s="12"/>
      <c r="C9" s="12"/>
      <c r="D9" s="12"/>
      <c r="E9" s="4"/>
      <c r="F9" s="4"/>
      <c r="G9" s="4">
        <f>ocr</f>
        <v>4.814601372016046E-2</v>
      </c>
      <c r="H9" s="6">
        <f t="shared" si="0"/>
        <v>1.6277415155196528</v>
      </c>
      <c r="I9" s="4">
        <f>ocr</f>
        <v>4.814601372016046E-2</v>
      </c>
      <c r="J9" s="6">
        <f t="shared" si="0"/>
        <v>1.4399248892941001</v>
      </c>
      <c r="K9" s="18"/>
      <c r="L9" s="18">
        <f>(1+K10)^0.25-1</f>
        <v>0.13674448581519072</v>
      </c>
      <c r="M9" s="6">
        <f t="shared" si="1"/>
        <v>1.8748298343604479</v>
      </c>
      <c r="N9" s="8"/>
      <c r="O9" s="17"/>
      <c r="P9" s="18"/>
      <c r="Q9" s="4"/>
      <c r="R9" s="4">
        <f>ocb</f>
        <v>4.2281471031529412E-2</v>
      </c>
      <c r="S9" s="6">
        <f t="shared" si="2"/>
        <v>1.600571776417733</v>
      </c>
      <c r="T9" s="4">
        <f>ocb</f>
        <v>4.2281471031529412E-2</v>
      </c>
      <c r="U9" s="6">
        <f t="shared" si="2"/>
        <v>1.4158900995401285</v>
      </c>
      <c r="V9" s="18"/>
      <c r="W9" s="18">
        <f>(1+V10)^0.25-1</f>
        <v>0.12798878177440276</v>
      </c>
      <c r="X9" s="6">
        <f t="shared" si="3"/>
        <v>1.8318403825652061</v>
      </c>
      <c r="Y9" s="7"/>
      <c r="Z9" s="7"/>
      <c r="AA9" s="7"/>
      <c r="AB9" s="4"/>
      <c r="AC9" s="4"/>
      <c r="AD9" s="4">
        <f>ocu</f>
        <v>-2.7624174806135226E-2</v>
      </c>
      <c r="AE9" s="6">
        <f t="shared" si="4"/>
        <v>0.66042943158301526</v>
      </c>
      <c r="AF9" s="4">
        <f>ocu</f>
        <v>-2.7624174806135226E-2</v>
      </c>
      <c r="AG9" s="6">
        <f t="shared" si="4"/>
        <v>0.75294758901331693</v>
      </c>
      <c r="AH9" s="18"/>
      <c r="AI9" s="18">
        <f>(1+AH10)^0.25-1</f>
        <v>-1.2783026505058803E-2</v>
      </c>
      <c r="AJ9" s="6">
        <f t="shared" si="5"/>
        <v>0.88439971715040022</v>
      </c>
      <c r="AK9" s="7"/>
      <c r="AL9" s="7"/>
      <c r="AM9" s="7"/>
      <c r="AN9" s="4"/>
      <c r="AO9" s="4"/>
      <c r="AP9" s="4">
        <f>ocp</f>
        <v>9.6766953208857562E-3</v>
      </c>
      <c r="AQ9" s="6">
        <f t="shared" si="6"/>
        <v>1.2125822324212081</v>
      </c>
      <c r="AR9" s="4">
        <f>ocp</f>
        <v>9.6766953208857562E-3</v>
      </c>
      <c r="AS9" s="6">
        <f t="shared" si="6"/>
        <v>1.142190072862477</v>
      </c>
      <c r="AT9" s="18"/>
      <c r="AU9" s="18">
        <f>(1+AT10)^0.25-1</f>
        <v>4.7673868532731589E-3</v>
      </c>
      <c r="AV9" s="6">
        <f t="shared" si="7"/>
        <v>1.0628892167532582</v>
      </c>
      <c r="AW9" s="17"/>
      <c r="AX9" s="13"/>
      <c r="AY9" s="13"/>
      <c r="AZ9" s="26"/>
      <c r="BA9" s="26"/>
      <c r="BB9" s="26">
        <f>occ</f>
        <v>-1.6465382486860459E-2</v>
      </c>
      <c r="BC9" s="6">
        <f t="shared" si="8"/>
        <v>0.68926265710859125</v>
      </c>
      <c r="BD9" s="26">
        <f>occ</f>
        <v>-1.6465382486860459E-2</v>
      </c>
      <c r="BE9" s="6">
        <f t="shared" si="8"/>
        <v>0.78303461857008438</v>
      </c>
      <c r="BF9" s="26"/>
      <c r="BG9" s="18">
        <f>(1+BF10)^0.25-1</f>
        <v>-7.7691276653985009E-3</v>
      </c>
      <c r="BH9" s="6">
        <f t="shared" si="9"/>
        <v>0.89968325360319767</v>
      </c>
    </row>
    <row r="10" spans="1:60" x14ac:dyDescent="0.2">
      <c r="A10" s="2">
        <v>16</v>
      </c>
      <c r="B10" s="11">
        <f>maleshare*C10+(1-maleshare)*D10</f>
        <v>449507.88</v>
      </c>
      <c r="C10" s="11">
        <f>80508*hsprem*colprem</f>
        <v>521691.84</v>
      </c>
      <c r="D10" s="11">
        <f>58229*hsprem*colprem</f>
        <v>377323.92000000004</v>
      </c>
      <c r="E10" s="4">
        <f>B10/B6-1</f>
        <v>6.0886354056229006</v>
      </c>
      <c r="F10" s="4">
        <f>E10*(1-abilitybias)</f>
        <v>3.3487494730925955</v>
      </c>
      <c r="G10" s="4">
        <f>6.7*ocr</f>
        <v>0.32257829192507509</v>
      </c>
      <c r="H10" s="6">
        <f t="shared" si="0"/>
        <v>2.1528155932915154</v>
      </c>
      <c r="I10" s="4">
        <f>ocr</f>
        <v>4.814601372016046E-2</v>
      </c>
      <c r="J10" s="6">
        <f t="shared" si="0"/>
        <v>1.5092515327700542</v>
      </c>
      <c r="K10" s="18">
        <f>(1-rsignal)*F10</f>
        <v>0.66974989461851897</v>
      </c>
      <c r="L10" s="18">
        <f>(1+K10)^0.25-1</f>
        <v>0.13674448581519072</v>
      </c>
      <c r="M10" s="6">
        <f t="shared" si="1"/>
        <v>2.1312024760510466</v>
      </c>
      <c r="N10" s="8">
        <v>0.43</v>
      </c>
      <c r="O10" s="17">
        <f>B10*N10</f>
        <v>193288.3884</v>
      </c>
      <c r="P10" s="18">
        <f>O10/O6-1</f>
        <v>5.6263330965605363</v>
      </c>
      <c r="Q10" s="4">
        <f>P10*(1-abilitybias)</f>
        <v>3.0944832031082954</v>
      </c>
      <c r="R10" s="4">
        <f>6.7*ocb</f>
        <v>0.28328585591124705</v>
      </c>
      <c r="S10" s="6">
        <f t="shared" si="2"/>
        <v>2.0539911220476155</v>
      </c>
      <c r="T10" s="4">
        <f>ocb</f>
        <v>4.2281471031529412E-2</v>
      </c>
      <c r="U10" s="6">
        <f t="shared" si="2"/>
        <v>1.4757560157676637</v>
      </c>
      <c r="V10" s="18">
        <f>(1-rsignal)*Q10</f>
        <v>0.61889664062165894</v>
      </c>
      <c r="W10" s="18">
        <f>(1+V10)^0.25-1</f>
        <v>0.12798878177440276</v>
      </c>
      <c r="X10" s="6">
        <f t="shared" si="3"/>
        <v>2.0662954015348829</v>
      </c>
      <c r="Y10" s="7">
        <f>maleshare*Z10+(1-maleshare)*AA10</f>
        <v>3.4</v>
      </c>
      <c r="Z10" s="7">
        <v>3.4</v>
      </c>
      <c r="AA10" s="7">
        <v>3.4</v>
      </c>
      <c r="AB10" s="4">
        <f>Y10/Y6-1</f>
        <v>-0.45599999999999996</v>
      </c>
      <c r="AC10" s="4">
        <f>AB10*(1-abilitybias)</f>
        <v>-0.25080000000000002</v>
      </c>
      <c r="AD10" s="4">
        <f>6.7*ocu</f>
        <v>-0.185081971201106</v>
      </c>
      <c r="AE10" s="6">
        <f t="shared" si="4"/>
        <v>0.53819585054640484</v>
      </c>
      <c r="AF10" s="4">
        <f>ocu</f>
        <v>-2.7624174806135226E-2</v>
      </c>
      <c r="AG10" s="6">
        <f t="shared" si="4"/>
        <v>0.73214803319455501</v>
      </c>
      <c r="AH10" s="18">
        <f>(1-rsignal)*AC10</f>
        <v>-5.0159999999999996E-2</v>
      </c>
      <c r="AI10" s="18">
        <f>(1+AH10)^0.25-1</f>
        <v>-1.2783026505058803E-2</v>
      </c>
      <c r="AJ10" s="6">
        <f t="shared" si="5"/>
        <v>0.87309441212500016</v>
      </c>
      <c r="AK10" s="7">
        <f>maleshare*AL10+(1-maleshare)*AM10</f>
        <v>77.699999999999989</v>
      </c>
      <c r="AL10" s="7">
        <v>85.3</v>
      </c>
      <c r="AM10" s="7">
        <v>70.099999999999994</v>
      </c>
      <c r="AN10" s="4">
        <f>AK10/AK6-1</f>
        <v>0.17460317460317443</v>
      </c>
      <c r="AO10" s="4">
        <f>AN10*(1-abilitybias)</f>
        <v>9.603174603174594E-2</v>
      </c>
      <c r="AP10" s="4">
        <f>6.7*ocp</f>
        <v>6.4833858649934573E-2</v>
      </c>
      <c r="AQ10" s="6">
        <f t="shared" si="6"/>
        <v>1.291198617479427</v>
      </c>
      <c r="AR10" s="4">
        <f>ocp</f>
        <v>9.6766953208857562E-3</v>
      </c>
      <c r="AS10" s="6">
        <f t="shared" si="6"/>
        <v>1.1532426981961075</v>
      </c>
      <c r="AT10" s="18">
        <f>(1-rsignal)*AO10</f>
        <v>1.9206349206349185E-2</v>
      </c>
      <c r="AU10" s="18">
        <f>(1+AT10)^0.25-1</f>
        <v>4.7673868532731589E-3</v>
      </c>
      <c r="AV10" s="6">
        <f t="shared" si="7"/>
        <v>1.0679564208316934</v>
      </c>
      <c r="AW10" s="17">
        <f>maleshare*AX10+(1-maleshare)*AY10</f>
        <v>993.5</v>
      </c>
      <c r="AX10" s="13">
        <v>1852</v>
      </c>
      <c r="AY10" s="13">
        <v>135</v>
      </c>
      <c r="AZ10" s="26">
        <f>AW10/AW6-1</f>
        <v>-0.61432453416149069</v>
      </c>
      <c r="BA10" s="26">
        <f>AZ10*(1-cabilitybias)</f>
        <v>-0.15358113354037267</v>
      </c>
      <c r="BB10" s="26">
        <f>6.7*occ</f>
        <v>-0.11031806266196507</v>
      </c>
      <c r="BC10" s="6">
        <f t="shared" si="8"/>
        <v>0.61322453611113314</v>
      </c>
      <c r="BD10" s="26">
        <f>occ</f>
        <v>-1.6465382486860459E-2</v>
      </c>
      <c r="BE10" s="6">
        <f t="shared" si="8"/>
        <v>0.770141654074875</v>
      </c>
      <c r="BF10" s="26">
        <f>(1-rsignal)*BA10</f>
        <v>-3.0716226708074529E-2</v>
      </c>
      <c r="BG10" s="18">
        <f>(1+BF10)^0.25-1</f>
        <v>-7.7691276653985009E-3</v>
      </c>
      <c r="BH10" s="6">
        <f t="shared" si="9"/>
        <v>0.8926934995475333</v>
      </c>
    </row>
    <row r="11" spans="1:60" x14ac:dyDescent="0.2">
      <c r="A11" s="2">
        <v>17</v>
      </c>
      <c r="B11" s="12"/>
      <c r="C11" s="12"/>
      <c r="D11" s="12"/>
      <c r="E11" s="4"/>
      <c r="F11" s="4"/>
      <c r="G11" s="4">
        <f>oar</f>
        <v>2.9774349546586823E-2</v>
      </c>
      <c r="H11" s="6">
        <f t="shared" si="0"/>
        <v>2.2169142772755195</v>
      </c>
      <c r="I11" s="4">
        <f>oar</f>
        <v>2.9774349546586823E-2</v>
      </c>
      <c r="J11" s="6">
        <f t="shared" si="0"/>
        <v>1.5541885154604715</v>
      </c>
      <c r="K11" s="18"/>
      <c r="L11" s="18">
        <f>(1+K12)^0.5-1</f>
        <v>0.30523726572151011</v>
      </c>
      <c r="M11" s="6">
        <f t="shared" si="1"/>
        <v>2.7817248925397804</v>
      </c>
      <c r="N11" s="8"/>
      <c r="O11" s="17"/>
      <c r="P11" s="18"/>
      <c r="Q11" s="4"/>
      <c r="R11" s="4">
        <f>oab</f>
        <v>2.525421244054684E-2</v>
      </c>
      <c r="S11" s="6">
        <f t="shared" si="2"/>
        <v>2.1058630501948032</v>
      </c>
      <c r="T11" s="4">
        <f>oab</f>
        <v>2.525421244054684E-2</v>
      </c>
      <c r="U11" s="6">
        <f t="shared" si="2"/>
        <v>1.5130250717002753</v>
      </c>
      <c r="V11" s="18"/>
      <c r="W11" s="18">
        <f>(1+V12)^0.5-1</f>
        <v>0.29065890070757705</v>
      </c>
      <c r="X11" s="6">
        <f t="shared" si="3"/>
        <v>2.6668825514821335</v>
      </c>
      <c r="Y11" s="7"/>
      <c r="Z11" s="7"/>
      <c r="AA11" s="7"/>
      <c r="AB11" s="4"/>
      <c r="AC11" s="4"/>
      <c r="AD11" s="4">
        <f>oau</f>
        <v>-1.4897678879817706E-2</v>
      </c>
      <c r="AE11" s="6">
        <f t="shared" si="4"/>
        <v>0.5301779815905141</v>
      </c>
      <c r="AF11" s="4">
        <f>oau</f>
        <v>-1.4897678879817706E-2</v>
      </c>
      <c r="AG11" s="6">
        <f t="shared" si="4"/>
        <v>0.72124072690353236</v>
      </c>
      <c r="AH11" s="18"/>
      <c r="AI11" s="18">
        <f>(1+AH12)^0.5-1</f>
        <v>-1.1388376976848025E-2</v>
      </c>
      <c r="AJ11" s="6">
        <f t="shared" si="5"/>
        <v>0.86315128382334116</v>
      </c>
      <c r="AK11" s="7"/>
      <c r="AL11" s="7"/>
      <c r="AM11" s="7"/>
      <c r="AN11" s="4"/>
      <c r="AO11" s="4"/>
      <c r="AP11" s="4">
        <f>oap</f>
        <v>0</v>
      </c>
      <c r="AQ11" s="6">
        <f t="shared" si="6"/>
        <v>1.291198617479427</v>
      </c>
      <c r="AR11" s="4">
        <f>oap</f>
        <v>0</v>
      </c>
      <c r="AS11" s="6">
        <f t="shared" si="6"/>
        <v>1.1532426981961075</v>
      </c>
      <c r="AT11" s="18"/>
      <c r="AU11" s="18">
        <f>(1+AT12)^0.5-1</f>
        <v>0</v>
      </c>
      <c r="AV11" s="6">
        <f t="shared" si="7"/>
        <v>1.0679564208316934</v>
      </c>
      <c r="AW11" s="17"/>
      <c r="AX11" s="13"/>
      <c r="AY11" s="13"/>
      <c r="AZ11" s="26"/>
      <c r="BA11" s="26"/>
      <c r="BB11" s="26">
        <f>oac</f>
        <v>0</v>
      </c>
      <c r="BC11" s="6">
        <f t="shared" si="8"/>
        <v>0.61322453611113314</v>
      </c>
      <c r="BD11" s="26">
        <f>oac</f>
        <v>0</v>
      </c>
      <c r="BE11" s="6">
        <f t="shared" si="8"/>
        <v>0.770141654074875</v>
      </c>
      <c r="BF11" s="26"/>
      <c r="BG11" s="18">
        <f>(1+BF12)^0.5-1</f>
        <v>0</v>
      </c>
      <c r="BH11" s="6">
        <f t="shared" si="9"/>
        <v>0.8926934995475333</v>
      </c>
    </row>
    <row r="12" spans="1:60" x14ac:dyDescent="0.2">
      <c r="A12" s="2">
        <v>18</v>
      </c>
      <c r="B12" s="11">
        <f>maleshare*C12+(1-maleshare)*D12</f>
        <v>3324904.8480000002</v>
      </c>
      <c r="C12" s="11">
        <f>107726*hsprem*colprem*maprem</f>
        <v>3978967.5360000008</v>
      </c>
      <c r="D12" s="11">
        <f>72310*hsprem*colprem*maprem</f>
        <v>2670842.16</v>
      </c>
      <c r="E12" s="4">
        <f>B12/B10-1</f>
        <v>6.3967665438924008</v>
      </c>
      <c r="F12" s="4">
        <f>E12*(1-abilitybias)</f>
        <v>3.5182215991408206</v>
      </c>
      <c r="G12" s="4">
        <f>6.7*oar</f>
        <v>0.19948814196213172</v>
      </c>
      <c r="H12" s="6">
        <f t="shared" si="0"/>
        <v>2.6591623873385348</v>
      </c>
      <c r="I12" s="4">
        <f>oar</f>
        <v>2.9774349546586823E-2</v>
      </c>
      <c r="J12" s="6">
        <f t="shared" si="0"/>
        <v>1.6004634675810823</v>
      </c>
      <c r="K12" s="18">
        <f>(1-rsignal)*F12</f>
        <v>0.703644319828164</v>
      </c>
      <c r="L12" s="18">
        <f>(1+K12)^0.5-1</f>
        <v>0.30523726572151011</v>
      </c>
      <c r="M12" s="6">
        <f t="shared" si="1"/>
        <v>3.6308109927280845</v>
      </c>
      <c r="N12" s="8">
        <v>0.41</v>
      </c>
      <c r="O12" s="17">
        <f>B12*N12</f>
        <v>1363210.98768</v>
      </c>
      <c r="P12" s="18">
        <f>O12/O10-1</f>
        <v>6.0527308906881032</v>
      </c>
      <c r="Q12" s="4">
        <f>P12*(1-abilitybias)</f>
        <v>3.3290019898784569</v>
      </c>
      <c r="R12" s="4">
        <f>6.7*oab</f>
        <v>0.16920322335166382</v>
      </c>
      <c r="S12" s="6">
        <f t="shared" si="2"/>
        <v>2.4621818662249306</v>
      </c>
      <c r="T12" s="4">
        <f>oab</f>
        <v>2.525421244054684E-2</v>
      </c>
      <c r="U12" s="6">
        <f t="shared" si="2"/>
        <v>1.5512353282888676</v>
      </c>
      <c r="V12" s="18">
        <f>(1-rsignal)*Q12</f>
        <v>0.66580039797569124</v>
      </c>
      <c r="W12" s="18">
        <f>(1+V12)^0.5-1</f>
        <v>0.29065890070757705</v>
      </c>
      <c r="X12" s="6">
        <f t="shared" si="3"/>
        <v>3.4420357022121486</v>
      </c>
      <c r="Y12" s="7">
        <f>maleshare*Z12+(1-maleshare)*AA12</f>
        <v>2.7</v>
      </c>
      <c r="Z12" s="7">
        <v>2.8</v>
      </c>
      <c r="AA12" s="7">
        <v>2.6</v>
      </c>
      <c r="AB12" s="4">
        <f>Y12/Y10-1</f>
        <v>-0.20588235294117641</v>
      </c>
      <c r="AC12" s="4">
        <f>AB12*(1-abilitybias)</f>
        <v>-0.11323529411764703</v>
      </c>
      <c r="AD12" s="4">
        <f>6.7*oau</f>
        <v>-9.9814448494778635E-2</v>
      </c>
      <c r="AE12" s="6">
        <f t="shared" si="4"/>
        <v>0.47725855875398204</v>
      </c>
      <c r="AF12" s="4">
        <f>oau</f>
        <v>-1.4897678879817706E-2</v>
      </c>
      <c r="AG12" s="6">
        <f t="shared" si="4"/>
        <v>0.7104959141590772</v>
      </c>
      <c r="AH12" s="18">
        <f>(1-rsignal)*AC12</f>
        <v>-2.2647058823529402E-2</v>
      </c>
      <c r="AI12" s="18">
        <f>(1+AH12)^0.5-1</f>
        <v>-1.1388376976848025E-2</v>
      </c>
      <c r="AJ12" s="6">
        <f t="shared" si="5"/>
        <v>0.85332139161511056</v>
      </c>
      <c r="AK12" s="7">
        <f>maleshare*AL12+(1-maleshare)*AM12</f>
        <v>77.699999999999989</v>
      </c>
      <c r="AL12" s="7">
        <v>85.3</v>
      </c>
      <c r="AM12" s="7">
        <v>70.099999999999994</v>
      </c>
      <c r="AN12" s="4">
        <f>AK12/AK10-1</f>
        <v>0</v>
      </c>
      <c r="AO12" s="4">
        <f>AN12*(1-abilitybias)</f>
        <v>0</v>
      </c>
      <c r="AP12" s="4">
        <f>6.7*oap</f>
        <v>0</v>
      </c>
      <c r="AQ12" s="6">
        <f t="shared" si="6"/>
        <v>1.291198617479427</v>
      </c>
      <c r="AR12" s="4">
        <f>oap</f>
        <v>0</v>
      </c>
      <c r="AS12" s="6">
        <f t="shared" si="6"/>
        <v>1.1532426981961075</v>
      </c>
      <c r="AT12" s="18">
        <f>(1-rsignal)*AO12</f>
        <v>0</v>
      </c>
      <c r="AU12" s="18">
        <f>(1+AT12)^0.5-1</f>
        <v>0</v>
      </c>
      <c r="AV12" s="6">
        <f t="shared" si="7"/>
        <v>1.0679564208316934</v>
      </c>
      <c r="AW12" s="17">
        <f>maleshare*AX12+(1-maleshare)*AY12</f>
        <v>993.5</v>
      </c>
      <c r="AX12" s="13">
        <v>1852</v>
      </c>
      <c r="AY12" s="13">
        <v>135</v>
      </c>
      <c r="AZ12" s="26">
        <f>AW12/AW10-1</f>
        <v>0</v>
      </c>
      <c r="BA12" s="26">
        <f>AZ12*(1-cabilitybias)</f>
        <v>0</v>
      </c>
      <c r="BB12" s="26">
        <f>6.7*oap</f>
        <v>0</v>
      </c>
      <c r="BC12" s="6">
        <f t="shared" si="8"/>
        <v>0.61322453611113314</v>
      </c>
      <c r="BD12" s="26">
        <f>oap</f>
        <v>0</v>
      </c>
      <c r="BE12" s="6">
        <f t="shared" si="8"/>
        <v>0.770141654074875</v>
      </c>
      <c r="BF12" s="26">
        <f>(1-rsignal)*BA12</f>
        <v>0</v>
      </c>
      <c r="BG12" s="18">
        <f>(1+BF12)^0.5-1</f>
        <v>0</v>
      </c>
      <c r="BH12" s="6">
        <f t="shared" si="9"/>
        <v>0.8926934995475333</v>
      </c>
    </row>
    <row r="14" spans="1:60" x14ac:dyDescent="0.2">
      <c r="A14" s="13" t="s">
        <v>104</v>
      </c>
      <c r="B14" s="13" t="s">
        <v>123</v>
      </c>
      <c r="C14" s="13" t="s">
        <v>124</v>
      </c>
      <c r="D14" s="13" t="s">
        <v>125</v>
      </c>
      <c r="E14" s="13" t="s">
        <v>126</v>
      </c>
      <c r="F14" s="2" t="s">
        <v>152</v>
      </c>
      <c r="G14" s="2" t="s">
        <v>153</v>
      </c>
      <c r="H14" s="2" t="s">
        <v>154</v>
      </c>
    </row>
    <row r="15" spans="1:60" x14ac:dyDescent="0.2">
      <c r="A15" s="13">
        <v>0.5</v>
      </c>
      <c r="B15" s="2">
        <v>0.45</v>
      </c>
      <c r="C15" s="2">
        <v>0.8</v>
      </c>
      <c r="D15" s="39">
        <v>0.75</v>
      </c>
      <c r="E15" s="39">
        <v>0</v>
      </c>
      <c r="F15" s="39">
        <v>1.62</v>
      </c>
      <c r="G15" s="39">
        <v>4</v>
      </c>
      <c r="H15" s="39">
        <v>5.7</v>
      </c>
    </row>
    <row r="17" spans="1:26" s="13" customFormat="1" x14ac:dyDescent="0.2">
      <c r="A17" s="22" t="s">
        <v>64</v>
      </c>
    </row>
    <row r="18" spans="1:26" s="13" customFormat="1" x14ac:dyDescent="0.2">
      <c r="A18" s="22" t="s">
        <v>65</v>
      </c>
    </row>
    <row r="19" spans="1:26" s="13" customFormat="1" x14ac:dyDescent="0.2">
      <c r="A19" s="1" t="s">
        <v>35</v>
      </c>
    </row>
    <row r="20" spans="1:26" x14ac:dyDescent="0.2">
      <c r="A20" s="13" t="s">
        <v>66</v>
      </c>
    </row>
    <row r="21" spans="1:26" x14ac:dyDescent="0.2">
      <c r="A21" s="13" t="s">
        <v>49</v>
      </c>
    </row>
    <row r="22" spans="1:26" x14ac:dyDescent="0.2">
      <c r="A22" s="2" t="s">
        <v>10</v>
      </c>
    </row>
    <row r="23" spans="1:26" x14ac:dyDescent="0.2">
      <c r="A23" s="13" t="s">
        <v>67</v>
      </c>
    </row>
    <row r="24" spans="1:26" x14ac:dyDescent="0.2">
      <c r="A24" s="13" t="s">
        <v>68</v>
      </c>
    </row>
    <row r="25" spans="1:26" x14ac:dyDescent="0.2">
      <c r="A25" s="13" t="s">
        <v>50</v>
      </c>
    </row>
    <row r="26" spans="1:26" x14ac:dyDescent="0.2">
      <c r="A26" s="2" t="s">
        <v>155</v>
      </c>
    </row>
    <row r="27" spans="1:26" x14ac:dyDescent="0.2">
      <c r="A27" s="2" t="s">
        <v>11</v>
      </c>
      <c r="B27" s="2" t="s">
        <v>12</v>
      </c>
      <c r="C27" s="2" t="s">
        <v>13</v>
      </c>
      <c r="E27" s="19" t="s">
        <v>38</v>
      </c>
      <c r="F27" s="19" t="s">
        <v>39</v>
      </c>
      <c r="G27" s="19" t="s">
        <v>40</v>
      </c>
      <c r="I27" s="2" t="s">
        <v>14</v>
      </c>
      <c r="J27" s="2" t="s">
        <v>15</v>
      </c>
      <c r="K27" s="2" t="s">
        <v>16</v>
      </c>
      <c r="M27" s="2" t="s">
        <v>25</v>
      </c>
      <c r="N27" s="2" t="s">
        <v>26</v>
      </c>
      <c r="O27" s="2" t="s">
        <v>27</v>
      </c>
      <c r="Q27" s="13" t="s">
        <v>69</v>
      </c>
      <c r="R27" s="13" t="s">
        <v>70</v>
      </c>
      <c r="S27" s="13" t="s">
        <v>71</v>
      </c>
    </row>
    <row r="28" spans="1:26" x14ac:dyDescent="0.2">
      <c r="A28" s="10">
        <v>5.7471373194587186E-2</v>
      </c>
      <c r="B28" s="10">
        <v>4.814601372016046E-2</v>
      </c>
      <c r="C28" s="10">
        <v>2.9774349546586823E-2</v>
      </c>
      <c r="D28" s="10"/>
      <c r="E28" s="10">
        <v>5.7471382685923833E-2</v>
      </c>
      <c r="F28" s="10">
        <v>4.2281471031529412E-2</v>
      </c>
      <c r="G28" s="10">
        <v>2.525421244054684E-2</v>
      </c>
      <c r="H28" s="10"/>
      <c r="I28" s="10">
        <v>-4.8704216146417227E-2</v>
      </c>
      <c r="J28" s="10">
        <v>-2.7624174806135226E-2</v>
      </c>
      <c r="K28" s="10">
        <v>-1.4897678879817706E-2</v>
      </c>
      <c r="M28" s="10">
        <v>2.6355576006563859E-2</v>
      </c>
      <c r="N28" s="10">
        <v>9.6766953208857562E-3</v>
      </c>
      <c r="O28" s="10">
        <v>0</v>
      </c>
      <c r="Q28" s="25">
        <v>-4.7526277409333843E-2</v>
      </c>
      <c r="R28" s="25">
        <v>-1.6465382486860459E-2</v>
      </c>
      <c r="S28" s="25">
        <v>0</v>
      </c>
    </row>
    <row r="29" spans="1:26" x14ac:dyDescent="0.2">
      <c r="A29" s="9">
        <f>(1+ohsr)*(1+3.4*ohsr)-(1+F6)</f>
        <v>-0.38470174500571686</v>
      </c>
      <c r="B29" s="9">
        <f>(1+ocr)^3*(1+6.7*ocr)-(1+F10)</f>
        <v>-2.8257955952055518</v>
      </c>
      <c r="C29" s="9">
        <f>(1+oar)*(1+6.7*oar)-(1+F12)</f>
        <v>-3.2830194779629229</v>
      </c>
      <c r="D29" s="9"/>
      <c r="E29" s="9">
        <f>(1+ohsb)*(1+3.4*ohsb)-(1+Q6)</f>
        <v>-0.38470169953457023</v>
      </c>
      <c r="F29" s="9">
        <f>(1+ocb)^3*(1+6.7*ocb)-(1+Q10)</f>
        <v>-2.641440227416223</v>
      </c>
      <c r="G29" s="9">
        <f>(1+oab)*(1+6.7*oab)-(1+Q12)</f>
        <v>-3.1302714599380979</v>
      </c>
      <c r="H29" s="9"/>
      <c r="I29" s="9">
        <f>(1+ohsu)*(1+3.4*ohsu)-(1+AC6)</f>
        <v>1.659123524977435E-5</v>
      </c>
      <c r="J29" s="9">
        <f>(1+ocu)^3*(1+6.7*ocu)-(1+AC10)</f>
        <v>3.2115893653594796E-5</v>
      </c>
      <c r="K29" s="9">
        <f>(1+oau)*(1+6.7*oau)-(1+AC12)</f>
        <v>1.0170344291959843E-5</v>
      </c>
      <c r="M29" s="9">
        <f>(1+ohsp)*(1+3.4*ohsp)-(1+AO6)</f>
        <v>1.4441196163117453E-4</v>
      </c>
      <c r="N29" s="9">
        <f>(1+ocp)^3*(1+6.7*ocp)-(1+AO10)</f>
        <v>1.4424047627858982E-5</v>
      </c>
      <c r="O29" s="9">
        <f>(1+oap)*(1+6.7*oap)-(1+AO12)</f>
        <v>0</v>
      </c>
      <c r="Q29" s="9">
        <f>(1+ohsc)*(1+3.4*ohsc)-(1+BA6)</f>
        <v>1.7217465493324369E-4</v>
      </c>
      <c r="R29" s="9">
        <f>(1+occ)^3*(1+6.7*occ)-(1+BA10)</f>
        <v>3.5841109959910966E-5</v>
      </c>
      <c r="S29" s="9">
        <f>(1+oac)*(1+6.7*oac)-(1+BA12)</f>
        <v>0</v>
      </c>
    </row>
    <row r="30" spans="1:26" x14ac:dyDescent="0.2">
      <c r="A30" s="23" t="s">
        <v>48</v>
      </c>
      <c r="O30" s="14"/>
      <c r="P30" s="14"/>
      <c r="Q30" s="14"/>
      <c r="R30" s="14"/>
    </row>
    <row r="31" spans="1:26" x14ac:dyDescent="0.2">
      <c r="A31" t="s">
        <v>3</v>
      </c>
      <c r="B31" s="2" t="s">
        <v>17</v>
      </c>
      <c r="C31" s="19" t="s">
        <v>44</v>
      </c>
      <c r="D31" s="2" t="s">
        <v>18</v>
      </c>
      <c r="E31" s="13" t="s">
        <v>96</v>
      </c>
      <c r="F31" s="2" t="s">
        <v>31</v>
      </c>
      <c r="G31" s="2" t="s">
        <v>19</v>
      </c>
      <c r="H31" s="19" t="s">
        <v>45</v>
      </c>
      <c r="I31" s="2" t="s">
        <v>20</v>
      </c>
      <c r="J31" s="13" t="s">
        <v>97</v>
      </c>
      <c r="K31" s="2" t="s">
        <v>32</v>
      </c>
      <c r="L31" s="2" t="s">
        <v>21</v>
      </c>
      <c r="M31" s="19" t="s">
        <v>46</v>
      </c>
      <c r="N31" s="2" t="s">
        <v>22</v>
      </c>
      <c r="O31" s="13" t="s">
        <v>98</v>
      </c>
      <c r="P31" s="2" t="s">
        <v>33</v>
      </c>
      <c r="Q31" s="2" t="s">
        <v>23</v>
      </c>
      <c r="R31" s="19" t="s">
        <v>47</v>
      </c>
      <c r="S31" s="2" t="s">
        <v>24</v>
      </c>
      <c r="T31" s="13" t="s">
        <v>99</v>
      </c>
      <c r="U31" s="2" t="s">
        <v>34</v>
      </c>
      <c r="W31" s="14"/>
      <c r="X31" s="15"/>
      <c r="Y31" s="15"/>
      <c r="Z31" s="14"/>
    </row>
    <row r="32" spans="1:26" x14ac:dyDescent="0.2">
      <c r="A32" s="2">
        <v>8</v>
      </c>
      <c r="B32" s="3">
        <f>ExcellentStudent!B5</f>
        <v>1250357.956261477</v>
      </c>
      <c r="C32" s="3">
        <f>ExcellentStudent!C5</f>
        <v>553659.74641430692</v>
      </c>
      <c r="D32" s="20">
        <f>ExcellentStudent!D5</f>
        <v>5.6573108024487E-2</v>
      </c>
      <c r="E32" s="20">
        <f>CompletionProb!B11</f>
        <v>1</v>
      </c>
      <c r="F32" s="20">
        <f>IF(fullpart=0,1,0)*ExcellentStudent!E5+IF(fullpart=1,1,0)*1</f>
        <v>0.60176644358309195</v>
      </c>
      <c r="G32" s="17">
        <f>GoodStudent!B5</f>
        <v>208799.99262395327</v>
      </c>
      <c r="H32" s="17">
        <f>GoodStudent!C5</f>
        <v>94103.809079423663</v>
      </c>
      <c r="I32" s="20">
        <f>GoodStudent!D5</f>
        <v>6.3174028498141341E-2</v>
      </c>
      <c r="J32" s="20">
        <f>CompletionProb!C11</f>
        <v>1</v>
      </c>
      <c r="K32" s="20">
        <f>IF(fullpart=0,1,0)*GoodStudent!E5+IF(fullpart=1,1,0)*1</f>
        <v>0.60176644358309195</v>
      </c>
      <c r="L32" s="17">
        <f>FairStudent!B5</f>
        <v>44859.516715614285</v>
      </c>
      <c r="M32" s="17">
        <f>FairStudent!C5</f>
        <v>20635.376576480747</v>
      </c>
      <c r="N32" s="20">
        <f>FairStudent!D5</f>
        <v>8.7007373237478702E-2</v>
      </c>
      <c r="O32" s="20">
        <f>CompletionProb!D11</f>
        <v>1</v>
      </c>
      <c r="P32" s="20">
        <f>IF(fullpart=0,1,0)*FairStudent!E5+IF(fullpart=1,1,0)*1</f>
        <v>0.56152053734603535</v>
      </c>
      <c r="Q32" s="17">
        <f>PoorStudent!B5</f>
        <v>26016.643629067821</v>
      </c>
      <c r="R32" s="17">
        <f>PoorStudent!C5</f>
        <v>11967.655854539755</v>
      </c>
      <c r="S32" s="21">
        <f>PoorStudent!D5</f>
        <v>0.11050167370727448</v>
      </c>
      <c r="T32" s="30">
        <f>CompletionProb!E11</f>
        <v>1</v>
      </c>
      <c r="U32" s="21">
        <f>IF(fullpart=0,1,0)*PoorStudent!E5+IF(fullpart=1,1,0)*1</f>
        <v>0.51689483419779725</v>
      </c>
    </row>
    <row r="33" spans="1:26" x14ac:dyDescent="0.2">
      <c r="A33" s="2">
        <v>9</v>
      </c>
      <c r="B33" s="3">
        <f>ExcellentStudent!B6</f>
        <v>1322217.7449926017</v>
      </c>
      <c r="C33" s="3">
        <f>ExcellentStudent!C6</f>
        <v>585479.33757827512</v>
      </c>
      <c r="D33" s="20">
        <f>ExcellentStudent!D6</f>
        <v>5.3817759143187781E-2</v>
      </c>
      <c r="E33" s="20">
        <f>CompletionProb!B12</f>
        <v>0.98556546287433633</v>
      </c>
      <c r="F33" s="20">
        <f>IF(fullpart=0,1,0)*ExcellentStudent!E6+IF(fullpart=1,1,0)*1</f>
        <v>0.61762634482514578</v>
      </c>
      <c r="G33" s="17">
        <f>GoodStudent!B6</f>
        <v>220800.01492307158</v>
      </c>
      <c r="H33" s="17">
        <f>GoodStudent!C6</f>
        <v>99512.085103230347</v>
      </c>
      <c r="I33" s="20">
        <f>GoodStudent!D6</f>
        <v>6.0097186959327954E-2</v>
      </c>
      <c r="J33" s="20">
        <f>CompletionProb!C12</f>
        <v>0.98003501754525446</v>
      </c>
      <c r="K33" s="20">
        <f>IF(fullpart=0,1,0)*GoodStudent!E6+IF(fullpart=1,1,0)*1</f>
        <v>0.61762634482514578</v>
      </c>
      <c r="L33" s="17">
        <f>FairStudent!B6</f>
        <v>47437.654742106177</v>
      </c>
      <c r="M33" s="17">
        <f>FairStudent!C6</f>
        <v>21821.320200575821</v>
      </c>
      <c r="N33" s="20">
        <f>FairStudent!D6</f>
        <v>8.2769747324988541E-2</v>
      </c>
      <c r="O33" s="20">
        <f>CompletionProb!D12</f>
        <v>0.9414267782152892</v>
      </c>
      <c r="P33" s="20">
        <f>IF(fullpart=0,1,0)*FairStudent!E6+IF(fullpart=1,1,0)*1</f>
        <v>0.57631973454730545</v>
      </c>
      <c r="Q33" s="17">
        <f>PoorStudent!B6</f>
        <v>27511.855864344558</v>
      </c>
      <c r="R33" s="17">
        <f>PoorStudent!C6</f>
        <v>12655.453584009445</v>
      </c>
      <c r="S33" s="21">
        <f>PoorStudent!D6</f>
        <v>0.10511977630649452</v>
      </c>
      <c r="T33" s="30">
        <f>CompletionProb!E12</f>
        <v>0.87808784358288972</v>
      </c>
      <c r="U33" s="21">
        <f>IF(fullpart=0,1,0)*PoorStudent!E6+IF(fullpart=1,1,0)*1</f>
        <v>0.5305178952878975</v>
      </c>
    </row>
    <row r="34" spans="1:26" x14ac:dyDescent="0.2">
      <c r="A34" s="2">
        <v>10</v>
      </c>
      <c r="B34" s="3">
        <f>ExcellentStudent!B7</f>
        <v>1398207.4144595773</v>
      </c>
      <c r="C34" s="3">
        <f>ExcellentStudent!C7</f>
        <v>619127.64464293746</v>
      </c>
      <c r="D34" s="20">
        <f>ExcellentStudent!D7</f>
        <v>5.1196607369362136E-2</v>
      </c>
      <c r="E34" s="20">
        <f>CompletionProb!B13</f>
        <v>0.98556546287433633</v>
      </c>
      <c r="F34" s="20">
        <f>IF(fullpart=0,1,0)*ExcellentStudent!E7+IF(fullpart=1,1,0)*1</f>
        <v>0.63390424289984115</v>
      </c>
      <c r="G34" s="17">
        <f>GoodStudent!B7</f>
        <v>233489.69498208587</v>
      </c>
      <c r="H34" s="17">
        <f>GoodStudent!C7</f>
        <v>105231.18222807233</v>
      </c>
      <c r="I34" s="20">
        <f>GoodStudent!D7</f>
        <v>5.717020057586919E-2</v>
      </c>
      <c r="J34" s="20">
        <f>CompletionProb!C13</f>
        <v>0.98003501754525446</v>
      </c>
      <c r="K34" s="20">
        <f>IF(fullpart=0,1,0)*GoodStudent!E7+IF(fullpart=1,1,0)*1</f>
        <v>0.63390424289984115</v>
      </c>
      <c r="L34" s="17">
        <f>FairStudent!B7</f>
        <v>50163.961901265749</v>
      </c>
      <c r="M34" s="17">
        <f>FairStudent!C7</f>
        <v>23075.421644535199</v>
      </c>
      <c r="N34" s="20">
        <f>FairStudent!D7</f>
        <v>7.8738511660887966E-2</v>
      </c>
      <c r="O34" s="20">
        <f>CompletionProb!D13</f>
        <v>0.9414267782152892</v>
      </c>
      <c r="P34" s="20">
        <f>IF(fullpart=0,1,0)*FairStudent!E7+IF(fullpart=1,1,0)*1</f>
        <v>0.59150897311524964</v>
      </c>
      <c r="Q34" s="17">
        <f>PoorStudent!B7</f>
        <v>29093</v>
      </c>
      <c r="R34" s="17">
        <f>PoorStudent!C7</f>
        <v>13382.78</v>
      </c>
      <c r="S34" s="21">
        <f>PoorStudent!D7</f>
        <v>0.1</v>
      </c>
      <c r="T34" s="30">
        <f>CompletionProb!E13</f>
        <v>0.87808784358288972</v>
      </c>
      <c r="U34" s="21">
        <f>IF(fullpart=0,1,0)*PoorStudent!E7+IF(fullpart=1,1,0)*1</f>
        <v>0.54449999999999998</v>
      </c>
    </row>
    <row r="35" spans="1:26" x14ac:dyDescent="0.2">
      <c r="A35" s="2">
        <v>11</v>
      </c>
      <c r="B35" s="3">
        <f>ExcellentStudent!B8</f>
        <v>1478564.3145794226</v>
      </c>
      <c r="C35" s="3">
        <f>ExcellentStudent!C8</f>
        <v>654709.76643964637</v>
      </c>
      <c r="D35" s="20">
        <f>ExcellentStudent!D8</f>
        <v>4.8703116738081469E-2</v>
      </c>
      <c r="E35" s="20">
        <f>CompletionProb!B14</f>
        <v>0.98556546287433633</v>
      </c>
      <c r="F35" s="20">
        <f>IF(fullpart=0,1,0)*ExcellentStudent!E8+IF(fullpart=1,1,0)*1</f>
        <v>0.65061115435447125</v>
      </c>
      <c r="G35" s="17">
        <f>GoodStudent!B8</f>
        <v>246908.66837949169</v>
      </c>
      <c r="H35" s="17">
        <f>GoodStudent!C8</f>
        <v>111278.96377239405</v>
      </c>
      <c r="I35" s="20">
        <f>GoodStudent!D8</f>
        <v>5.4385770769888042E-2</v>
      </c>
      <c r="J35" s="20">
        <f>CompletionProb!C14</f>
        <v>0.98003501754525446</v>
      </c>
      <c r="K35" s="20">
        <f>IF(fullpart=0,1,0)*GoodStudent!E8+IF(fullpart=1,1,0)*1</f>
        <v>0.65061115435447125</v>
      </c>
      <c r="L35" s="17">
        <f>FairStudent!B8</f>
        <v>53046.953676612458</v>
      </c>
      <c r="M35" s="17">
        <f>FairStudent!C8</f>
        <v>24401.598032507336</v>
      </c>
      <c r="N35" s="20">
        <f>FairStudent!D8</f>
        <v>7.4903614169908886E-2</v>
      </c>
      <c r="O35" s="20">
        <f>CompletionProb!D14</f>
        <v>0.9414267782152892</v>
      </c>
      <c r="P35" s="20">
        <f>IF(fullpart=0,1,0)*FairStudent!E8+IF(fullpart=1,1,0)*1</f>
        <v>0.60709853281475312</v>
      </c>
      <c r="Q35" s="17">
        <f>PoorStudent!B8</f>
        <v>30765.014660350127</v>
      </c>
      <c r="R35" s="17">
        <f>PoorStudent!C8</f>
        <v>14151.906870781528</v>
      </c>
      <c r="S35" s="21">
        <f>PoorStudent!D8</f>
        <v>9.5129578385358279E-2</v>
      </c>
      <c r="T35" s="30">
        <f>CompletionProb!E14</f>
        <v>0.87808784358288972</v>
      </c>
      <c r="U35" s="21">
        <f>IF(fullpart=0,1,0)*PoorStudent!E8+IF(fullpart=1,1,0)*1</f>
        <v>0.55885061113557399</v>
      </c>
    </row>
    <row r="36" spans="1:26" x14ac:dyDescent="0.2">
      <c r="A36" s="2">
        <v>12</v>
      </c>
      <c r="B36" s="3">
        <f>ExcellentStudent!B9</f>
        <v>1767479.7277317585</v>
      </c>
      <c r="C36" s="3">
        <f>ExcellentStudent!C9</f>
        <v>782641.82325954642</v>
      </c>
      <c r="D36" s="20">
        <f>ExcellentStudent!D9</f>
        <v>4.0638156514388048E-2</v>
      </c>
      <c r="E36" s="20">
        <f>CompletionProb!B15</f>
        <v>0.98556546287433633</v>
      </c>
      <c r="F36" s="20">
        <f>IF(fullpart=0,1,0)*ExcellentStudent!E9+IF(fullpart=1,1,0)*1</f>
        <v>0.70891174223411668</v>
      </c>
      <c r="G36" s="17">
        <f>GoodStudent!B9</f>
        <v>295155.28114590724</v>
      </c>
      <c r="H36" s="17">
        <f>GoodStudent!C9</f>
        <v>133023.17387270552</v>
      </c>
      <c r="I36" s="20">
        <f>GoodStudent!D9</f>
        <v>4.5379795231343209E-2</v>
      </c>
      <c r="J36" s="20">
        <f>CompletionProb!C15</f>
        <v>0.98003501754525446</v>
      </c>
      <c r="K36" s="20">
        <f>IF(fullpart=0,1,0)*GoodStudent!E9+IF(fullpart=1,1,0)*1</f>
        <v>0.70891174223411668</v>
      </c>
      <c r="L36" s="17">
        <f>FairStudent!B9</f>
        <v>63412.47</v>
      </c>
      <c r="M36" s="17">
        <f>FairStudent!C9</f>
        <v>29169.736199999999</v>
      </c>
      <c r="N36" s="20">
        <f>FairStudent!D9</f>
        <v>6.25E-2</v>
      </c>
      <c r="O36" s="20">
        <f>CompletionProb!D15</f>
        <v>0.9414267782152892</v>
      </c>
      <c r="P36" s="20">
        <f>IF(fullpart=0,1,0)*FairStudent!E9+IF(fullpart=1,1,0)*1</f>
        <v>0.66150000000000009</v>
      </c>
      <c r="Q36" s="17">
        <f>PoorStudent!B9</f>
        <v>36776.580632548685</v>
      </c>
      <c r="R36" s="17">
        <f>PoorStudent!C9</f>
        <v>16917.227699502746</v>
      </c>
      <c r="S36" s="21">
        <f>PoorStudent!D9</f>
        <v>7.937665912352497E-2</v>
      </c>
      <c r="T36" s="30">
        <f>CompletionProb!E15</f>
        <v>0.87808784358288972</v>
      </c>
      <c r="U36" s="21">
        <f>IF(fullpart=0,1,0)*PoorStudent!E9+IF(fullpart=1,1,0)*1</f>
        <v>0.60892863231310812</v>
      </c>
    </row>
    <row r="37" spans="1:26" x14ac:dyDescent="0.2">
      <c r="A37" s="2">
        <v>13</v>
      </c>
      <c r="B37" s="3">
        <f>ExcellentStudent!B10</f>
        <v>1852576.8309532374</v>
      </c>
      <c r="C37" s="3">
        <f>ExcellentStudent!C10</f>
        <v>815733.07083775837</v>
      </c>
      <c r="D37" s="20">
        <f>ExcellentStudent!D10</f>
        <v>3.9515560975035516E-2</v>
      </c>
      <c r="E37" s="20">
        <f>CompletionProb!B16</f>
        <v>0.90286693050399747</v>
      </c>
      <c r="F37" s="20">
        <f>IF(fullpart=0,1,0)*ExcellentStudent!E10+IF(fullpart=1,1,0)*1</f>
        <v>0.71577166517311452</v>
      </c>
      <c r="G37" s="17">
        <f>GoodStudent!B10</f>
        <v>309365.83136153588</v>
      </c>
      <c r="H37" s="17">
        <f>GoodStudent!C10</f>
        <v>138647.58934532641</v>
      </c>
      <c r="I37" s="20">
        <f>GoodStudent!D10</f>
        <v>4.4126215835205956E-2</v>
      </c>
      <c r="J37" s="20">
        <f>CompletionProb!C16</f>
        <v>0.81212394245807451</v>
      </c>
      <c r="K37" s="20">
        <f>IF(fullpart=0,1,0)*GoodStudent!E10+IF(fullpart=1,1,0)*1</f>
        <v>0.71577166517311452</v>
      </c>
      <c r="L37" s="17">
        <f>FairStudent!B10</f>
        <v>66465.527650649266</v>
      </c>
      <c r="M37" s="17">
        <f>FairStudent!C10</f>
        <v>30403.075556137654</v>
      </c>
      <c r="N37" s="20">
        <f>FairStudent!D10</f>
        <v>6.0773489074616542E-2</v>
      </c>
      <c r="O37" s="20">
        <f>CompletionProb!D16</f>
        <v>0.61386388851954421</v>
      </c>
      <c r="P37" s="20">
        <f>IF(fullpart=0,1,0)*FairStudent!E10+IF(fullpart=1,1,0)*1</f>
        <v>0.66790113395476591</v>
      </c>
      <c r="Q37" s="17">
        <f>PoorStudent!B10</f>
        <v>38547.226388263953</v>
      </c>
      <c r="R37" s="17">
        <f>PoorStudent!C10</f>
        <v>17632.512972413057</v>
      </c>
      <c r="S37" s="21">
        <f>PoorStudent!D10</f>
        <v>7.7183944416369721E-2</v>
      </c>
      <c r="T37" s="30">
        <f>CompletionProb!E16</f>
        <v>0.49697261564855799</v>
      </c>
      <c r="U37" s="21">
        <f>IF(fullpart=0,1,0)*PoorStudent!E10+IF(fullpart=1,1,0)*1</f>
        <v>0.61482104916016578</v>
      </c>
    </row>
    <row r="38" spans="1:26" x14ac:dyDescent="0.2">
      <c r="A38" s="2">
        <v>14</v>
      </c>
      <c r="B38" s="3">
        <f>ExcellentStudent!B11</f>
        <v>1941771.0204739629</v>
      </c>
      <c r="C38" s="3">
        <f>ExcellentStudent!C11</f>
        <v>850223.46504184534</v>
      </c>
      <c r="D38" s="20">
        <f>ExcellentStudent!D11</f>
        <v>3.8423976211098637E-2</v>
      </c>
      <c r="E38" s="20">
        <f>CompletionProb!B17</f>
        <v>0.90286693050399747</v>
      </c>
      <c r="F38" s="20">
        <f>IF(fullpart=0,1,0)*ExcellentStudent!E11+IF(fullpart=1,1,0)*1</f>
        <v>0.72269796949631793</v>
      </c>
      <c r="G38" s="17">
        <f>GoodStudent!B11</f>
        <v>324260.56292281713</v>
      </c>
      <c r="H38" s="17">
        <f>GoodStudent!C11</f>
        <v>144509.81337782223</v>
      </c>
      <c r="I38" s="20">
        <f>GoodStudent!D11</f>
        <v>4.2907265535440976E-2</v>
      </c>
      <c r="J38" s="20">
        <f>CompletionProb!C17</f>
        <v>0.81212394245807451</v>
      </c>
      <c r="K38" s="20">
        <f>IF(fullpart=0,1,0)*GoodStudent!E11+IF(fullpart=1,1,0)*1</f>
        <v>0.72269796949631793</v>
      </c>
      <c r="L38" s="17">
        <f>FairStudent!B11</f>
        <v>69665.577856835109</v>
      </c>
      <c r="M38" s="17">
        <f>FairStudent!C11</f>
        <v>31688.562314533887</v>
      </c>
      <c r="N38" s="20">
        <f>FairStudent!D11</f>
        <v>5.9094671588840603E-2</v>
      </c>
      <c r="O38" s="20">
        <f>CompletionProb!D17</f>
        <v>0.61386388851954421</v>
      </c>
      <c r="P38" s="20">
        <f>IF(fullpart=0,1,0)*FairStudent!E11+IF(fullpart=1,1,0)*1</f>
        <v>0.67436420973252043</v>
      </c>
      <c r="Q38" s="17">
        <f>PoorStudent!B11</f>
        <v>40403.12167882744</v>
      </c>
      <c r="R38" s="17">
        <f>PoorStudent!C11</f>
        <v>18378.041558869205</v>
      </c>
      <c r="S38" s="21">
        <f>PoorStudent!D11</f>
        <v>7.5051801643584881E-2</v>
      </c>
      <c r="T38" s="30">
        <f>CompletionProb!E17</f>
        <v>0.49697261564855799</v>
      </c>
      <c r="U38" s="21">
        <f>IF(fullpart=0,1,0)*PoorStudent!E11+IF(fullpart=1,1,0)*1</f>
        <v>0.62077048512975608</v>
      </c>
    </row>
    <row r="39" spans="1:26" x14ac:dyDescent="0.2">
      <c r="A39" s="2">
        <v>15</v>
      </c>
      <c r="B39" s="3">
        <f>ExcellentStudent!B12</f>
        <v>2035259.5546671122</v>
      </c>
      <c r="C39" s="3">
        <f>ExcellentStudent!C12</f>
        <v>886172.16384933877</v>
      </c>
      <c r="D39" s="20">
        <f>ExcellentStudent!D12</f>
        <v>3.7362545575496474E-2</v>
      </c>
      <c r="E39" s="20">
        <f>CompletionProb!B18</f>
        <v>0.90286693050399747</v>
      </c>
      <c r="F39" s="20">
        <f>IF(fullpart=0,1,0)*ExcellentStudent!E12+IF(fullpart=1,1,0)*1</f>
        <v>0.72969129755615658</v>
      </c>
      <c r="G39" s="17">
        <f>GoodStudent!B12</f>
        <v>339872.41643420601</v>
      </c>
      <c r="H39" s="17">
        <f>GoodStudent!C12</f>
        <v>150619.90086592833</v>
      </c>
      <c r="I39" s="20">
        <f>GoodStudent!D12</f>
        <v>4.1721987731836697E-2</v>
      </c>
      <c r="J39" s="20">
        <f>CompletionProb!C18</f>
        <v>0.81212394245807451</v>
      </c>
      <c r="K39" s="20">
        <f>IF(fullpart=0,1,0)*GoodStudent!E12+IF(fullpart=1,1,0)*1</f>
        <v>0.72969129755615658</v>
      </c>
      <c r="L39" s="17">
        <f>FairStudent!B12</f>
        <v>73019.6977241532</v>
      </c>
      <c r="M39" s="17">
        <f>FairStudent!C12</f>
        <v>33028.401344066668</v>
      </c>
      <c r="N39" s="20">
        <f>FairStudent!D12</f>
        <v>5.7462230050759303E-2</v>
      </c>
      <c r="O39" s="20">
        <f>CompletionProb!D18</f>
        <v>0.61386388851954421</v>
      </c>
      <c r="P39" s="20">
        <f>IF(fullpart=0,1,0)*FairStudent!E12+IF(fullpart=1,1,0)*1</f>
        <v>0.68088982672541187</v>
      </c>
      <c r="Q39" s="17">
        <f>PoorStudent!B12</f>
        <v>42348.370929513578</v>
      </c>
      <c r="R39" s="17">
        <f>PoorStudent!C12</f>
        <v>19155.092190656775</v>
      </c>
      <c r="S39" s="21">
        <f>PoorStudent!D12</f>
        <v>7.2978557555467116E-2</v>
      </c>
      <c r="T39" s="30">
        <f>CompletionProb!E18</f>
        <v>0.49697261564855799</v>
      </c>
      <c r="U39" s="21">
        <f>IF(fullpart=0,1,0)*PoorStudent!E12+IF(fullpart=1,1,0)*1</f>
        <v>0.62677749197855515</v>
      </c>
    </row>
    <row r="40" spans="1:26" x14ac:dyDescent="0.2">
      <c r="A40" s="2">
        <v>16</v>
      </c>
      <c r="B40" s="3">
        <f>ExcellentStudent!B13</f>
        <v>2691790.105435818</v>
      </c>
      <c r="C40" s="3">
        <f>ExcellentStudent!C13</f>
        <v>1137212.2037701204</v>
      </c>
      <c r="D40" s="20">
        <f>ExcellentStudent!D13</f>
        <v>3.0447411991292427E-2</v>
      </c>
      <c r="E40" s="20">
        <f>CompletionProb!B19</f>
        <v>0.90286693050399747</v>
      </c>
      <c r="F40" s="20">
        <f>IF(fullpart=0,1,0)*ExcellentStudent!E13+IF(fullpart=1,1,0)*1</f>
        <v>0.77699999999999991</v>
      </c>
      <c r="G40" s="17">
        <f>GoodStudent!B13</f>
        <v>449507.88</v>
      </c>
      <c r="H40" s="17">
        <f>GoodStudent!C13</f>
        <v>193288.3884</v>
      </c>
      <c r="I40" s="20">
        <f>GoodStudent!D13</f>
        <v>3.4000000000000002E-2</v>
      </c>
      <c r="J40" s="20">
        <f>CompletionProb!C19</f>
        <v>0.81212394245807451</v>
      </c>
      <c r="K40" s="20">
        <f>IF(fullpart=0,1,0)*GoodStudent!E13+IF(fullpart=1,1,0)*1</f>
        <v>0.77699999999999991</v>
      </c>
      <c r="L40" s="17">
        <f>FairStudent!B13</f>
        <v>96574.267092895825</v>
      </c>
      <c r="M40" s="17">
        <f>FairStudent!C13</f>
        <v>42384.880288200773</v>
      </c>
      <c r="N40" s="20">
        <f>FairStudent!D13</f>
        <v>4.6827007243353341E-2</v>
      </c>
      <c r="O40" s="20">
        <f>CompletionProb!D19</f>
        <v>0.61386388851954421</v>
      </c>
      <c r="P40" s="20">
        <f>IF(fullpart=0,1,0)*FairStudent!E13+IF(fullpart=1,1,0)*1</f>
        <v>0.72503454150750568</v>
      </c>
      <c r="Q40" s="17">
        <f>PoorStudent!B13</f>
        <v>56009.036089765563</v>
      </c>
      <c r="R40" s="17">
        <f>PoorStudent!C13</f>
        <v>24581.458876945821</v>
      </c>
      <c r="S40" s="21">
        <f>PoorStudent!D13</f>
        <v>5.9471542267687895E-2</v>
      </c>
      <c r="T40" s="30">
        <f>CompletionProb!E19</f>
        <v>0.49697261564855799</v>
      </c>
      <c r="U40" s="21">
        <f>IF(fullpart=0,1,0)*PoorStudent!E13+IF(fullpart=1,1,0)*1</f>
        <v>0.66741389529845341</v>
      </c>
    </row>
    <row r="41" spans="1:26" x14ac:dyDescent="0.2">
      <c r="A41" s="2">
        <v>17</v>
      </c>
      <c r="B41" s="3">
        <f>ExcellentStudent!B14</f>
        <v>2771936.4049411076</v>
      </c>
      <c r="C41" s="3">
        <f>ExcellentStudent!C14</f>
        <v>1165931.6023541137</v>
      </c>
      <c r="D41" s="20">
        <f>ExcellentStudent!D14</f>
        <v>2.9993816224724634E-2</v>
      </c>
      <c r="E41" s="20">
        <f>CompletionProb!B20</f>
        <v>0.7067531393633848</v>
      </c>
      <c r="F41" s="20">
        <f>IF(fullpart=0,1,0)*ExcellentStudent!E14+IF(fullpart=1,1,0)*1</f>
        <v>0.77699999999999991</v>
      </c>
      <c r="G41" s="17">
        <f>GoodStudent!B14</f>
        <v>462891.68474306521</v>
      </c>
      <c r="H41" s="17">
        <f>GoodStudent!C14</f>
        <v>198169.73442294454</v>
      </c>
      <c r="I41" s="20">
        <f>GoodStudent!D14</f>
        <v>3.3493478918086191E-2</v>
      </c>
      <c r="J41" s="20">
        <f>CompletionProb!C20</f>
        <v>0.5718391382198319</v>
      </c>
      <c r="K41" s="20">
        <f>IF(fullpart=0,1,0)*GoodStudent!E14+IF(fullpart=1,1,0)*1</f>
        <v>0.77699999999999991</v>
      </c>
      <c r="L41" s="17">
        <f>FairStudent!B14</f>
        <v>99449.703078525141</v>
      </c>
      <c r="M41" s="17">
        <f>FairStudent!C14</f>
        <v>43455.27705926614</v>
      </c>
      <c r="N41" s="20">
        <f>FairStudent!D14</f>
        <v>4.6129393526538963E-2</v>
      </c>
      <c r="O41" s="20">
        <f>CompletionProb!D20</f>
        <v>0.3263433774416144</v>
      </c>
      <c r="P41" s="20">
        <f>IF(fullpart=0,1,0)*FairStudent!E14+IF(fullpart=1,1,0)*1</f>
        <v>0.72503454150750568</v>
      </c>
      <c r="Q41" s="17">
        <f>PoorStudent!B14</f>
        <v>57676.668708069628</v>
      </c>
      <c r="R41" s="17">
        <f>PoorStudent!C14</f>
        <v>25202.244261522781</v>
      </c>
      <c r="S41" s="21">
        <f>PoorStudent!D14</f>
        <v>5.8585554328496367E-2</v>
      </c>
      <c r="T41" s="30">
        <f>CompletionProb!E20</f>
        <v>0.21447610589527216</v>
      </c>
      <c r="U41" s="21">
        <f>IF(fullpart=0,1,0)*PoorStudent!E14+IF(fullpart=1,1,0)*1</f>
        <v>0.66741389529845341</v>
      </c>
    </row>
    <row r="42" spans="1:26" x14ac:dyDescent="0.2">
      <c r="A42" s="2">
        <v>18</v>
      </c>
      <c r="B42" s="3">
        <f>ExcellentStudent!B15</f>
        <v>3324904.8480000002</v>
      </c>
      <c r="C42" s="3">
        <f>ExcellentStudent!C15</f>
        <v>1363210.98768</v>
      </c>
      <c r="D42" s="20">
        <f>ExcellentStudent!D15</f>
        <v>2.7000000000000003E-2</v>
      </c>
      <c r="E42" s="20">
        <f>CompletionProb!B21</f>
        <v>0.7067531393633848</v>
      </c>
      <c r="F42" s="20">
        <f>IF(fullpart=0,1,0)*ExcellentStudent!E15+IF(fullpart=1,1,0)*1</f>
        <v>0.77699999999999991</v>
      </c>
      <c r="G42" s="17">
        <f>GoodStudent!B15</f>
        <v>555233.08686218003</v>
      </c>
      <c r="H42" s="17">
        <f>GoodStudent!C15</f>
        <v>231700.69225804994</v>
      </c>
      <c r="I42" s="20">
        <f>GoodStudent!D15</f>
        <v>3.0150345791705929E-2</v>
      </c>
      <c r="J42" s="20">
        <f>CompletionProb!C21</f>
        <v>0.5718391382198319</v>
      </c>
      <c r="K42" s="20">
        <f>IF(fullpart=0,1,0)*GoodStudent!E15+IF(fullpart=1,1,0)*1</f>
        <v>0.77699999999999991</v>
      </c>
      <c r="L42" s="17">
        <f>FairStudent!B15</f>
        <v>119288.73956434579</v>
      </c>
      <c r="M42" s="17">
        <f>FairStudent!C15</f>
        <v>50808.050009333587</v>
      </c>
      <c r="N42" s="20">
        <f>FairStudent!D15</f>
        <v>4.152501355228886E-2</v>
      </c>
      <c r="O42" s="20">
        <f>CompletionProb!D21</f>
        <v>0.3263433774416144</v>
      </c>
      <c r="P42" s="20">
        <f>IF(fullpart=0,1,0)*FairStudent!E15+IF(fullpart=1,1,0)*1</f>
        <v>0.72503454150750568</v>
      </c>
      <c r="Q42" s="17">
        <f>PoorStudent!B15</f>
        <v>69182.480183207867</v>
      </c>
      <c r="R42" s="17">
        <f>PoorStudent!C15</f>
        <v>29466.545226268408</v>
      </c>
      <c r="S42" s="21">
        <f>PoorStudent!D15</f>
        <v>5.2737869533436621E-2</v>
      </c>
      <c r="T42" s="30">
        <f>CompletionProb!E21</f>
        <v>0.21447610589527216</v>
      </c>
      <c r="U42" s="21">
        <f>IF(fullpart=0,1,0)*PoorStudent!E15+IF(fullpart=1,1,0)*1</f>
        <v>0.66741389529845341</v>
      </c>
    </row>
    <row r="43" spans="1:26" x14ac:dyDescent="0.2">
      <c r="T43" s="20"/>
    </row>
    <row r="45" spans="1:26" x14ac:dyDescent="0.2">
      <c r="A45" s="23" t="s">
        <v>105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</row>
    <row r="46" spans="1:26" x14ac:dyDescent="0.2">
      <c r="A46" t="s">
        <v>3</v>
      </c>
      <c r="B46" s="2" t="s">
        <v>17</v>
      </c>
      <c r="C46" s="19" t="s">
        <v>44</v>
      </c>
      <c r="D46" s="2" t="s">
        <v>18</v>
      </c>
      <c r="E46" s="13" t="s">
        <v>107</v>
      </c>
      <c r="F46" s="2" t="s">
        <v>31</v>
      </c>
      <c r="G46" s="2" t="s">
        <v>19</v>
      </c>
      <c r="H46" s="19" t="s">
        <v>45</v>
      </c>
      <c r="I46" s="2" t="s">
        <v>20</v>
      </c>
      <c r="J46" s="13" t="s">
        <v>108</v>
      </c>
      <c r="K46" s="2" t="s">
        <v>32</v>
      </c>
      <c r="L46" s="2" t="s">
        <v>21</v>
      </c>
      <c r="M46" s="19" t="s">
        <v>46</v>
      </c>
      <c r="N46" s="2" t="s">
        <v>22</v>
      </c>
      <c r="O46" s="13" t="s">
        <v>109</v>
      </c>
      <c r="P46" s="2" t="s">
        <v>33</v>
      </c>
      <c r="Q46" s="2" t="s">
        <v>23</v>
      </c>
      <c r="R46" s="19" t="s">
        <v>47</v>
      </c>
      <c r="S46" s="2" t="s">
        <v>24</v>
      </c>
      <c r="T46" s="13" t="s">
        <v>110</v>
      </c>
      <c r="U46" s="2" t="s">
        <v>34</v>
      </c>
      <c r="W46" s="13"/>
      <c r="X46" s="13"/>
      <c r="Y46" s="13"/>
      <c r="Z46" s="13"/>
    </row>
    <row r="47" spans="1:26" x14ac:dyDescent="0.2">
      <c r="A47" s="2">
        <v>8</v>
      </c>
      <c r="B47" s="3">
        <f>ExcellentStudentCon!B5</f>
        <v>2077463.7568111531</v>
      </c>
      <c r="C47" s="3">
        <f>ExcellentStudentCon!C5</f>
        <v>878790.57601384504</v>
      </c>
      <c r="D47" s="20">
        <f>ExcellentStudentCon!D5</f>
        <v>3.8001625993805237E-2</v>
      </c>
      <c r="E47" s="17">
        <f>ExcellentStudentCon!G5</f>
        <v>1290.0224195682961</v>
      </c>
      <c r="F47" s="20">
        <f>IF(fullpart=0,1,0)*ExcellentStudentCon!E5+IF(fullpart=1,1,0)*1</f>
        <v>0.67375236905065761</v>
      </c>
      <c r="G47" s="17">
        <f>GoodStudentCon!B5</f>
        <v>297834.96669702302</v>
      </c>
      <c r="H47" s="17">
        <f>GoodStudentCon!C5</f>
        <v>130975.84311689531</v>
      </c>
      <c r="I47" s="20">
        <f>GoodStudentCon!D5</f>
        <v>4.6438696081240606E-2</v>
      </c>
      <c r="J47" s="17">
        <f>GoodStudentCon!G5</f>
        <v>1290.0224195682961</v>
      </c>
      <c r="K47" s="20">
        <f>IF(fullpart=0,1,0)*GoodStudentCon!E5+IF(fullpart=1,1,0)*1</f>
        <v>0.67375236905065761</v>
      </c>
      <c r="L47" s="17">
        <f>FairStudentCon!B5</f>
        <v>50710.768504008513</v>
      </c>
      <c r="M47" s="17">
        <f>FairStudentCon!C5</f>
        <v>23326.952674359451</v>
      </c>
      <c r="N47" s="20">
        <f>FairStudentCon!D5</f>
        <v>7.6316374325681002E-2</v>
      </c>
      <c r="O47" s="17">
        <f>FairStudentCon!G5</f>
        <v>3129.9243940812821</v>
      </c>
      <c r="P47" s="20">
        <f>IF(fullpart=0,1,0)*FairStudentCon!E5+IF(fullpart=1,1,0)*1</f>
        <v>0.59612654925201136</v>
      </c>
      <c r="Q47" s="17">
        <f>PoorStudentCon!B5</f>
        <v>26016.643629067821</v>
      </c>
      <c r="R47" s="17">
        <f>PoorStudentCon!C5</f>
        <v>11967.655854539755</v>
      </c>
      <c r="S47" s="21">
        <f>PoorStudentCon!D5</f>
        <v>0.11050167370727448</v>
      </c>
      <c r="T47" s="3">
        <f>PoorStudentCon!G5</f>
        <v>14669.212042469002</v>
      </c>
      <c r="U47" s="21">
        <f>IF(fullpart=0,1,0)*PoorStudentCon!E5+IF(fullpart=1,1,0)*1</f>
        <v>0.51689483419779725</v>
      </c>
      <c r="W47" s="3"/>
      <c r="X47" s="3"/>
      <c r="Y47" s="3"/>
      <c r="Z47" s="3"/>
    </row>
    <row r="48" spans="1:26" x14ac:dyDescent="0.2">
      <c r="A48" s="2">
        <v>9</v>
      </c>
      <c r="B48" s="3">
        <f>ExcellentStudentCon!B6</f>
        <v>2196858.4516770761</v>
      </c>
      <c r="C48" s="3">
        <f>ExcellentStudentCon!C6</f>
        <v>929295.8855087203</v>
      </c>
      <c r="D48" s="20">
        <f>ExcellentStudentCon!D6</f>
        <v>3.6150786587487639E-2</v>
      </c>
      <c r="E48" s="17">
        <f>ExcellentStudentCon!G6</f>
        <v>1228.7124561916335</v>
      </c>
      <c r="F48" s="20">
        <f>IF(fullpart=0,1,0)*ExcellentStudentCon!E6+IF(fullpart=1,1,0)*1</f>
        <v>0.69150950082277463</v>
      </c>
      <c r="G48" s="17">
        <f>GoodStudentCon!B6</f>
        <v>314951.95121846511</v>
      </c>
      <c r="H48" s="17">
        <f>GoodStudentCon!C6</f>
        <v>138503.20591927794</v>
      </c>
      <c r="I48" s="20">
        <f>GoodStudentCon!D6</f>
        <v>4.4176935789742092E-2</v>
      </c>
      <c r="J48" s="17">
        <f>GoodStudentCon!G6</f>
        <v>1228.7124561916335</v>
      </c>
      <c r="K48" s="20">
        <f>IF(fullpart=0,1,0)*GoodStudentCon!E6+IF(fullpart=1,1,0)*1</f>
        <v>0.69150950082277463</v>
      </c>
      <c r="L48" s="17">
        <f>FairStudentCon!B6</f>
        <v>53625.186005686708</v>
      </c>
      <c r="M48" s="17">
        <f>FairStudentCon!C6</f>
        <v>24667.584898403999</v>
      </c>
      <c r="N48" s="20">
        <f>FairStudentCon!D6</f>
        <v>7.2599445135012153E-2</v>
      </c>
      <c r="O48" s="17">
        <f>FairStudentCon!G6</f>
        <v>2981.170739057934</v>
      </c>
      <c r="P48" s="20">
        <f>IF(fullpart=0,1,0)*FairStudentCon!E6+IF(fullpart=1,1,0)*1</f>
        <v>0.61183780783035335</v>
      </c>
      <c r="Q48" s="17">
        <f>PoorStudentCon!B6</f>
        <v>27511.855864344558</v>
      </c>
      <c r="R48" s="17">
        <f>PoorStudentCon!C6</f>
        <v>12655.453584009445</v>
      </c>
      <c r="S48" s="21">
        <f>PoorStudentCon!D6</f>
        <v>0.10511977630649452</v>
      </c>
      <c r="T48" s="3">
        <f>PoorStudentCon!G6</f>
        <v>13972.039001562278</v>
      </c>
      <c r="U48" s="21">
        <f>IF(fullpart=0,1,0)*PoorStudentCon!E6+IF(fullpart=1,1,0)*1</f>
        <v>0.5305178952878975</v>
      </c>
      <c r="W48" s="3"/>
      <c r="X48" s="3"/>
      <c r="Y48" s="3"/>
      <c r="Z48" s="3"/>
    </row>
    <row r="49" spans="1:26" x14ac:dyDescent="0.2">
      <c r="A49" s="2">
        <v>10</v>
      </c>
      <c r="B49" s="3">
        <f>ExcellentStudentCon!B7</f>
        <v>2323114.9236090928</v>
      </c>
      <c r="C49" s="3">
        <f>ExcellentStudentCon!C7</f>
        <v>982703.80497324653</v>
      </c>
      <c r="D49" s="20">
        <f>ExcellentStudentCon!D7</f>
        <v>3.4390090863667643E-2</v>
      </c>
      <c r="E49" s="17">
        <f>ExcellentStudentCon!G7</f>
        <v>1170.3163271423659</v>
      </c>
      <c r="F49" s="20">
        <f>IF(fullpart=0,1,0)*ExcellentStudentCon!E7+IF(fullpart=1,1,0)*1</f>
        <v>0.70973463203097031</v>
      </c>
      <c r="G49" s="17">
        <f>GoodStudentCon!B7</f>
        <v>333052.67234530498</v>
      </c>
      <c r="H49" s="17">
        <f>GoodStudentCon!C7</f>
        <v>146463.17666989207</v>
      </c>
      <c r="I49" s="20">
        <f>GoodStudentCon!D7</f>
        <v>4.2025332760352099E-2</v>
      </c>
      <c r="J49" s="17">
        <f>GoodStudentCon!G7</f>
        <v>1170.3163271423659</v>
      </c>
      <c r="K49" s="20">
        <f>IF(fullpart=0,1,0)*GoodStudentCon!E7+IF(fullpart=1,1,0)*1</f>
        <v>0.70973463203097031</v>
      </c>
      <c r="L49" s="17">
        <f>FairStudentCon!B7</f>
        <v>56707.099083248693</v>
      </c>
      <c r="M49" s="17">
        <f>FairStudentCon!C7</f>
        <v>26085.265110037693</v>
      </c>
      <c r="N49" s="20">
        <f>FairStudentCon!D7</f>
        <v>6.9063546067046566E-2</v>
      </c>
      <c r="O49" s="17">
        <f>FairStudentCon!G7</f>
        <v>2839.486791508878</v>
      </c>
      <c r="P49" s="20">
        <f>IF(fullpart=0,1,0)*FairStudentCon!E7+IF(fullpart=1,1,0)*1</f>
        <v>0.62796314567831568</v>
      </c>
      <c r="Q49" s="17">
        <f>PoorStudentCon!B7</f>
        <v>29093</v>
      </c>
      <c r="R49" s="17">
        <f>PoorStudentCon!C7</f>
        <v>13382.78</v>
      </c>
      <c r="S49" s="21">
        <f>PoorStudentCon!D7</f>
        <v>0.1</v>
      </c>
      <c r="T49" s="3">
        <f>PoorStudentCon!G7</f>
        <v>13308</v>
      </c>
      <c r="U49" s="21">
        <f>IF(fullpart=0,1,0)*PoorStudentCon!E7+IF(fullpart=1,1,0)*1</f>
        <v>0.54449999999999998</v>
      </c>
      <c r="W49" s="3"/>
      <c r="X49" s="3"/>
      <c r="Y49" s="3"/>
      <c r="Z49" s="3"/>
    </row>
    <row r="50" spans="1:26" x14ac:dyDescent="0.2">
      <c r="A50" s="2">
        <v>11</v>
      </c>
      <c r="B50" s="3">
        <f>ExcellentStudentCon!B8</f>
        <v>2456627.5283577461</v>
      </c>
      <c r="C50" s="3">
        <f>ExcellentStudentCon!C8</f>
        <v>1039181.1514157774</v>
      </c>
      <c r="D50" s="20">
        <f>ExcellentStudentCon!D8</f>
        <v>3.2715148444948647E-2</v>
      </c>
      <c r="E50" s="17">
        <f>ExcellentStudentCon!G8</f>
        <v>1114.6955487219252</v>
      </c>
      <c r="F50" s="20">
        <f>IF(fullpart=0,1,0)*ExcellentStudentCon!E8+IF(fullpart=1,1,0)*1</f>
        <v>0.72844009706995327</v>
      </c>
      <c r="G50" s="17">
        <f>GoodStudentCon!B8</f>
        <v>352193.66677111661</v>
      </c>
      <c r="H50" s="17">
        <f>GoodStudentCon!C8</f>
        <v>154880.61794568351</v>
      </c>
      <c r="I50" s="20">
        <f>GoodStudentCon!D8</f>
        <v>3.9978521869966803E-2</v>
      </c>
      <c r="J50" s="17">
        <f>GoodStudentCon!G8</f>
        <v>1114.6955487219252</v>
      </c>
      <c r="K50" s="20">
        <f>IF(fullpart=0,1,0)*GoodStudentCon!E8+IF(fullpart=1,1,0)*1</f>
        <v>0.72844009706995327</v>
      </c>
      <c r="L50" s="17">
        <f>FairStudentCon!B8</f>
        <v>59966.133937444516</v>
      </c>
      <c r="M50" s="17">
        <f>FairStudentCon!C8</f>
        <v>27584.421363640449</v>
      </c>
      <c r="N50" s="20">
        <f>FairStudentCon!D8</f>
        <v>6.5699860191559087E-2</v>
      </c>
      <c r="O50" s="17">
        <f>FairStudentCon!G8</f>
        <v>2704.5365545554882</v>
      </c>
      <c r="P50" s="20">
        <f>IF(fullpart=0,1,0)*FairStudentCon!E8+IF(fullpart=1,1,0)*1</f>
        <v>0.64451347609356147</v>
      </c>
      <c r="Q50" s="17">
        <f>PoorStudentCon!B8</f>
        <v>30765.014660350127</v>
      </c>
      <c r="R50" s="17">
        <f>PoorStudentCon!C8</f>
        <v>14151.906870781528</v>
      </c>
      <c r="S50" s="21">
        <f>PoorStudentCon!D8</f>
        <v>9.5129578385358279E-2</v>
      </c>
      <c r="T50" s="3">
        <f>PoorStudentCon!G8</f>
        <v>12675.520300236585</v>
      </c>
      <c r="U50" s="21">
        <f>IF(fullpart=0,1,0)*PoorStudentCon!E8+IF(fullpart=1,1,0)*1</f>
        <v>0.55885061113557399</v>
      </c>
      <c r="W50" s="3"/>
      <c r="X50" s="3"/>
      <c r="Y50" s="3"/>
      <c r="Z50" s="3"/>
    </row>
    <row r="51" spans="1:26" x14ac:dyDescent="0.2">
      <c r="A51" s="2">
        <v>12</v>
      </c>
      <c r="B51" s="3">
        <f>ExcellentStudentCon!B9</f>
        <v>2597813.2858400908</v>
      </c>
      <c r="C51" s="3">
        <f>ExcellentStudentCon!C9</f>
        <v>1098904.3290487926</v>
      </c>
      <c r="D51" s="20">
        <f>ExcellentStudentCon!D9</f>
        <v>3.1121782783823746E-2</v>
      </c>
      <c r="E51" s="17">
        <f>ExcellentStudentCon!G9</f>
        <v>1061.7182188464174</v>
      </c>
      <c r="F51" s="20">
        <f>IF(fullpart=0,1,0)*ExcellentStudentCon!E9+IF(fullpart=1,1,0)*1</f>
        <v>0.74763855541450919</v>
      </c>
      <c r="G51" s="17">
        <f>GoodStudentCon!B9</f>
        <v>372434.72043088957</v>
      </c>
      <c r="H51" s="17">
        <f>GoodStudentCon!C9</f>
        <v>163781.82121027229</v>
      </c>
      <c r="I51" s="20">
        <f>GoodStudentCon!D9</f>
        <v>3.8031399299597667E-2</v>
      </c>
      <c r="J51" s="17">
        <f>GoodStudentCon!G9</f>
        <v>1061.7182188464174</v>
      </c>
      <c r="K51" s="20">
        <f>IF(fullpart=0,1,0)*GoodStudentCon!E9+IF(fullpart=1,1,0)*1</f>
        <v>0.74763855541450919</v>
      </c>
      <c r="L51" s="17">
        <f>FairStudentCon!B9</f>
        <v>63412.469999999994</v>
      </c>
      <c r="M51" s="17">
        <f>FairStudentCon!C9</f>
        <v>29169.736200000007</v>
      </c>
      <c r="N51" s="20">
        <f>FairStudentCon!D9</f>
        <v>6.25E-2</v>
      </c>
      <c r="O51" s="17">
        <f>FairStudentCon!G9</f>
        <v>2576</v>
      </c>
      <c r="P51" s="20">
        <f>IF(fullpart=0,1,0)*FairStudentCon!E9+IF(fullpart=1,1,0)*1</f>
        <v>0.66150000000000009</v>
      </c>
      <c r="Q51" s="17">
        <f>PoorStudentCon!B9</f>
        <v>32533.122299232062</v>
      </c>
      <c r="R51" s="17">
        <f>PoorStudentCon!C9</f>
        <v>14965.23652628777</v>
      </c>
      <c r="S51" s="21">
        <f>PoorStudentCon!D9</f>
        <v>9.0496366837760273E-2</v>
      </c>
      <c r="T51" s="3">
        <f>PoorStudentCon!G9</f>
        <v>12073.100006139899</v>
      </c>
      <c r="U51" s="21">
        <f>IF(fullpart=0,1,0)*PoorStudentCon!E9+IF(fullpart=1,1,0)*1</f>
        <v>0.5735794408936723</v>
      </c>
      <c r="W51" s="3"/>
      <c r="X51" s="3"/>
      <c r="Y51" s="3"/>
      <c r="Z51" s="3"/>
    </row>
    <row r="52" spans="1:26" x14ac:dyDescent="0.2">
      <c r="A52" s="2">
        <v>13</v>
      </c>
      <c r="B52" s="3">
        <f>ExcellentStudentCon!B10</f>
        <v>2722887.6399425627</v>
      </c>
      <c r="C52" s="3">
        <f>ExcellentStudentCon!C10</f>
        <v>1145367.6206038913</v>
      </c>
      <c r="D52" s="20">
        <f>ExcellentStudentCon!D10</f>
        <v>3.0262069215924829E-2</v>
      </c>
      <c r="E52" s="17">
        <f>ExcellentStudentCon!G10</f>
        <v>1044.2366222798428</v>
      </c>
      <c r="F52" s="20">
        <f>IF(fullpart=0,1,0)*ExcellentStudentCon!E10+IF(fullpart=1,1,0)*1</f>
        <v>0.75487322592540251</v>
      </c>
      <c r="G52" s="17">
        <f>GoodStudentCon!B10</f>
        <v>390365.96759061929</v>
      </c>
      <c r="H52" s="17">
        <f>GoodStudentCon!C10</f>
        <v>170706.75753926553</v>
      </c>
      <c r="I52" s="20">
        <f>GoodStudentCon!D10</f>
        <v>3.6980813277223662E-2</v>
      </c>
      <c r="J52" s="17">
        <f>GoodStudentCon!G10</f>
        <v>1044.2366222798428</v>
      </c>
      <c r="K52" s="20">
        <f>IF(fullpart=0,1,0)*GoodStudentCon!E10+IF(fullpart=1,1,0)*1</f>
        <v>0.75487322592540251</v>
      </c>
      <c r="L52" s="17">
        <f>FairStudentCon!B10</f>
        <v>66465.527650649252</v>
      </c>
      <c r="M52" s="17">
        <f>FairStudentCon!C10</f>
        <v>30403.075556137657</v>
      </c>
      <c r="N52" s="20">
        <f>FairStudentCon!D10</f>
        <v>6.0773489074616556E-2</v>
      </c>
      <c r="O52" s="17">
        <f>FairStudentCon!G10</f>
        <v>2533.5851747138472</v>
      </c>
      <c r="P52" s="20">
        <f>IF(fullpart=0,1,0)*FairStudentCon!E10+IF(fullpart=1,1,0)*1</f>
        <v>0.66790113395476591</v>
      </c>
      <c r="Q52" s="17">
        <f>PoorStudentCon!B10</f>
        <v>34099.462451810541</v>
      </c>
      <c r="R52" s="17">
        <f>PoorStudentCon!C10</f>
        <v>15597.988740953992</v>
      </c>
      <c r="S52" s="21">
        <f>PoorStudentCon!D10</f>
        <v>8.7996479380913845E-2</v>
      </c>
      <c r="T52" s="3">
        <f>PoorStudentCon!G10</f>
        <v>11874.311796736687</v>
      </c>
      <c r="U52" s="21">
        <f>IF(fullpart=0,1,0)*PoorStudentCon!E10+IF(fullpart=1,1,0)*1</f>
        <v>0.57912979438552437</v>
      </c>
      <c r="W52" s="3"/>
      <c r="X52" s="3"/>
      <c r="Y52" s="3"/>
      <c r="Z52" s="3"/>
    </row>
    <row r="53" spans="1:26" x14ac:dyDescent="0.2">
      <c r="A53" s="2">
        <v>14</v>
      </c>
      <c r="B53" s="3">
        <f>ExcellentStudentCon!B11</f>
        <v>2853983.8256136924</v>
      </c>
      <c r="C53" s="3">
        <f>ExcellentStudentCon!C11</f>
        <v>1193795.4484749066</v>
      </c>
      <c r="D53" s="20">
        <f>ExcellentStudentCon!D11</f>
        <v>2.9426104525908759E-2</v>
      </c>
      <c r="E53" s="17">
        <f>ExcellentStudentCon!G11</f>
        <v>1027.042866887218</v>
      </c>
      <c r="F53" s="20">
        <f>IF(fullpart=0,1,0)*ExcellentStudentCon!E11+IF(fullpart=1,1,0)*1</f>
        <v>0.76217790413857689</v>
      </c>
      <c r="G53" s="17">
        <f>GoodStudentCon!B11</f>
        <v>409160.53282212088</v>
      </c>
      <c r="H53" s="17">
        <f>GoodStudentCon!C11</f>
        <v>177924.4903630483</v>
      </c>
      <c r="I53" s="20">
        <f>GoodStudentCon!D11</f>
        <v>3.5959248826780581E-2</v>
      </c>
      <c r="J53" s="17">
        <f>GoodStudentCon!G11</f>
        <v>1027.042866887218</v>
      </c>
      <c r="K53" s="20">
        <f>IF(fullpart=0,1,0)*GoodStudentCon!E11+IF(fullpart=1,1,0)*1</f>
        <v>0.76217790413857689</v>
      </c>
      <c r="L53" s="17">
        <f>FairStudentCon!B11</f>
        <v>69665.577856835123</v>
      </c>
      <c r="M53" s="17">
        <f>FairStudentCon!C11</f>
        <v>31688.562314533894</v>
      </c>
      <c r="N53" s="20">
        <f>FairStudentCon!D11</f>
        <v>5.9094671588840589E-2</v>
      </c>
      <c r="O53" s="17">
        <f>FairStudentCon!G11</f>
        <v>2491.8687257491442</v>
      </c>
      <c r="P53" s="20">
        <f>IF(fullpart=0,1,0)*FairStudentCon!E11+IF(fullpart=1,1,0)*1</f>
        <v>0.67436420973252031</v>
      </c>
      <c r="Q53" s="17">
        <f>PoorStudentCon!B11</f>
        <v>35741.215638865506</v>
      </c>
      <c r="R53" s="17">
        <f>PoorStudentCon!C11</f>
        <v>16257.494650054759</v>
      </c>
      <c r="S53" s="21">
        <f>PoorStudentCon!D11</f>
        <v>8.5565649252170986E-2</v>
      </c>
      <c r="T53" s="3">
        <f>PoorStudentCon!G11</f>
        <v>11678.796711235178</v>
      </c>
      <c r="U53" s="21">
        <f>IF(fullpart=0,1,0)*PoorStudentCon!E11+IF(fullpart=1,1,0)*1</f>
        <v>0.58473385695704028</v>
      </c>
      <c r="W53" s="3"/>
      <c r="X53" s="3"/>
      <c r="Y53" s="3"/>
      <c r="Z53" s="3"/>
    </row>
    <row r="54" spans="1:26" x14ac:dyDescent="0.2">
      <c r="A54" s="2">
        <v>15</v>
      </c>
      <c r="B54" s="3">
        <f>ExcellentStudentCon!B12</f>
        <v>2991391.770038805</v>
      </c>
      <c r="C54" s="3">
        <f>ExcellentStudentCon!C12</f>
        <v>1244270.8761471699</v>
      </c>
      <c r="D54" s="20">
        <f>ExcellentStudentCon!D12</f>
        <v>2.8613232670621446E-2</v>
      </c>
      <c r="E54" s="17">
        <f>ExcellentStudentCon!G12</f>
        <v>1010.1322132535182</v>
      </c>
      <c r="F54" s="20">
        <f>IF(fullpart=0,1,0)*ExcellentStudentCon!E12+IF(fullpart=1,1,0)*1</f>
        <v>0.76955326749723707</v>
      </c>
      <c r="G54" s="17">
        <f>GoodStudentCon!B12</f>
        <v>428859.98144912283</v>
      </c>
      <c r="H54" s="17">
        <f>GoodStudentCon!C12</f>
        <v>185447.39954813317</v>
      </c>
      <c r="I54" s="20">
        <f>GoodStudentCon!D12</f>
        <v>3.4965904251292285E-2</v>
      </c>
      <c r="J54" s="17">
        <f>GoodStudentCon!G12</f>
        <v>1010.1322132535182</v>
      </c>
      <c r="K54" s="20">
        <f>IF(fullpart=0,1,0)*GoodStudentCon!E12+IF(fullpart=1,1,0)*1</f>
        <v>0.76955326749723707</v>
      </c>
      <c r="L54" s="17">
        <f>FairStudentCon!B12</f>
        <v>73019.6977241532</v>
      </c>
      <c r="M54" s="17">
        <f>FairStudentCon!C12</f>
        <v>33028.401344066668</v>
      </c>
      <c r="N54" s="20">
        <f>FairStudentCon!D12</f>
        <v>5.7462230050759303E-2</v>
      </c>
      <c r="O54" s="17">
        <f>FairStudentCon!G12</f>
        <v>2450.8391540726393</v>
      </c>
      <c r="P54" s="20">
        <f>IF(fullpart=0,1,0)*FairStudentCon!E12+IF(fullpart=1,1,0)*1</f>
        <v>0.68088982672541176</v>
      </c>
      <c r="Q54" s="17">
        <f>PoorStudentCon!B12</f>
        <v>37462.012697389531</v>
      </c>
      <c r="R54" s="17">
        <f>PoorStudentCon!C12</f>
        <v>16944.885439146296</v>
      </c>
      <c r="S54" s="21">
        <f>PoorStudentCon!D12</f>
        <v>8.320196879982858E-2</v>
      </c>
      <c r="T54" s="3">
        <f>PoorStudentCon!G12</f>
        <v>11486.500856398403</v>
      </c>
      <c r="U54" s="21">
        <f>IF(fullpart=0,1,0)*PoorStudentCon!E12+IF(fullpart=1,1,0)*1</f>
        <v>0.59039214833461995</v>
      </c>
      <c r="W54" s="3"/>
      <c r="X54" s="3"/>
      <c r="Y54" s="3"/>
      <c r="Z54" s="3"/>
    </row>
    <row r="55" spans="1:26" x14ac:dyDescent="0.2">
      <c r="A55" s="2">
        <v>16</v>
      </c>
      <c r="B55" s="3">
        <f>ExcellentStudentCon!B13</f>
        <v>3135415.3592414679</v>
      </c>
      <c r="C55" s="3">
        <f>ExcellentStudentCon!C13</f>
        <v>1296880.4791523623</v>
      </c>
      <c r="D55" s="20">
        <f>ExcellentStudentCon!D13</f>
        <v>2.782281572955958E-2</v>
      </c>
      <c r="E55" s="17">
        <f>ExcellentStudentCon!G13</f>
        <v>993.5</v>
      </c>
      <c r="F55" s="20">
        <f>IF(fullpart=0,1,0)*ExcellentStudentCon!E13+IF(fullpart=1,1,0)*1</f>
        <v>0.77699999999999991</v>
      </c>
      <c r="G55" s="17">
        <f>GoodStudentCon!B13</f>
        <v>449507.87999999995</v>
      </c>
      <c r="H55" s="17">
        <f>GoodStudentCon!C13</f>
        <v>193288.3884</v>
      </c>
      <c r="I55" s="20">
        <f>GoodStudentCon!D13</f>
        <v>3.4000000000000002E-2</v>
      </c>
      <c r="J55" s="17">
        <f>GoodStudentCon!G13</f>
        <v>993.5</v>
      </c>
      <c r="K55" s="20">
        <f>IF(fullpart=0,1,0)*GoodStudentCon!E13+IF(fullpart=1,1,0)*1</f>
        <v>0.77699999999999991</v>
      </c>
      <c r="L55" s="17">
        <f>FairStudentCon!B13</f>
        <v>76535.305092622235</v>
      </c>
      <c r="M55" s="17">
        <f>FairStudentCon!C13</f>
        <v>34424.890738713548</v>
      </c>
      <c r="N55" s="20">
        <f>FairStudentCon!D13</f>
        <v>5.5874883363086776E-2</v>
      </c>
      <c r="O55" s="17">
        <f>FairStudentCon!G13</f>
        <v>2410.4851499870597</v>
      </c>
      <c r="P55" s="20">
        <f>IF(fullpart=0,1,0)*FairStudentCon!E13+IF(fullpart=1,1,0)*1</f>
        <v>0.68747859012572421</v>
      </c>
      <c r="Q55" s="17">
        <f>PoorStudentCon!B13</f>
        <v>39265.65927470287</v>
      </c>
      <c r="R55" s="17">
        <f>PoorStudentCon!C13</f>
        <v>17661.340121974143</v>
      </c>
      <c r="S55" s="21">
        <f>PoorStudentCon!D13</f>
        <v>8.0903583069487486E-2</v>
      </c>
      <c r="T55" s="3">
        <f>PoorStudentCon!G13</f>
        <v>11297.371226362153</v>
      </c>
      <c r="U55" s="21">
        <f>IF(fullpart=0,1,0)*PoorStudentCon!E13+IF(fullpart=1,1,0)*1</f>
        <v>0.59610519327389722</v>
      </c>
      <c r="W55" s="3"/>
      <c r="X55" s="3"/>
      <c r="Y55" s="3"/>
      <c r="Z55" s="3"/>
    </row>
    <row r="56" spans="1:26" x14ac:dyDescent="0.2">
      <c r="A56" s="2">
        <v>17</v>
      </c>
      <c r="B56" s="3">
        <f>ExcellentStudentCon!B14</f>
        <v>3228770.31212126</v>
      </c>
      <c r="C56" s="3">
        <f>ExcellentStudentCon!C14</f>
        <v>1329632.1742828742</v>
      </c>
      <c r="D56" s="20">
        <f>ExcellentStudentCon!D14</f>
        <v>2.7408320355288257E-2</v>
      </c>
      <c r="E56" s="17">
        <f>ExcellentStudentCon!G14</f>
        <v>993.5</v>
      </c>
      <c r="F56" s="20">
        <f>IF(fullpart=0,1,0)*ExcellentStudentCon!E14+IF(fullpart=1,1,0)*1</f>
        <v>0.77699999999999991</v>
      </c>
      <c r="G56" s="17">
        <f>GoodStudentCon!B14</f>
        <v>462891.68474306515</v>
      </c>
      <c r="H56" s="17">
        <f>GoodStudentCon!C14</f>
        <v>198169.73442294452</v>
      </c>
      <c r="I56" s="20">
        <f>GoodStudentCon!D14</f>
        <v>3.3493478918086197E-2</v>
      </c>
      <c r="J56" s="17">
        <f>GoodStudentCon!G14</f>
        <v>993.5</v>
      </c>
      <c r="K56" s="20">
        <f>IF(fullpart=0,1,0)*GoodStudentCon!E14+IF(fullpart=1,1,0)*1</f>
        <v>0.77699999999999991</v>
      </c>
      <c r="L56" s="17">
        <f>FairStudentCon!B14</f>
        <v>78814.094019104625</v>
      </c>
      <c r="M56" s="17">
        <f>FairStudentCon!C14</f>
        <v>35294.264242671641</v>
      </c>
      <c r="N56" s="20">
        <f>FairStudentCon!D14</f>
        <v>5.5042477293296227E-2</v>
      </c>
      <c r="O56" s="17">
        <f>FairStudentCon!G14</f>
        <v>2410.4851499870597</v>
      </c>
      <c r="P56" s="20">
        <f>IF(fullpart=0,1,0)*FairStudentCon!E14+IF(fullpart=1,1,0)*1</f>
        <v>0.68747859012572421</v>
      </c>
      <c r="Q56" s="17">
        <f>PoorStudentCon!B14</f>
        <v>40434.768739125051</v>
      </c>
      <c r="R56" s="17">
        <f>PoorStudentCon!C14</f>
        <v>18107.36335739923</v>
      </c>
      <c r="S56" s="21">
        <f>PoorStudentCon!D14</f>
        <v>7.9698307468691609E-2</v>
      </c>
      <c r="T56" s="3">
        <f>PoorStudentCon!G14</f>
        <v>11297.371226362153</v>
      </c>
      <c r="U56" s="21">
        <f>IF(fullpart=0,1,0)*PoorStudentCon!E14+IF(fullpart=1,1,0)*1</f>
        <v>0.59610519327389722</v>
      </c>
      <c r="W56" s="3"/>
      <c r="X56" s="3"/>
      <c r="Y56" s="3"/>
      <c r="Z56" s="3"/>
    </row>
    <row r="57" spans="1:26" x14ac:dyDescent="0.2">
      <c r="A57" s="2">
        <v>18</v>
      </c>
      <c r="B57" s="3">
        <f>ExcellentStudentCon!B15</f>
        <v>3324904.8480000002</v>
      </c>
      <c r="C57" s="3">
        <f>ExcellentStudentCon!C15</f>
        <v>1363210.9876799998</v>
      </c>
      <c r="D57" s="20">
        <f>ExcellentStudentCon!D15</f>
        <v>2.7000000000000003E-2</v>
      </c>
      <c r="E57" s="17">
        <f>ExcellentStudentCon!G15</f>
        <v>993.5</v>
      </c>
      <c r="F57" s="20">
        <f>IF(fullpart=0,1,0)*ExcellentStudentCon!E15+IF(fullpart=1,1,0)*1</f>
        <v>0.77699999999999991</v>
      </c>
      <c r="G57" s="17">
        <f>GoodStudentCon!B15</f>
        <v>476673.98356681364</v>
      </c>
      <c r="H57" s="17">
        <f>GoodStudentCon!C15</f>
        <v>203174.35499534829</v>
      </c>
      <c r="I57" s="20">
        <f>GoodStudentCon!D15</f>
        <v>3.2994503824596601E-2</v>
      </c>
      <c r="J57" s="17">
        <f>GoodStudentCon!G15</f>
        <v>993.5</v>
      </c>
      <c r="K57" s="20">
        <f>IF(fullpart=0,1,0)*GoodStudentCon!E15+IF(fullpart=1,1,0)*1</f>
        <v>0.77699999999999991</v>
      </c>
      <c r="L57" s="17">
        <f>FairStudentCon!B15</f>
        <v>81160.732403627</v>
      </c>
      <c r="M57" s="17">
        <f>FairStudentCon!C15</f>
        <v>36185.593089788861</v>
      </c>
      <c r="N57" s="20">
        <f>FairStudentCon!D15</f>
        <v>5.4222472141831048E-2</v>
      </c>
      <c r="O57" s="17">
        <f>FairStudentCon!G15</f>
        <v>2410.4851499870597</v>
      </c>
      <c r="P57" s="20">
        <f>IF(fullpart=0,1,0)*FairStudentCon!E15+IF(fullpart=1,1,0)*1</f>
        <v>0.68747859012572421</v>
      </c>
      <c r="Q57" s="17">
        <f>PoorStudentCon!B15</f>
        <v>41638.687677399153</v>
      </c>
      <c r="R57" s="17">
        <f>PoorStudentCon!C15</f>
        <v>18564.650558365163</v>
      </c>
      <c r="S57" s="21">
        <f>PoorStudentCon!D15</f>
        <v>7.8510987676758057E-2</v>
      </c>
      <c r="T57" s="3">
        <f>PoorStudentCon!G15</f>
        <v>11297.371226362153</v>
      </c>
      <c r="U57" s="21">
        <f>IF(fullpart=0,1,0)*PoorStudentCon!E15+IF(fullpart=1,1,0)*1</f>
        <v>0.59610519327389722</v>
      </c>
      <c r="W57" s="3"/>
      <c r="X57" s="3"/>
      <c r="Y57" s="3"/>
      <c r="Z57" s="3"/>
    </row>
    <row r="59" spans="1:26" x14ac:dyDescent="0.2">
      <c r="A59" s="23" t="s">
        <v>106</v>
      </c>
    </row>
    <row r="60" spans="1:26" x14ac:dyDescent="0.2">
      <c r="A60" t="s">
        <v>3</v>
      </c>
      <c r="B60" s="2" t="s">
        <v>17</v>
      </c>
      <c r="C60" s="19" t="s">
        <v>44</v>
      </c>
      <c r="D60" s="2" t="s">
        <v>18</v>
      </c>
      <c r="E60" s="13" t="s">
        <v>107</v>
      </c>
      <c r="F60" s="2" t="s">
        <v>31</v>
      </c>
      <c r="G60" s="2" t="s">
        <v>19</v>
      </c>
      <c r="H60" s="19" t="s">
        <v>45</v>
      </c>
      <c r="I60" s="2" t="s">
        <v>20</v>
      </c>
      <c r="J60" s="13" t="s">
        <v>108</v>
      </c>
      <c r="K60" s="2" t="s">
        <v>32</v>
      </c>
      <c r="L60" s="2" t="s">
        <v>21</v>
      </c>
      <c r="M60" s="19" t="s">
        <v>46</v>
      </c>
      <c r="N60" s="2" t="s">
        <v>22</v>
      </c>
      <c r="O60" s="13" t="s">
        <v>109</v>
      </c>
      <c r="P60" s="2" t="s">
        <v>33</v>
      </c>
      <c r="Q60" s="2" t="s">
        <v>23</v>
      </c>
      <c r="R60" s="19" t="s">
        <v>47</v>
      </c>
      <c r="S60" s="2" t="s">
        <v>24</v>
      </c>
      <c r="T60" s="13" t="s">
        <v>110</v>
      </c>
      <c r="U60" s="2" t="s">
        <v>34</v>
      </c>
      <c r="W60" s="13"/>
      <c r="X60" s="13"/>
      <c r="Y60" s="13"/>
      <c r="Z60" s="13"/>
    </row>
    <row r="61" spans="1:26" x14ac:dyDescent="0.2">
      <c r="A61" s="2">
        <v>8</v>
      </c>
      <c r="B61" s="3">
        <f>ExcellentStudentReas!B5</f>
        <v>915747.15804795024</v>
      </c>
      <c r="C61" s="3">
        <f>ExcellentStudentReas!C5</f>
        <v>396047.89305464883</v>
      </c>
      <c r="D61" s="20">
        <f>ExcellentStudentReas!D5</f>
        <v>3.1641067791463869E-2</v>
      </c>
      <c r="E61" s="3">
        <f>ExcellentStudentReas!F5</f>
        <v>1112.9239772705425</v>
      </c>
      <c r="F61" s="20">
        <f>IF(fullpart=0,1,0)*ExcellentStudentReas!E5+IF(fullpart=1,1,0)*1</f>
        <v>0.72755777749329409</v>
      </c>
      <c r="G61" s="3">
        <f>GoodStudentReas!B5</f>
        <v>210917.49144027993</v>
      </c>
      <c r="H61" s="3">
        <f>GoodStudentReas!C5</f>
        <v>93543.444106017836</v>
      </c>
      <c r="I61" s="20">
        <f>GoodStudentReas!D5</f>
        <v>3.8941951211494234E-2</v>
      </c>
      <c r="J61" s="3">
        <f>GoodStudentReas!F5</f>
        <v>1112.9239772705425</v>
      </c>
      <c r="K61" s="20">
        <f>IF(fullpart=0,1,0)*GoodStudentReas!E5+IF(fullpart=1,1,0)*1</f>
        <v>0.72755777749329409</v>
      </c>
      <c r="L61" s="3">
        <f>FairStudentReas!B5</f>
        <v>49682.264491449409</v>
      </c>
      <c r="M61" s="3">
        <f>FairStudentReas!C5</f>
        <v>22853.841666066732</v>
      </c>
      <c r="N61" s="20">
        <f>FairStudentReas!D5</f>
        <v>6.799379216677516E-2</v>
      </c>
      <c r="O61" s="3">
        <f>FairStudentReas!F5</f>
        <v>2797.0126378936948</v>
      </c>
      <c r="P61" s="20">
        <f>IF(fullpart=0,1,0)*FairStudentReas!E5+IF(fullpart=1,1,0)*1</f>
        <v>0.63130384990330279</v>
      </c>
      <c r="Q61" s="3">
        <f>PoorStudentReas!B5</f>
        <v>25751.460387552124</v>
      </c>
      <c r="R61" s="3">
        <f>PoorStudentReas!C5</f>
        <v>11845.671778273976</v>
      </c>
      <c r="S61" s="20">
        <f>PoorStudentReas!D5</f>
        <v>0.10430247718383309</v>
      </c>
      <c r="T61" s="3">
        <f>PoorStudentReas!F5</f>
        <v>13867.145653569694</v>
      </c>
      <c r="U61" s="20">
        <f>IF(fullpart=0,1,0)*PoorStudentReas!E5+IF(fullpart=1,1,0)*1</f>
        <v>0.53192717584369442</v>
      </c>
    </row>
    <row r="62" spans="1:26" x14ac:dyDescent="0.2">
      <c r="A62" s="2">
        <v>9</v>
      </c>
      <c r="B62" s="3">
        <f>ExcellentStudentReas!B6</f>
        <v>973349.70451016934</v>
      </c>
      <c r="C62" s="3">
        <f>ExcellentStudentReas!C6</f>
        <v>420960.19221981842</v>
      </c>
      <c r="D62" s="20">
        <f>ExcellentStudentReas!D6</f>
        <v>3.0981598371951725E-2</v>
      </c>
      <c r="E62" s="3">
        <f>ExcellentStudentReas!F6</f>
        <v>1090.2556767232072</v>
      </c>
      <c r="F62" s="20">
        <f>IF(fullpart=0,1,0)*ExcellentStudentReas!E6+IF(fullpart=1,1,0)*1</f>
        <v>0.73610597054515392</v>
      </c>
      <c r="G62" s="3">
        <f>GoodStudentReas!B6</f>
        <v>224184.67386460939</v>
      </c>
      <c r="H62" s="3">
        <f>GoodStudentReas!C6</f>
        <v>99427.536170075051</v>
      </c>
      <c r="I62" s="20">
        <f>GoodStudentReas!D6</f>
        <v>3.8130315329627996E-2</v>
      </c>
      <c r="J62" s="3">
        <f>GoodStudentReas!F6</f>
        <v>1090.2556767232072</v>
      </c>
      <c r="K62" s="20">
        <f>IF(fullpart=0,1,0)*GoodStudentReas!E6+IF(fullpart=1,1,0)*1</f>
        <v>0.73610597054515392</v>
      </c>
      <c r="L62" s="3">
        <f>FairStudentReas!B6</f>
        <v>52807.390159125382</v>
      </c>
      <c r="M62" s="3">
        <f>FairStudentReas!C6</f>
        <v>24291.399473197678</v>
      </c>
      <c r="N62" s="20">
        <f>FairStudentReas!D6</f>
        <v>6.657665204539312E-2</v>
      </c>
      <c r="O62" s="3">
        <f>FairStudentReas!F6</f>
        <v>2740.0424185387596</v>
      </c>
      <c r="P62" s="20">
        <f>IF(fullpart=0,1,0)*FairStudentReas!E6+IF(fullpart=1,1,0)*1</f>
        <v>0.63872114011762593</v>
      </c>
      <c r="Q62" s="3">
        <f>PoorStudentReas!B6</f>
        <v>27371.28489959969</v>
      </c>
      <c r="R62" s="3">
        <f>PoorStudentReas!C6</f>
        <v>12590.791053815858</v>
      </c>
      <c r="S62" s="20">
        <f>PoorStudentReas!D6</f>
        <v>0.10212858423763306</v>
      </c>
      <c r="T62" s="3">
        <f>PoorStudentReas!F6</f>
        <v>13584.696329241428</v>
      </c>
      <c r="U62" s="20">
        <f>IF(fullpart=0,1,0)*PoorStudentReas!E6+IF(fullpart=1,1,0)*1</f>
        <v>0.53817687357121879</v>
      </c>
    </row>
    <row r="63" spans="1:26" x14ac:dyDescent="0.2">
      <c r="A63" s="2">
        <v>10</v>
      </c>
      <c r="B63" s="3">
        <f>ExcellentStudentReas!B7</f>
        <v>1034575.5801083533</v>
      </c>
      <c r="C63" s="3">
        <f>ExcellentStudentReas!C7</f>
        <v>447439.53077739116</v>
      </c>
      <c r="D63" s="20">
        <f>ExcellentStudentReas!D7</f>
        <v>3.0335873745065987E-2</v>
      </c>
      <c r="E63" s="3">
        <f>ExcellentStudentReas!F7</f>
        <v>1068.0490895185608</v>
      </c>
      <c r="F63" s="20">
        <f>IF(fullpart=0,1,0)*ExcellentStudentReas!E7+IF(fullpart=1,1,0)*1</f>
        <v>0.74475459768859009</v>
      </c>
      <c r="G63" s="3">
        <f>GoodStudentReas!B7</f>
        <v>238286.39176666745</v>
      </c>
      <c r="H63" s="3">
        <f>GoodStudentReas!C7</f>
        <v>105681.75079856404</v>
      </c>
      <c r="I63" s="20">
        <f>GoodStudentReas!D7</f>
        <v>3.7335595724020107E-2</v>
      </c>
      <c r="J63" s="3">
        <f>GoodStudentReas!F7</f>
        <v>1068.0490895185608</v>
      </c>
      <c r="K63" s="20">
        <f>IF(fullpart=0,1,0)*GoodStudentReas!E7+IF(fullpart=1,1,0)*1</f>
        <v>0.74475459768859009</v>
      </c>
      <c r="L63" s="3">
        <f>FairStudentReas!B7</f>
        <v>56129.093227987403</v>
      </c>
      <c r="M63" s="3">
        <f>FairStudentReas!C7</f>
        <v>25819.382884874209</v>
      </c>
      <c r="N63" s="20">
        <f>FairStudentReas!D7</f>
        <v>6.5189048239895686E-2</v>
      </c>
      <c r="O63" s="3">
        <f>FairStudentReas!F7</f>
        <v>2684.2325821757991</v>
      </c>
      <c r="P63" s="20">
        <f>IF(fullpart=0,1,0)*FairStudentReas!E7+IF(fullpart=1,1,0)*1</f>
        <v>0.64622557726465357</v>
      </c>
      <c r="Q63" s="3">
        <f>PoorStudentReas!B7</f>
        <v>29093.000000000004</v>
      </c>
      <c r="R63" s="3">
        <f>PoorStudentReas!C7</f>
        <v>13382.78</v>
      </c>
      <c r="S63" s="20">
        <f>PoorStudentReas!D7</f>
        <v>0.1</v>
      </c>
      <c r="T63" s="3">
        <f>PoorStudentReas!F7</f>
        <v>13308</v>
      </c>
      <c r="U63" s="20">
        <f>IF(fullpart=0,1,0)*PoorStudentReas!E7+IF(fullpart=1,1,0)*1</f>
        <v>0.54449999999999998</v>
      </c>
    </row>
    <row r="64" spans="1:26" x14ac:dyDescent="0.2">
      <c r="A64" s="2">
        <v>11</v>
      </c>
      <c r="B64" s="3">
        <f>ExcellentStudentReas!B8</f>
        <v>1099652.7003572464</v>
      </c>
      <c r="C64" s="3">
        <f>ExcellentStudentReas!C8</f>
        <v>475584.47901351622</v>
      </c>
      <c r="D64" s="20">
        <f>ExcellentStudentReas!D8</f>
        <v>2.9703607439108725E-2</v>
      </c>
      <c r="E64" s="3">
        <f>ExcellentStudentReas!F8</f>
        <v>1046.2948113693092</v>
      </c>
      <c r="F64" s="20">
        <f>IF(fullpart=0,1,0)*ExcellentStudentReas!E8+IF(fullpart=1,1,0)*1</f>
        <v>0.75350483893985765</v>
      </c>
      <c r="G64" s="3">
        <f>GoodStudentReas!B8</f>
        <v>253275.1392964035</v>
      </c>
      <c r="H64" s="3">
        <f>GoodStudentReas!C8</f>
        <v>112329.36952943669</v>
      </c>
      <c r="I64" s="20">
        <f>GoodStudentReas!D8</f>
        <v>3.6557439822280852E-2</v>
      </c>
      <c r="J64" s="3">
        <f>GoodStudentReas!F8</f>
        <v>1046.2948113693092</v>
      </c>
      <c r="K64" s="20">
        <f>IF(fullpart=0,1,0)*GoodStudentReas!E8+IF(fullpart=1,1,0)*1</f>
        <v>0.75350483893985765</v>
      </c>
      <c r="L64" s="3">
        <f>FairStudentReas!B8</f>
        <v>59659.738856677497</v>
      </c>
      <c r="M64" s="3">
        <f>FairStudentReas!C8</f>
        <v>27443.479874071647</v>
      </c>
      <c r="N64" s="20">
        <f>FairStudentReas!D8</f>
        <v>6.3830365148520668E-2</v>
      </c>
      <c r="O64" s="3">
        <f>FairStudentReas!F8</f>
        <v>2629.5594938477543</v>
      </c>
      <c r="P64" s="20">
        <f>IF(fullpart=0,1,0)*FairStudentReas!E8+IF(fullpart=1,1,0)*1</f>
        <v>0.6538181852476791</v>
      </c>
      <c r="Q64" s="3">
        <f>PoorStudentReas!B8</f>
        <v>30923.014834878242</v>
      </c>
      <c r="R64" s="3">
        <f>PoorStudentReas!C8</f>
        <v>14224.586824043992</v>
      </c>
      <c r="S64" s="20">
        <f>PoorStudentReas!D8</f>
        <v>9.7915780137830699E-2</v>
      </c>
      <c r="T64" s="3">
        <f>PoorStudentReas!F8</f>
        <v>13036.939487471742</v>
      </c>
      <c r="U64" s="20">
        <f>IF(fullpart=0,1,0)*PoorStudentReas!E8+IF(fullpart=1,1,0)*1</f>
        <v>0.5508974178556294</v>
      </c>
    </row>
    <row r="65" spans="1:21" x14ac:dyDescent="0.2">
      <c r="A65" s="2">
        <v>12</v>
      </c>
      <c r="B65" s="3">
        <f>ExcellentStudentReas!B9</f>
        <v>1168823.3171677396</v>
      </c>
      <c r="C65" s="3">
        <f>ExcellentStudentReas!C9</f>
        <v>505499.80750602559</v>
      </c>
      <c r="D65" s="20">
        <f>ExcellentStudentReas!D9</f>
        <v>2.9084518953082016E-2</v>
      </c>
      <c r="E65" s="3">
        <f>ExcellentStudentReas!F9</f>
        <v>1024.9836295369212</v>
      </c>
      <c r="F65" s="20">
        <f>IF(fullpart=0,1,0)*ExcellentStudentReas!E9+IF(fullpart=1,1,0)*1</f>
        <v>0.76235788817941152</v>
      </c>
      <c r="G65" s="3">
        <f>GoodStudentReas!B9</f>
        <v>269206.7126033252</v>
      </c>
      <c r="H65" s="3">
        <f>GoodStudentReas!C9</f>
        <v>119395.13836150587</v>
      </c>
      <c r="I65" s="20">
        <f>GoodStudentReas!D9</f>
        <v>3.5795502400404279E-2</v>
      </c>
      <c r="J65" s="3">
        <f>GoodStudentReas!F9</f>
        <v>1024.9836295369212</v>
      </c>
      <c r="K65" s="20">
        <f>IF(fullpart=0,1,0)*GoodStudentReas!E9+IF(fullpart=1,1,0)*1</f>
        <v>0.76235788817941152</v>
      </c>
      <c r="L65" s="3">
        <f>FairStudentReas!B9</f>
        <v>63412.47</v>
      </c>
      <c r="M65" s="3">
        <f>FairStudentReas!C9</f>
        <v>29169.736200000003</v>
      </c>
      <c r="N65" s="20">
        <f>FairStudentReas!D9</f>
        <v>6.25E-2</v>
      </c>
      <c r="O65" s="3">
        <f>FairStudentReas!F9</f>
        <v>2576</v>
      </c>
      <c r="P65" s="20">
        <f>IF(fullpart=0,1,0)*FairStudentReas!E9+IF(fullpart=1,1,0)*1</f>
        <v>0.66150000000000009</v>
      </c>
      <c r="Q65" s="3">
        <f>PoorStudentReas!B9</f>
        <v>32868.1417</v>
      </c>
      <c r="R65" s="3">
        <f>PoorStudentReas!C9</f>
        <v>15119.345181999997</v>
      </c>
      <c r="S65" s="20">
        <f>PoorStudentReas!D9</f>
        <v>9.5875000000000002E-2</v>
      </c>
      <c r="T65" s="3">
        <f>PoorStudentReas!F9</f>
        <v>12771.4</v>
      </c>
      <c r="U65" s="20">
        <f>IF(fullpart=0,1,0)*PoorStudentReas!E9+IF(fullpart=1,1,0)*1</f>
        <v>0.55737000000000003</v>
      </c>
    </row>
    <row r="66" spans="1:21" x14ac:dyDescent="0.2">
      <c r="A66" s="2">
        <v>13</v>
      </c>
      <c r="B66" s="3">
        <f>ExcellentStudentReas!B10</f>
        <v>1328653.460682648</v>
      </c>
      <c r="C66" s="3">
        <f>ExcellentStudentReas!C10</f>
        <v>570198.11205591692</v>
      </c>
      <c r="D66" s="20">
        <f>ExcellentStudentReas!D10</f>
        <v>2.8712730776417884E-2</v>
      </c>
      <c r="E66" s="3">
        <f>ExcellentStudentReas!F10</f>
        <v>1017.0204008641052</v>
      </c>
      <c r="F66" s="20">
        <f>IF(fullpart=0,1,0)*ExcellentStudentReas!E10+IF(fullpart=1,1,0)*1</f>
        <v>0.76599234315300702</v>
      </c>
      <c r="G66" s="3">
        <f>GoodStudentReas!B10</f>
        <v>306019.24609626469</v>
      </c>
      <c r="H66" s="3">
        <f>GoodStudentReas!C10</f>
        <v>134676.37667018129</v>
      </c>
      <c r="I66" s="20">
        <f>GoodStudentReas!D10</f>
        <v>3.5337927544458012E-2</v>
      </c>
      <c r="J66" s="3">
        <f>GoodStudentReas!F10</f>
        <v>1017.0204008641052</v>
      </c>
      <c r="K66" s="20">
        <f>IF(fullpart=0,1,0)*GoodStudentReas!E10+IF(fullpart=1,1,0)*1</f>
        <v>0.76599234315300702</v>
      </c>
      <c r="L66" s="3">
        <f>FairStudentReas!B10</f>
        <v>72083.775604421215</v>
      </c>
      <c r="M66" s="3">
        <f>FairStudentReas!C10</f>
        <v>32903.135200918703</v>
      </c>
      <c r="N66" s="20">
        <f>FairStudentReas!D10</f>
        <v>6.1701060843433825E-2</v>
      </c>
      <c r="O66" s="3">
        <f>FairStudentReas!F10</f>
        <v>2555.9867271339335</v>
      </c>
      <c r="P66" s="20">
        <f>IF(fullpart=0,1,0)*FairStudentReas!E10+IF(fullpart=1,1,0)*1</f>
        <v>0.66465362640344028</v>
      </c>
      <c r="Q66" s="3">
        <f>PoorStudentReas!B10</f>
        <v>37362.678836467319</v>
      </c>
      <c r="R66" s="3">
        <f>PoorStudentReas!C10</f>
        <v>17054.451753070862</v>
      </c>
      <c r="S66" s="20">
        <f>PoorStudentReas!D10</f>
        <v>9.4649427333827488E-2</v>
      </c>
      <c r="T66" s="3">
        <f>PoorStudentReas!F10</f>
        <v>12672.17736293413</v>
      </c>
      <c r="U66" s="20">
        <f>IF(fullpart=0,1,0)*PoorStudentReas!E10+IF(fullpart=1,1,0)*1</f>
        <v>0.56002719841040882</v>
      </c>
    </row>
    <row r="67" spans="1:21" x14ac:dyDescent="0.2">
      <c r="A67" s="2">
        <v>14</v>
      </c>
      <c r="B67" s="3">
        <f>ExcellentStudentReas!B11</f>
        <v>1510339.4949902704</v>
      </c>
      <c r="C67" s="3">
        <f>ExcellentStudentReas!C11</f>
        <v>643177.07378801808</v>
      </c>
      <c r="D67" s="20">
        <f>ExcellentStudentReas!D11</f>
        <v>2.834569517787032E-2</v>
      </c>
      <c r="E67" s="3">
        <f>ExcellentStudentReas!F11</f>
        <v>1009.1190395314773</v>
      </c>
      <c r="F67" s="20">
        <f>IF(fullpart=0,1,0)*ExcellentStudentReas!E11+IF(fullpart=1,1,0)*1</f>
        <v>0.76964412497946255</v>
      </c>
      <c r="G67" s="3">
        <f>GoodStudentReas!B11</f>
        <v>347865.69055325072</v>
      </c>
      <c r="H67" s="3">
        <f>GoodStudentReas!C11</f>
        <v>151913.4420539884</v>
      </c>
      <c r="I67" s="20">
        <f>GoodStudentReas!D11</f>
        <v>3.4886201880023358E-2</v>
      </c>
      <c r="J67" s="3">
        <f>GoodStudentReas!F11</f>
        <v>1009.1190395314773</v>
      </c>
      <c r="K67" s="20">
        <f>IF(fullpart=0,1,0)*GoodStudentReas!E11+IF(fullpart=1,1,0)*1</f>
        <v>0.76964412497946255</v>
      </c>
      <c r="L67" s="3">
        <f>FairStudentReas!B11</f>
        <v>81940.834435065379</v>
      </c>
      <c r="M67" s="3">
        <f>FairStudentReas!C11</f>
        <v>37114.367391842752</v>
      </c>
      <c r="N67" s="20">
        <f>FairStudentReas!D11</f>
        <v>6.0912334547281961E-2</v>
      </c>
      <c r="O67" s="3">
        <f>FairStudentReas!F11</f>
        <v>2536.128939939766</v>
      </c>
      <c r="P67" s="20">
        <f>IF(fullpart=0,1,0)*FairStudentReas!E11+IF(fullpart=1,1,0)*1</f>
        <v>0.66782228736393623</v>
      </c>
      <c r="Q67" s="3">
        <f>PoorStudentReas!B11</f>
        <v>42471.819142638153</v>
      </c>
      <c r="R67" s="3">
        <f>PoorStudentReas!C11</f>
        <v>19237.230256776733</v>
      </c>
      <c r="S67" s="20">
        <f>PoorStudentReas!D11</f>
        <v>9.3439521195530548E-2</v>
      </c>
      <c r="T67" s="3">
        <f>PoorStudentReas!F11</f>
        <v>12573.72559920292</v>
      </c>
      <c r="U67" s="20">
        <f>IF(fullpart=0,1,0)*PoorStudentReas!E11+IF(fullpart=1,1,0)*1</f>
        <v>0.56269706471358605</v>
      </c>
    </row>
    <row r="68" spans="1:21" x14ac:dyDescent="0.2">
      <c r="A68" s="2">
        <v>15</v>
      </c>
      <c r="B68" s="3">
        <f>ExcellentStudentReas!B12</f>
        <v>1716870.0926390893</v>
      </c>
      <c r="C68" s="3">
        <f>ExcellentStudentReas!C12</f>
        <v>725496.52392737172</v>
      </c>
      <c r="D68" s="20">
        <f>ExcellentStudentReas!D12</f>
        <v>2.7983351405107285E-2</v>
      </c>
      <c r="E68" s="3">
        <f>ExcellentStudentReas!F12</f>
        <v>1001.2790648837729</v>
      </c>
      <c r="F68" s="20">
        <f>IF(fullpart=0,1,0)*ExcellentStudentReas!E12+IF(fullpart=1,1,0)*1</f>
        <v>0.77331331626258859</v>
      </c>
      <c r="G68" s="3">
        <f>GoodStudentReas!B12</f>
        <v>395434.40554070118</v>
      </c>
      <c r="H68" s="3">
        <f>GoodStudentReas!C12</f>
        <v>171356.65843763467</v>
      </c>
      <c r="I68" s="20">
        <f>GoodStudentReas!D12</f>
        <v>3.4440250636730188E-2</v>
      </c>
      <c r="J68" s="3">
        <f>GoodStudentReas!F12</f>
        <v>1001.2790648837729</v>
      </c>
      <c r="K68" s="20">
        <f>IF(fullpart=0,1,0)*GoodStudentReas!E12+IF(fullpart=1,1,0)*1</f>
        <v>0.77331331626258859</v>
      </c>
      <c r="L68" s="3">
        <f>FairStudentReas!B12</f>
        <v>93145.791707156051</v>
      </c>
      <c r="M68" s="3">
        <f>FairStudentReas!C12</f>
        <v>41864.590060652328</v>
      </c>
      <c r="N68" s="20">
        <f>FairStudentReas!D12</f>
        <v>6.0133690560279049E-2</v>
      </c>
      <c r="O68" s="3">
        <f>FairStudentReas!F12</f>
        <v>2516.4254304294623</v>
      </c>
      <c r="P68" s="20">
        <f>IF(fullpart=0,1,0)*FairStudentReas!E12+IF(fullpart=1,1,0)*1</f>
        <v>0.67100605455703799</v>
      </c>
      <c r="Q68" s="3">
        <f>PoorStudentReas!B12</f>
        <v>48279.606212933977</v>
      </c>
      <c r="R68" s="3">
        <f>PoorStudentReas!C12</f>
        <v>21699.379922055268</v>
      </c>
      <c r="S68" s="20">
        <f>PoorStudentReas!D12</f>
        <v>9.224508131946807E-2</v>
      </c>
      <c r="T68" s="3">
        <f>PoorStudentReas!F12</f>
        <v>12476.038719793023</v>
      </c>
      <c r="U68" s="20">
        <f>IF(fullpart=0,1,0)*PoorStudentReas!E12+IF(fullpart=1,1,0)*1</f>
        <v>0.56537965930227707</v>
      </c>
    </row>
    <row r="69" spans="1:21" x14ac:dyDescent="0.2">
      <c r="A69" s="2">
        <v>16</v>
      </c>
      <c r="B69" s="3">
        <f>ExcellentStudentReas!B13</f>
        <v>1951642.6106685007</v>
      </c>
      <c r="C69" s="3">
        <f>ExcellentStudentReas!C13</f>
        <v>818351.94020639989</v>
      </c>
      <c r="D69" s="20">
        <f>ExcellentStudentReas!D13</f>
        <v>2.7625639482395426E-2</v>
      </c>
      <c r="E69" s="3">
        <f>ExcellentStudentReas!F13</f>
        <v>993.5</v>
      </c>
      <c r="F69" s="20">
        <f>IF(fullpart=0,1,0)*ExcellentStudentReas!E13+IF(fullpart=1,1,0)*1</f>
        <v>0.77699999999999991</v>
      </c>
      <c r="G69" s="3">
        <f>GoodStudentReas!B13</f>
        <v>449507.88</v>
      </c>
      <c r="H69" s="3">
        <f>GoodStudentReas!C13</f>
        <v>193288.3884</v>
      </c>
      <c r="I69" s="20">
        <f>GoodStudentReas!D13</f>
        <v>3.4000000000000002E-2</v>
      </c>
      <c r="J69" s="3">
        <f>GoodStudentReas!F13</f>
        <v>993.5</v>
      </c>
      <c r="K69" s="20">
        <f>IF(fullpart=0,1,0)*GoodStudentReas!E13+IF(fullpart=1,1,0)*1</f>
        <v>0.77699999999999991</v>
      </c>
      <c r="L69" s="3">
        <f>FairStudentReas!B13</f>
        <v>105882.96509999997</v>
      </c>
      <c r="M69" s="3">
        <f>FairStudentReas!C13</f>
        <v>47222.787941999995</v>
      </c>
      <c r="N69" s="20">
        <f>FairStudentReas!D13</f>
        <v>5.9365000000000008E-2</v>
      </c>
      <c r="O69" s="3">
        <f>FairStudentReas!F13</f>
        <v>2496.875</v>
      </c>
      <c r="P69" s="20">
        <f>IF(fullpart=0,1,0)*FairStudentReas!E13+IF(fullpart=1,1,0)*1</f>
        <v>0.67420499999999994</v>
      </c>
      <c r="Q69" s="3">
        <f>PoorStudentReas!B13</f>
        <v>54881.57613988153</v>
      </c>
      <c r="R69" s="3">
        <f>PoorStudentReas!C13</f>
        <v>24476.657123539058</v>
      </c>
      <c r="S69" s="20">
        <f>PoorStudentReas!D13</f>
        <v>9.106591E-2</v>
      </c>
      <c r="T69" s="3">
        <f>PoorStudentReas!F13</f>
        <v>12379.110782220496</v>
      </c>
      <c r="U69" s="20">
        <f>IF(fullpart=0,1,0)*PoorStudentReas!E13+IF(fullpart=1,1,0)*1</f>
        <v>0.56807504285714261</v>
      </c>
    </row>
    <row r="70" spans="1:21" x14ac:dyDescent="0.2">
      <c r="A70" s="2">
        <v>17</v>
      </c>
      <c r="B70" s="3">
        <f>ExcellentStudentReas!B14</f>
        <v>2547356.6648145434</v>
      </c>
      <c r="C70" s="3">
        <f>ExcellentStudentReas!C14</f>
        <v>1056213.215538705</v>
      </c>
      <c r="D70" s="20">
        <f>ExcellentStudentReas!D14</f>
        <v>2.7311028285743406E-2</v>
      </c>
      <c r="E70" s="3">
        <f>ExcellentStudentReas!F14</f>
        <v>993.5</v>
      </c>
      <c r="F70" s="20">
        <f>IF(fullpart=0,1,0)*ExcellentStudentReas!E14+IF(fullpart=1,1,0)*1</f>
        <v>0.77699999999999991</v>
      </c>
      <c r="G70" s="3">
        <f>GoodStudentReas!B14</f>
        <v>586714.43621147273</v>
      </c>
      <c r="H70" s="3">
        <f>GoodStudentReas!C14</f>
        <v>249469.37889188319</v>
      </c>
      <c r="I70" s="20">
        <f>GoodStudentReas!D14</f>
        <v>3.3612795182787168E-2</v>
      </c>
      <c r="J70" s="3">
        <f>GoodStudentReas!F14</f>
        <v>993.5</v>
      </c>
      <c r="K70" s="20">
        <f>IF(fullpart=0,1,0)*GoodStudentReas!E14+IF(fullpart=1,1,0)*1</f>
        <v>0.77699999999999991</v>
      </c>
      <c r="L70" s="3">
        <f>FairStudentReas!B14</f>
        <v>138202.39185361005</v>
      </c>
      <c r="M70" s="3">
        <f>FairStudentReas!C14</f>
        <v>60948.511573568736</v>
      </c>
      <c r="N70" s="20">
        <f>FairStudentReas!D14</f>
        <v>5.8688929000769427E-2</v>
      </c>
      <c r="O70" s="3">
        <f>FairStudentReas!F14</f>
        <v>2496.875</v>
      </c>
      <c r="P70" s="20">
        <f>IF(fullpart=0,1,0)*FairStudentReas!E14+IF(fullpart=1,1,0)*1</f>
        <v>0.67420499999999994</v>
      </c>
      <c r="Q70" s="3">
        <f>PoorStudentReas!B14</f>
        <v>71633.478379305845</v>
      </c>
      <c r="R70" s="3">
        <f>PoorStudentReas!C14</f>
        <v>31591.015376063206</v>
      </c>
      <c r="S70" s="20">
        <f>PoorStudentReas!D14</f>
        <v>9.0028817087180302E-2</v>
      </c>
      <c r="T70" s="3">
        <f>PoorStudentReas!F14</f>
        <v>12379.110782220496</v>
      </c>
      <c r="U70" s="20">
        <f>IF(fullpart=0,1,0)*PoorStudentReas!E14+IF(fullpart=1,1,0)*1</f>
        <v>0.56807504285714261</v>
      </c>
    </row>
    <row r="71" spans="1:21" x14ac:dyDescent="0.2">
      <c r="A71" s="2">
        <v>18</v>
      </c>
      <c r="B71" s="3">
        <f>ExcellentStudentReas!B15</f>
        <v>3324904.8479999998</v>
      </c>
      <c r="C71" s="3">
        <f>ExcellentStudentReas!C15</f>
        <v>1363210.9876799998</v>
      </c>
      <c r="D71" s="20">
        <f>ExcellentStudentReas!D15</f>
        <v>2.7000000000000003E-2</v>
      </c>
      <c r="E71" s="3">
        <f>ExcellentStudentReas!F15</f>
        <v>993.5</v>
      </c>
      <c r="F71" s="20">
        <f>IF(fullpart=0,1,0)*ExcellentStudentReas!E15+IF(fullpart=1,1,0)*1</f>
        <v>0.77699999999999991</v>
      </c>
      <c r="G71" s="3">
        <f>GoodStudentReas!B15</f>
        <v>765801.54648000002</v>
      </c>
      <c r="H71" s="3">
        <f>GoodStudentReas!C15</f>
        <v>321979.87432080001</v>
      </c>
      <c r="I71" s="20">
        <f>GoodStudentReas!D15</f>
        <v>3.3230000000000003E-2</v>
      </c>
      <c r="J71" s="3">
        <f>GoodStudentReas!F15</f>
        <v>993.5</v>
      </c>
      <c r="K71" s="20">
        <f>IF(fullpart=0,1,0)*GoodStudentReas!E15+IF(fullpart=1,1,0)*1</f>
        <v>0.77699999999999991</v>
      </c>
      <c r="L71" s="3">
        <f>FairStudentReas!B15</f>
        <v>180386.91205917869</v>
      </c>
      <c r="M71" s="3">
        <f>FairStudentReas!C15</f>
        <v>78663.738947305261</v>
      </c>
      <c r="N71" s="20">
        <f>FairStudentReas!D15</f>
        <v>5.8020557352941184E-2</v>
      </c>
      <c r="O71" s="3">
        <f>FairStudentReas!F15</f>
        <v>2496.875</v>
      </c>
      <c r="P71" s="20">
        <f>IF(fullpart=0,1,0)*FairStudentReas!E15+IF(fullpart=1,1,0)*1</f>
        <v>0.67420499999999994</v>
      </c>
      <c r="Q71" s="3">
        <f>PoorStudentReas!B15</f>
        <v>93498.685453926068</v>
      </c>
      <c r="R71" s="3">
        <f>PoorStudentReas!C15</f>
        <v>40773.225177505898</v>
      </c>
      <c r="S71" s="20">
        <f>PoorStudentReas!D15</f>
        <v>8.9003534979411769E-2</v>
      </c>
      <c r="T71" s="3">
        <f>PoorStudentReas!F15</f>
        <v>12379.110782220496</v>
      </c>
      <c r="U71" s="20">
        <f>IF(fullpart=0,1,0)*PoorStudentReas!E15+IF(fullpart=1,1,0)*1</f>
        <v>0.56807504285714261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122</v>
      </c>
      <c r="M1" s="13"/>
    </row>
    <row r="2" spans="1:13" x14ac:dyDescent="0.2">
      <c r="B2" s="1">
        <f>Meta!B4</f>
        <v>29093</v>
      </c>
      <c r="C2" s="1">
        <f>Meta!O4</f>
        <v>13382.78</v>
      </c>
      <c r="D2" s="38">
        <f>Meta!Y4</f>
        <v>10</v>
      </c>
      <c r="E2" s="6">
        <f>Meta!J4</f>
        <v>1.1182457051260462</v>
      </c>
      <c r="F2" s="6">
        <f>Meta!U4</f>
        <v>1.1182457251996798</v>
      </c>
      <c r="G2" s="6">
        <f>Meta!AG4</f>
        <v>0.90496366837760256</v>
      </c>
      <c r="H2" s="5">
        <f>Meta!AK4</f>
        <v>54.449999999999996</v>
      </c>
      <c r="I2" s="6">
        <f>Meta!AS4</f>
        <v>1.0534057683997655</v>
      </c>
      <c r="J2" s="1">
        <f>Meta!AW4</f>
        <v>13308</v>
      </c>
      <c r="K2" s="29">
        <f>Meta!BC4</f>
        <v>0.90720619222572141</v>
      </c>
      <c r="L2" s="29">
        <f>Meta!BE4</f>
        <v>0.90720619222572141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26016.643629067821</v>
      </c>
      <c r="C5" s="1">
        <f>basebenefits*Meta!U2/benefitsindex</f>
        <v>11967.655854539755</v>
      </c>
      <c r="D5" s="6">
        <f>baseunemp*Meta!AG2/unempindex/100</f>
        <v>0.11050167370727448</v>
      </c>
      <c r="E5" s="6">
        <f>basepart*Meta!AS2/partindex/100</f>
        <v>0.51689483419779725</v>
      </c>
      <c r="F5" s="17">
        <f>basecrime*Meta!BC2/crimeindex</f>
        <v>14669.212042469002</v>
      </c>
      <c r="G5" s="17">
        <f>basecrime*Meta!BE2/scrimeindex</f>
        <v>14669.212042469002</v>
      </c>
      <c r="I5" s="1">
        <f t="shared" ref="I5:I15" si="0">B5+C5</f>
        <v>37984.299483607574</v>
      </c>
    </row>
    <row r="6" spans="1:13" x14ac:dyDescent="0.2">
      <c r="A6" s="2">
        <v>9</v>
      </c>
      <c r="B6" s="1">
        <f>baseincome*Meta!J3/incomeindex</f>
        <v>27511.855864344558</v>
      </c>
      <c r="C6" s="1">
        <f>basebenefits*Meta!U3/benefitsindex</f>
        <v>12655.453584009445</v>
      </c>
      <c r="D6" s="6">
        <f>baseunemp*Meta!AG3/unempindex/100</f>
        <v>0.10511977630649452</v>
      </c>
      <c r="E6" s="6">
        <f>basepart*Meta!AS3/partindex/100</f>
        <v>0.5305178952878975</v>
      </c>
      <c r="F6" s="17">
        <f>basecrime*Meta!BC3/crimeindex</f>
        <v>13972.039001562278</v>
      </c>
      <c r="G6" s="17">
        <f>basecrime*Meta!BE3/scrimeindex</f>
        <v>13972.039001562278</v>
      </c>
      <c r="I6" s="1">
        <f t="shared" si="0"/>
        <v>40167.309448354004</v>
      </c>
      <c r="J6" s="1">
        <f>I6-I5</f>
        <v>2183.0099647464303</v>
      </c>
    </row>
    <row r="7" spans="1:13" x14ac:dyDescent="0.2">
      <c r="A7" s="2">
        <v>10</v>
      </c>
      <c r="B7" s="1">
        <f>baseincome*Meta!J4/incomeindex</f>
        <v>29093</v>
      </c>
      <c r="C7" s="1">
        <f>basebenefits*Meta!U4/benefitsindex</f>
        <v>13382.78</v>
      </c>
      <c r="D7" s="6">
        <f>baseunemp*Meta!AG4/unempindex/100</f>
        <v>0.1</v>
      </c>
      <c r="E7" s="6">
        <f>basepart*Meta!AS4/partindex/100</f>
        <v>0.54449999999999998</v>
      </c>
      <c r="F7" s="17">
        <f>basecrime*Meta!BC4/crimeindex</f>
        <v>13308</v>
      </c>
      <c r="G7" s="17">
        <f>basecrime*Meta!BE4/scrimeindex</f>
        <v>13308</v>
      </c>
      <c r="I7" s="1">
        <f t="shared" si="0"/>
        <v>42475.78</v>
      </c>
      <c r="J7" s="1">
        <f t="shared" ref="J7:J15" si="1">I7-I6</f>
        <v>2308.4705516459944</v>
      </c>
    </row>
    <row r="8" spans="1:13" x14ac:dyDescent="0.2">
      <c r="A8" s="2">
        <v>11</v>
      </c>
      <c r="B8" s="1">
        <f>baseincome*Meta!J5/incomeindex</f>
        <v>30765.014660350127</v>
      </c>
      <c r="C8" s="1">
        <f>basebenefits*Meta!U5/benefitsindex</f>
        <v>14151.906870781528</v>
      </c>
      <c r="D8" s="6">
        <f>baseunemp*Meta!AG5/unempindex/100</f>
        <v>9.5129578385358279E-2</v>
      </c>
      <c r="E8" s="6">
        <f>basepart*Meta!AS5/partindex/100</f>
        <v>0.55885061113557399</v>
      </c>
      <c r="F8" s="17">
        <f>basecrime*Meta!BC5/crimeindex</f>
        <v>12675.520300236585</v>
      </c>
      <c r="G8" s="17">
        <f>basecrime*Meta!BE5/scrimeindex</f>
        <v>12675.520300236585</v>
      </c>
      <c r="I8" s="1">
        <f t="shared" si="0"/>
        <v>44916.921531131651</v>
      </c>
      <c r="J8" s="1">
        <f t="shared" si="1"/>
        <v>2441.1415311316523</v>
      </c>
    </row>
    <row r="9" spans="1:13" x14ac:dyDescent="0.2">
      <c r="A9" s="2">
        <v>12</v>
      </c>
      <c r="B9" s="1">
        <f>baseincome*Meta!J6/incomeindex</f>
        <v>32533.122299232062</v>
      </c>
      <c r="C9" s="1">
        <f>basebenefits*Meta!U6/benefitsindex</f>
        <v>14965.23652628777</v>
      </c>
      <c r="D9" s="6">
        <f>baseunemp*Meta!AG6/unempindex/100</f>
        <v>9.0496366837760273E-2</v>
      </c>
      <c r="E9" s="6">
        <f>basepart*Meta!AS6/partindex/100</f>
        <v>0.5735794408936723</v>
      </c>
      <c r="F9" s="17">
        <f>basecrime*Meta!BC6/crimeindex</f>
        <v>10627.291300307852</v>
      </c>
      <c r="G9" s="17">
        <f>basecrime*Meta!BE6/scrimeindex</f>
        <v>12073.100006139899</v>
      </c>
      <c r="I9" s="1">
        <f t="shared" si="0"/>
        <v>47498.358825519834</v>
      </c>
      <c r="J9" s="1">
        <f t="shared" si="1"/>
        <v>2581.4372943881826</v>
      </c>
    </row>
    <row r="10" spans="1:13" x14ac:dyDescent="0.2">
      <c r="A10" s="2">
        <v>13</v>
      </c>
      <c r="B10" s="1">
        <f>baseincome*Meta!J7/incomeindex</f>
        <v>34099.462451810541</v>
      </c>
      <c r="C10" s="1">
        <f>basebenefits*Meta!U7/benefitsindex</f>
        <v>15597.988740953992</v>
      </c>
      <c r="D10" s="6">
        <f>baseunemp*Meta!AG7/unempindex/100</f>
        <v>8.7996479380913845E-2</v>
      </c>
      <c r="E10" s="6">
        <f>basepart*Meta!AS7/partindex/100</f>
        <v>0.57912979438552437</v>
      </c>
      <c r="F10" s="17">
        <f>basecrime*Meta!BC7/crimeindex</f>
        <v>10452.308884249</v>
      </c>
      <c r="G10" s="17">
        <f>basecrime*Meta!BE7/scrimeindex</f>
        <v>11874.311796736687</v>
      </c>
      <c r="I10" s="1">
        <f t="shared" si="0"/>
        <v>49697.451192764536</v>
      </c>
      <c r="J10" s="1">
        <f t="shared" si="1"/>
        <v>2199.0923672447025</v>
      </c>
    </row>
    <row r="11" spans="1:13" x14ac:dyDescent="0.2">
      <c r="A11" s="2">
        <v>14</v>
      </c>
      <c r="B11" s="1">
        <f>baseincome*Meta!J8/incomeindex</f>
        <v>35741.215638865506</v>
      </c>
      <c r="C11" s="1">
        <f>basebenefits*Meta!U8/benefitsindex</f>
        <v>16257.494650054759</v>
      </c>
      <c r="D11" s="6">
        <f>baseunemp*Meta!AG8/unempindex/100</f>
        <v>8.5565649252170986E-2</v>
      </c>
      <c r="E11" s="6">
        <f>basepart*Meta!AS8/partindex/100</f>
        <v>0.58473385695704028</v>
      </c>
      <c r="F11" s="17">
        <f>basecrime*Meta!BC8/crimeindex</f>
        <v>10280.207620599029</v>
      </c>
      <c r="G11" s="17">
        <f>basecrime*Meta!BE8/scrimeindex</f>
        <v>11678.796711235178</v>
      </c>
      <c r="I11" s="1">
        <f t="shared" si="0"/>
        <v>51998.710288920265</v>
      </c>
      <c r="J11" s="1">
        <f t="shared" si="1"/>
        <v>2301.2590961557289</v>
      </c>
    </row>
    <row r="12" spans="1:13" x14ac:dyDescent="0.2">
      <c r="A12" s="2">
        <v>15</v>
      </c>
      <c r="B12" s="1">
        <f>baseincome*Meta!J9/incomeindex</f>
        <v>37462.012697389531</v>
      </c>
      <c r="C12" s="1">
        <f>basebenefits*Meta!U9/benefitsindex</f>
        <v>16944.885439146296</v>
      </c>
      <c r="D12" s="6">
        <f>baseunemp*Meta!AG9/unempindex/100</f>
        <v>8.320196879982858E-2</v>
      </c>
      <c r="E12" s="6">
        <f>basepart*Meta!AS9/partindex/100</f>
        <v>0.59039214833461995</v>
      </c>
      <c r="F12" s="17">
        <f>basecrime*Meta!BC9/crimeindex</f>
        <v>10110.940070081528</v>
      </c>
      <c r="G12" s="17">
        <f>basecrime*Meta!BE9/scrimeindex</f>
        <v>11486.500856398403</v>
      </c>
      <c r="I12" s="1">
        <f t="shared" si="0"/>
        <v>54406.898136535827</v>
      </c>
      <c r="J12" s="1">
        <f t="shared" si="1"/>
        <v>2408.1878476155616</v>
      </c>
    </row>
    <row r="13" spans="1:13" x14ac:dyDescent="0.2">
      <c r="A13" s="2">
        <v>16</v>
      </c>
      <c r="B13" s="1">
        <f>baseincome*Meta!J10/incomeindex</f>
        <v>39265.65927470287</v>
      </c>
      <c r="C13" s="1">
        <f>basebenefits*Meta!U10/benefitsindex</f>
        <v>17661.340121974143</v>
      </c>
      <c r="D13" s="6">
        <f>baseunemp*Meta!AG10/unempindex/100</f>
        <v>8.0903583069487486E-2</v>
      </c>
      <c r="E13" s="6">
        <f>basepart*Meta!AS10/partindex/100</f>
        <v>0.59610519327389722</v>
      </c>
      <c r="F13" s="17">
        <f>basecrime*Meta!BC10/crimeindex</f>
        <v>8995.5207498589007</v>
      </c>
      <c r="G13" s="17">
        <f>basecrime*Meta!BE10/scrimeindex</f>
        <v>11297.371226362153</v>
      </c>
      <c r="I13" s="1">
        <f t="shared" si="0"/>
        <v>56926.999396677013</v>
      </c>
      <c r="J13" s="1">
        <f t="shared" si="1"/>
        <v>2520.1012601411858</v>
      </c>
    </row>
    <row r="14" spans="1:13" x14ac:dyDescent="0.2">
      <c r="A14" s="2">
        <v>17</v>
      </c>
      <c r="B14" s="1">
        <f>baseincome*Meta!J11/incomeindex</f>
        <v>40434.768739125051</v>
      </c>
      <c r="C14" s="1">
        <f>basebenefits*Meta!U11/benefitsindex</f>
        <v>18107.36335739923</v>
      </c>
      <c r="D14" s="6">
        <f>baseunemp*Meta!AG11/unempindex/100</f>
        <v>7.9698307468691609E-2</v>
      </c>
      <c r="E14" s="6">
        <f>basepart*Meta!AS11/partindex/100</f>
        <v>0.59610519327389722</v>
      </c>
      <c r="F14" s="17">
        <f>basecrime*Meta!BC11/crimeindex</f>
        <v>8995.5207498589007</v>
      </c>
      <c r="G14" s="17">
        <f>basecrime*Meta!BE11/scrimeindex</f>
        <v>11297.371226362153</v>
      </c>
      <c r="I14" s="1">
        <f t="shared" si="0"/>
        <v>58542.132096524278</v>
      </c>
      <c r="J14" s="1">
        <f t="shared" si="1"/>
        <v>1615.132699847265</v>
      </c>
    </row>
    <row r="15" spans="1:13" x14ac:dyDescent="0.2">
      <c r="A15" s="2">
        <v>18</v>
      </c>
      <c r="B15" s="1">
        <f>baseincome*Meta!J12/incomeindex</f>
        <v>41638.687677399153</v>
      </c>
      <c r="C15" s="1">
        <f>basebenefits*Meta!U12/benefitsindex</f>
        <v>18564.650558365163</v>
      </c>
      <c r="D15" s="6">
        <f>baseunemp*Meta!AG12/unempindex/100</f>
        <v>7.8510987676758057E-2</v>
      </c>
      <c r="E15" s="6">
        <f>basepart*Meta!AS12/partindex/100</f>
        <v>0.59610519327389722</v>
      </c>
      <c r="F15" s="17">
        <f>basecrime*Meta!BC12/crimeindex</f>
        <v>8995.5207498589007</v>
      </c>
      <c r="G15" s="17">
        <f>basecrime*Meta!BE12/scrimeindex</f>
        <v>11297.371226362153</v>
      </c>
      <c r="I15" s="1">
        <f t="shared" si="0"/>
        <v>60203.338235764313</v>
      </c>
      <c r="J15" s="1">
        <f t="shared" si="1"/>
        <v>1661.2061392400356</v>
      </c>
    </row>
  </sheetData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Meta!B12</f>
        <v>3324904.8480000002</v>
      </c>
      <c r="C2" s="1">
        <f>Meta!O12</f>
        <v>1363210.98768</v>
      </c>
      <c r="D2" s="38">
        <f>Meta!Y12</f>
        <v>2.7</v>
      </c>
      <c r="E2" s="6">
        <f>Meta!M12</f>
        <v>3.6308109927280845</v>
      </c>
      <c r="F2" s="6">
        <f>Meta!X12</f>
        <v>3.4420357022121486</v>
      </c>
      <c r="G2" s="6">
        <f>Meta!AJ12</f>
        <v>0.85332139161511056</v>
      </c>
      <c r="H2" s="5">
        <f>Meta!AK12</f>
        <v>77.699999999999989</v>
      </c>
      <c r="I2" s="6">
        <f>Meta!AV12</f>
        <v>1.0679564208316934</v>
      </c>
      <c r="J2" s="1">
        <f>Meta!AW12</f>
        <v>993.5</v>
      </c>
      <c r="K2" s="29">
        <f>Meta!BH12</f>
        <v>0.8926934995475333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915747.15804795024</v>
      </c>
      <c r="C5" s="1">
        <f>basebenefits*Meta!X2/benefitsindex</f>
        <v>396047.89305464883</v>
      </c>
      <c r="D5" s="6">
        <f>baseunemp*Meta!AJ2/unempindex/100</f>
        <v>3.1641067791463869E-2</v>
      </c>
      <c r="E5" s="6">
        <f>basepart*Meta!AV2/partindex/100</f>
        <v>0.72755777749329409</v>
      </c>
      <c r="F5" s="17">
        <f>basecrime*Meta!BH2/scrimeindex</f>
        <v>1112.9239772705425</v>
      </c>
      <c r="H5" s="1">
        <f t="shared" ref="H5:H15" si="0">B5+C5</f>
        <v>1311795.0511025991</v>
      </c>
    </row>
    <row r="6" spans="1:12" x14ac:dyDescent="0.2">
      <c r="A6" s="2">
        <v>9</v>
      </c>
      <c r="B6" s="1">
        <f>baseincome*Meta!M3/incomeindex</f>
        <v>973349.70451016934</v>
      </c>
      <c r="C6" s="1">
        <f>basebenefits*Meta!X3/benefitsindex</f>
        <v>420960.19221981842</v>
      </c>
      <c r="D6" s="6">
        <f>baseunemp*Meta!AJ3/unempindex/100</f>
        <v>3.0981598371951725E-2</v>
      </c>
      <c r="E6" s="6">
        <f>basepart*Meta!AV3/partindex/100</f>
        <v>0.73610597054515392</v>
      </c>
      <c r="F6" s="17">
        <f>basecrime*Meta!BH3/scrimeindex</f>
        <v>1090.2556767232072</v>
      </c>
      <c r="H6" s="1">
        <f t="shared" si="0"/>
        <v>1394309.8967299878</v>
      </c>
      <c r="I6" s="1">
        <f>H6-H5</f>
        <v>82514.845627388684</v>
      </c>
    </row>
    <row r="7" spans="1:12" x14ac:dyDescent="0.2">
      <c r="A7" s="2">
        <v>10</v>
      </c>
      <c r="B7" s="1">
        <f>baseincome*Meta!M4/incomeindex</f>
        <v>1034575.5801083533</v>
      </c>
      <c r="C7" s="1">
        <f>basebenefits*Meta!X4/benefitsindex</f>
        <v>447439.53077739116</v>
      </c>
      <c r="D7" s="6">
        <f>baseunemp*Meta!AJ4/unempindex/100</f>
        <v>3.0335873745065987E-2</v>
      </c>
      <c r="E7" s="6">
        <f>basepart*Meta!AV4/partindex/100</f>
        <v>0.74475459768859009</v>
      </c>
      <c r="F7" s="17">
        <f>basecrime*Meta!BH4/scrimeindex</f>
        <v>1068.0490895185608</v>
      </c>
      <c r="H7" s="1">
        <f t="shared" si="0"/>
        <v>1482015.1108857444</v>
      </c>
      <c r="I7" s="1">
        <f t="shared" ref="I7:I15" si="1">H7-H6</f>
        <v>87705.214155756636</v>
      </c>
    </row>
    <row r="8" spans="1:12" x14ac:dyDescent="0.2">
      <c r="A8" s="2">
        <v>11</v>
      </c>
      <c r="B8" s="1">
        <f>baseincome*Meta!M5/incomeindex</f>
        <v>1099652.7003572464</v>
      </c>
      <c r="C8" s="1">
        <f>basebenefits*Meta!X5/benefitsindex</f>
        <v>475584.47901351622</v>
      </c>
      <c r="D8" s="6">
        <f>baseunemp*Meta!AJ5/unempindex/100</f>
        <v>2.9703607439108725E-2</v>
      </c>
      <c r="E8" s="6">
        <f>basepart*Meta!AV5/partindex/100</f>
        <v>0.75350483893985765</v>
      </c>
      <c r="F8" s="17">
        <f>basecrime*Meta!BH5/scrimeindex</f>
        <v>1046.2948113693092</v>
      </c>
      <c r="H8" s="1">
        <f t="shared" si="0"/>
        <v>1575237.1793707628</v>
      </c>
      <c r="I8" s="1">
        <f t="shared" si="1"/>
        <v>93222.068485018332</v>
      </c>
    </row>
    <row r="9" spans="1:12" x14ac:dyDescent="0.2">
      <c r="A9" s="2">
        <v>12</v>
      </c>
      <c r="B9" s="1">
        <f>baseincome*Meta!M6/incomeindex</f>
        <v>1168823.3171677396</v>
      </c>
      <c r="C9" s="1">
        <f>basebenefits*Meta!X6/benefitsindex</f>
        <v>505499.80750602559</v>
      </c>
      <c r="D9" s="6">
        <f>baseunemp*Meta!AJ6/unempindex/100</f>
        <v>2.9084518953082016E-2</v>
      </c>
      <c r="E9" s="6">
        <f>basepart*Meta!AV6/partindex/100</f>
        <v>0.76235788817941152</v>
      </c>
      <c r="F9" s="17">
        <f>basecrime*Meta!BH6/scrimeindex</f>
        <v>1024.9836295369212</v>
      </c>
      <c r="H9" s="1">
        <f t="shared" si="0"/>
        <v>1674323.1246737652</v>
      </c>
      <c r="I9" s="1">
        <f t="shared" si="1"/>
        <v>99085.945303002372</v>
      </c>
    </row>
    <row r="10" spans="1:12" x14ac:dyDescent="0.2">
      <c r="A10" s="2">
        <v>13</v>
      </c>
      <c r="B10" s="1">
        <f>baseincome*Meta!M7/incomeindex</f>
        <v>1328653.460682648</v>
      </c>
      <c r="C10" s="1">
        <f>basebenefits*Meta!X7/benefitsindex</f>
        <v>570198.11205591692</v>
      </c>
      <c r="D10" s="6">
        <f>baseunemp*Meta!AJ7/unempindex/100</f>
        <v>2.8712730776417884E-2</v>
      </c>
      <c r="E10" s="6">
        <f>basepart*Meta!AV7/partindex/100</f>
        <v>0.76599234315300702</v>
      </c>
      <c r="F10" s="17">
        <f>basecrime*Meta!BH7/scrimeindex</f>
        <v>1017.0204008641052</v>
      </c>
      <c r="H10" s="1">
        <f t="shared" si="0"/>
        <v>1898851.572738565</v>
      </c>
      <c r="I10" s="1">
        <f t="shared" si="1"/>
        <v>224528.44806479989</v>
      </c>
    </row>
    <row r="11" spans="1:12" x14ac:dyDescent="0.2">
      <c r="A11" s="2">
        <v>14</v>
      </c>
      <c r="B11" s="1">
        <f>baseincome*Meta!M8/incomeindex</f>
        <v>1510339.4949902704</v>
      </c>
      <c r="C11" s="1">
        <f>basebenefits*Meta!X8/benefitsindex</f>
        <v>643177.07378801808</v>
      </c>
      <c r="D11" s="6">
        <f>baseunemp*Meta!AJ8/unempindex/100</f>
        <v>2.834569517787032E-2</v>
      </c>
      <c r="E11" s="6">
        <f>basepart*Meta!AV8/partindex/100</f>
        <v>0.76964412497946255</v>
      </c>
      <c r="F11" s="17">
        <f>basecrime*Meta!BH8/scrimeindex</f>
        <v>1009.1190395314773</v>
      </c>
      <c r="H11" s="1">
        <f t="shared" si="0"/>
        <v>2153516.5687782886</v>
      </c>
      <c r="I11" s="1">
        <f t="shared" si="1"/>
        <v>254664.99603972351</v>
      </c>
    </row>
    <row r="12" spans="1:12" x14ac:dyDescent="0.2">
      <c r="A12" s="2">
        <v>15</v>
      </c>
      <c r="B12" s="1">
        <f>baseincome*Meta!M9/incomeindex</f>
        <v>1716870.0926390893</v>
      </c>
      <c r="C12" s="1">
        <f>basebenefits*Meta!X9/benefitsindex</f>
        <v>725496.52392737172</v>
      </c>
      <c r="D12" s="6">
        <f>baseunemp*Meta!AJ9/unempindex/100</f>
        <v>2.7983351405107285E-2</v>
      </c>
      <c r="E12" s="6">
        <f>basepart*Meta!AV9/partindex/100</f>
        <v>0.77331331626258859</v>
      </c>
      <c r="F12" s="17">
        <f>basecrime*Meta!BH9/scrimeindex</f>
        <v>1001.2790648837729</v>
      </c>
      <c r="H12" s="1">
        <f t="shared" si="0"/>
        <v>2442366.616566461</v>
      </c>
      <c r="I12" s="1">
        <f t="shared" si="1"/>
        <v>288850.04778817249</v>
      </c>
    </row>
    <row r="13" spans="1:12" x14ac:dyDescent="0.2">
      <c r="A13" s="2">
        <v>16</v>
      </c>
      <c r="B13" s="1">
        <f>baseincome*Meta!M10/incomeindex</f>
        <v>1951642.6106685007</v>
      </c>
      <c r="C13" s="1">
        <f>basebenefits*Meta!X10/benefitsindex</f>
        <v>818351.94020639989</v>
      </c>
      <c r="D13" s="6">
        <f>baseunemp*Meta!AJ10/unempindex/100</f>
        <v>2.7625639482395426E-2</v>
      </c>
      <c r="E13" s="6">
        <f>basepart*Meta!AV10/partindex/100</f>
        <v>0.77699999999999991</v>
      </c>
      <c r="F13" s="17">
        <f>basecrime*Meta!BH10/scrimeindex</f>
        <v>993.5</v>
      </c>
      <c r="H13" s="1">
        <f t="shared" si="0"/>
        <v>2769994.5508749005</v>
      </c>
      <c r="I13" s="1">
        <f t="shared" si="1"/>
        <v>327627.93430843949</v>
      </c>
    </row>
    <row r="14" spans="1:12" x14ac:dyDescent="0.2">
      <c r="A14" s="2">
        <v>17</v>
      </c>
      <c r="B14" s="1">
        <f>baseincome*Meta!M11/incomeindex</f>
        <v>2547356.6648145434</v>
      </c>
      <c r="C14" s="1">
        <f>basebenefits*Meta!X11/benefitsindex</f>
        <v>1056213.215538705</v>
      </c>
      <c r="D14" s="6">
        <f>baseunemp*Meta!AJ11/unempindex/100</f>
        <v>2.7311028285743406E-2</v>
      </c>
      <c r="E14" s="6">
        <f>basepart*Meta!AV11/partindex/100</f>
        <v>0.77699999999999991</v>
      </c>
      <c r="F14" s="17">
        <f>basecrime*Meta!BH11/scrimeindex</f>
        <v>993.5</v>
      </c>
      <c r="H14" s="1">
        <f t="shared" si="0"/>
        <v>3603569.8803532487</v>
      </c>
      <c r="I14" s="1">
        <f t="shared" si="1"/>
        <v>833575.32947834814</v>
      </c>
    </row>
    <row r="15" spans="1:12" x14ac:dyDescent="0.2">
      <c r="A15" s="2">
        <v>18</v>
      </c>
      <c r="B15" s="1">
        <f>baseincome*Meta!M12/incomeindex</f>
        <v>3324904.8479999998</v>
      </c>
      <c r="C15" s="1">
        <f>basebenefits*Meta!X12/benefitsindex</f>
        <v>1363210.9876799998</v>
      </c>
      <c r="D15" s="6">
        <f>baseunemp*Meta!AJ12/unempindex/100</f>
        <v>2.7000000000000003E-2</v>
      </c>
      <c r="E15" s="6">
        <f>basepart*Meta!AV12/partindex/100</f>
        <v>0.77699999999999991</v>
      </c>
      <c r="F15" s="17">
        <f>basecrime*Meta!BH12/scrimeindex</f>
        <v>993.5</v>
      </c>
      <c r="H15" s="1">
        <f t="shared" si="0"/>
        <v>4688115.8356799996</v>
      </c>
      <c r="I15" s="1">
        <f t="shared" si="1"/>
        <v>1084545.9553267509</v>
      </c>
    </row>
  </sheetData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Meta!B10</f>
        <v>449507.88</v>
      </c>
      <c r="C2" s="1">
        <f>Meta!O10</f>
        <v>193288.3884</v>
      </c>
      <c r="D2" s="38">
        <f>Meta!Y10</f>
        <v>3.4</v>
      </c>
      <c r="E2" s="6">
        <f>Meta!M10</f>
        <v>2.1312024760510466</v>
      </c>
      <c r="F2" s="6">
        <f>Meta!X10</f>
        <v>2.0662954015348829</v>
      </c>
      <c r="G2" s="6">
        <f>Meta!AJ10</f>
        <v>0.87309441212500016</v>
      </c>
      <c r="H2" s="5">
        <f>Meta!AK10</f>
        <v>77.699999999999989</v>
      </c>
      <c r="I2" s="6">
        <f>Meta!AV10</f>
        <v>1.0679564208316934</v>
      </c>
      <c r="J2" s="1">
        <f>Meta!AW10</f>
        <v>993.5</v>
      </c>
      <c r="K2" s="29">
        <f>Meta!BH10</f>
        <v>0.8926934995475333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210917.49144027993</v>
      </c>
      <c r="C5" s="1">
        <f>basebenefits*Meta!X2/benefitsindex</f>
        <v>93543.444106017836</v>
      </c>
      <c r="D5" s="6">
        <f>baseunemp*Meta!AJ2/unempindex/100</f>
        <v>3.8941951211494234E-2</v>
      </c>
      <c r="E5" s="6">
        <f>basepart*Meta!AV2/partindex/100</f>
        <v>0.72755777749329409</v>
      </c>
      <c r="F5" s="17">
        <f>basecrime*Meta!BH2/scrimeindex</f>
        <v>1112.9239772705425</v>
      </c>
      <c r="H5" s="1">
        <f t="shared" ref="H5:H15" si="0">B5+C5</f>
        <v>304460.93554629775</v>
      </c>
    </row>
    <row r="6" spans="1:12" x14ac:dyDescent="0.2">
      <c r="A6" s="2">
        <v>9</v>
      </c>
      <c r="B6" s="1">
        <f>baseincome*Meta!M3/incomeindex</f>
        <v>224184.67386460939</v>
      </c>
      <c r="C6" s="1">
        <f>basebenefits*Meta!X3/benefitsindex</f>
        <v>99427.536170075051</v>
      </c>
      <c r="D6" s="6">
        <f>baseunemp*Meta!AJ3/unempindex/100</f>
        <v>3.8130315329627996E-2</v>
      </c>
      <c r="E6" s="6">
        <f>basepart*Meta!AV3/partindex/100</f>
        <v>0.73610597054515392</v>
      </c>
      <c r="F6" s="17">
        <f>basecrime*Meta!BH3/scrimeindex</f>
        <v>1090.2556767232072</v>
      </c>
      <c r="H6" s="1">
        <f t="shared" si="0"/>
        <v>323612.21003468445</v>
      </c>
      <c r="I6" s="1">
        <f>H6-H5</f>
        <v>19151.274488386698</v>
      </c>
    </row>
    <row r="7" spans="1:12" x14ac:dyDescent="0.2">
      <c r="A7" s="2">
        <v>10</v>
      </c>
      <c r="B7" s="1">
        <f>baseincome*Meta!M4/incomeindex</f>
        <v>238286.39176666745</v>
      </c>
      <c r="C7" s="1">
        <f>basebenefits*Meta!X4/benefitsindex</f>
        <v>105681.75079856404</v>
      </c>
      <c r="D7" s="6">
        <f>baseunemp*Meta!AJ4/unempindex/100</f>
        <v>3.7335595724020107E-2</v>
      </c>
      <c r="E7" s="6">
        <f>basepart*Meta!AV4/partindex/100</f>
        <v>0.74475459768859009</v>
      </c>
      <c r="F7" s="17">
        <f>basecrime*Meta!BH4/scrimeindex</f>
        <v>1068.0490895185608</v>
      </c>
      <c r="H7" s="1">
        <f t="shared" si="0"/>
        <v>343968.14256523148</v>
      </c>
      <c r="I7" s="1">
        <f t="shared" ref="I7:I15" si="1">H7-H6</f>
        <v>20355.932530547027</v>
      </c>
    </row>
    <row r="8" spans="1:12" x14ac:dyDescent="0.2">
      <c r="A8" s="2">
        <v>11</v>
      </c>
      <c r="B8" s="1">
        <f>baseincome*Meta!M5/incomeindex</f>
        <v>253275.1392964035</v>
      </c>
      <c r="C8" s="1">
        <f>basebenefits*Meta!X5/benefitsindex</f>
        <v>112329.36952943669</v>
      </c>
      <c r="D8" s="6">
        <f>baseunemp*Meta!AJ5/unempindex/100</f>
        <v>3.6557439822280852E-2</v>
      </c>
      <c r="E8" s="6">
        <f>basepart*Meta!AV5/partindex/100</f>
        <v>0.75350483893985765</v>
      </c>
      <c r="F8" s="17">
        <f>basecrime*Meta!BH5/scrimeindex</f>
        <v>1046.2948113693092</v>
      </c>
      <c r="H8" s="1">
        <f t="shared" si="0"/>
        <v>365604.5088258402</v>
      </c>
      <c r="I8" s="1">
        <f t="shared" si="1"/>
        <v>21636.366260608716</v>
      </c>
    </row>
    <row r="9" spans="1:12" x14ac:dyDescent="0.2">
      <c r="A9" s="2">
        <v>12</v>
      </c>
      <c r="B9" s="1">
        <f>baseincome*Meta!M6/incomeindex</f>
        <v>269206.7126033252</v>
      </c>
      <c r="C9" s="1">
        <f>basebenefits*Meta!X6/benefitsindex</f>
        <v>119395.13836150587</v>
      </c>
      <c r="D9" s="6">
        <f>baseunemp*Meta!AJ6/unempindex/100</f>
        <v>3.5795502400404279E-2</v>
      </c>
      <c r="E9" s="6">
        <f>basepart*Meta!AV6/partindex/100</f>
        <v>0.76235788817941152</v>
      </c>
      <c r="F9" s="17">
        <f>basecrime*Meta!BH6/scrimeindex</f>
        <v>1024.9836295369212</v>
      </c>
      <c r="H9" s="1">
        <f t="shared" si="0"/>
        <v>388601.85096483107</v>
      </c>
      <c r="I9" s="1">
        <f t="shared" si="1"/>
        <v>22997.342138990876</v>
      </c>
    </row>
    <row r="10" spans="1:12" x14ac:dyDescent="0.2">
      <c r="A10" s="2">
        <v>13</v>
      </c>
      <c r="B10" s="1">
        <f>baseincome*Meta!M7/incomeindex</f>
        <v>306019.24609626469</v>
      </c>
      <c r="C10" s="1">
        <f>basebenefits*Meta!X7/benefitsindex</f>
        <v>134676.37667018129</v>
      </c>
      <c r="D10" s="6">
        <f>baseunemp*Meta!AJ7/unempindex/100</f>
        <v>3.5337927544458012E-2</v>
      </c>
      <c r="E10" s="6">
        <f>basepart*Meta!AV7/partindex/100</f>
        <v>0.76599234315300702</v>
      </c>
      <c r="F10" s="17">
        <f>basecrime*Meta!BH7/scrimeindex</f>
        <v>1017.0204008641052</v>
      </c>
      <c r="H10" s="1">
        <f t="shared" si="0"/>
        <v>440695.62276644597</v>
      </c>
      <c r="I10" s="1">
        <f t="shared" si="1"/>
        <v>52093.771801614901</v>
      </c>
    </row>
    <row r="11" spans="1:12" x14ac:dyDescent="0.2">
      <c r="A11" s="2">
        <v>14</v>
      </c>
      <c r="B11" s="1">
        <f>baseincome*Meta!M8/incomeindex</f>
        <v>347865.69055325072</v>
      </c>
      <c r="C11" s="1">
        <f>basebenefits*Meta!X8/benefitsindex</f>
        <v>151913.4420539884</v>
      </c>
      <c r="D11" s="6">
        <f>baseunemp*Meta!AJ8/unempindex/100</f>
        <v>3.4886201880023358E-2</v>
      </c>
      <c r="E11" s="6">
        <f>basepart*Meta!AV8/partindex/100</f>
        <v>0.76964412497946255</v>
      </c>
      <c r="F11" s="17">
        <f>basecrime*Meta!BH8/scrimeindex</f>
        <v>1009.1190395314773</v>
      </c>
      <c r="H11" s="1">
        <f t="shared" si="0"/>
        <v>499779.13260723912</v>
      </c>
      <c r="I11" s="1">
        <f t="shared" si="1"/>
        <v>59083.509840793151</v>
      </c>
    </row>
    <row r="12" spans="1:12" x14ac:dyDescent="0.2">
      <c r="A12" s="2">
        <v>15</v>
      </c>
      <c r="B12" s="1">
        <f>baseincome*Meta!M9/incomeindex</f>
        <v>395434.40554070118</v>
      </c>
      <c r="C12" s="1">
        <f>basebenefits*Meta!X9/benefitsindex</f>
        <v>171356.65843763467</v>
      </c>
      <c r="D12" s="6">
        <f>baseunemp*Meta!AJ9/unempindex/100</f>
        <v>3.4440250636730188E-2</v>
      </c>
      <c r="E12" s="6">
        <f>basepart*Meta!AV9/partindex/100</f>
        <v>0.77331331626258859</v>
      </c>
      <c r="F12" s="17">
        <f>basecrime*Meta!BH9/scrimeindex</f>
        <v>1001.2790648837729</v>
      </c>
      <c r="H12" s="1">
        <f t="shared" si="0"/>
        <v>566791.06397833582</v>
      </c>
      <c r="I12" s="1">
        <f t="shared" si="1"/>
        <v>67011.931371096696</v>
      </c>
    </row>
    <row r="13" spans="1:12" x14ac:dyDescent="0.2">
      <c r="A13" s="2">
        <v>16</v>
      </c>
      <c r="B13" s="1">
        <f>baseincome*Meta!M10/incomeindex</f>
        <v>449507.88</v>
      </c>
      <c r="C13" s="1">
        <f>basebenefits*Meta!X10/benefitsindex</f>
        <v>193288.3884</v>
      </c>
      <c r="D13" s="6">
        <f>baseunemp*Meta!AJ10/unempindex/100</f>
        <v>3.4000000000000002E-2</v>
      </c>
      <c r="E13" s="6">
        <f>basepart*Meta!AV10/partindex/100</f>
        <v>0.77699999999999991</v>
      </c>
      <c r="F13" s="17">
        <f>basecrime*Meta!BH10/scrimeindex</f>
        <v>993.5</v>
      </c>
      <c r="H13" s="1">
        <f t="shared" si="0"/>
        <v>642796.26839999994</v>
      </c>
      <c r="I13" s="1">
        <f t="shared" si="1"/>
        <v>76005.204421664122</v>
      </c>
    </row>
    <row r="14" spans="1:12" x14ac:dyDescent="0.2">
      <c r="A14" s="2">
        <v>17</v>
      </c>
      <c r="B14" s="1">
        <f>baseincome*Meta!M11/incomeindex</f>
        <v>586714.43621147273</v>
      </c>
      <c r="C14" s="1">
        <f>basebenefits*Meta!X11/benefitsindex</f>
        <v>249469.37889188319</v>
      </c>
      <c r="D14" s="6">
        <f>baseunemp*Meta!AJ11/unempindex/100</f>
        <v>3.3612795182787168E-2</v>
      </c>
      <c r="E14" s="6">
        <f>basepart*Meta!AV11/partindex/100</f>
        <v>0.77699999999999991</v>
      </c>
      <c r="F14" s="17">
        <f>basecrime*Meta!BH11/scrimeindex</f>
        <v>993.5</v>
      </c>
      <c r="H14" s="1">
        <f t="shared" si="0"/>
        <v>836183.81510335591</v>
      </c>
      <c r="I14" s="1">
        <f t="shared" si="1"/>
        <v>193387.54670335597</v>
      </c>
    </row>
    <row r="15" spans="1:12" x14ac:dyDescent="0.2">
      <c r="A15" s="2">
        <v>18</v>
      </c>
      <c r="B15" s="1">
        <f>baseincome*Meta!M12/incomeindex</f>
        <v>765801.54648000002</v>
      </c>
      <c r="C15" s="1">
        <f>basebenefits*Meta!X12/benefitsindex</f>
        <v>321979.87432080001</v>
      </c>
      <c r="D15" s="6">
        <f>baseunemp*Meta!AJ12/unempindex/100</f>
        <v>3.3230000000000003E-2</v>
      </c>
      <c r="E15" s="6">
        <f>basepart*Meta!AV12/partindex/100</f>
        <v>0.77699999999999991</v>
      </c>
      <c r="F15" s="17">
        <f>basecrime*Meta!BH12/scrimeindex</f>
        <v>993.5</v>
      </c>
      <c r="H15" s="1">
        <f t="shared" si="0"/>
        <v>1087781.4208008</v>
      </c>
      <c r="I15" s="1">
        <f t="shared" si="1"/>
        <v>251597.60569744406</v>
      </c>
    </row>
  </sheetData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Meta!B6</f>
        <v>63412.47</v>
      </c>
      <c r="C2" s="1">
        <f>Meta!O6</f>
        <v>29169.736200000003</v>
      </c>
      <c r="D2" s="38">
        <f>Meta!Y6</f>
        <v>6.25</v>
      </c>
      <c r="E2" s="6">
        <f>Meta!M6</f>
        <v>1.2763602997788805</v>
      </c>
      <c r="F2" s="6">
        <f>Meta!X6</f>
        <v>1.2763602997788805</v>
      </c>
      <c r="G2" s="6">
        <f>Meta!AJ6</f>
        <v>0.91920156250000018</v>
      </c>
      <c r="H2" s="5">
        <f>Meta!AK6</f>
        <v>66.150000000000006</v>
      </c>
      <c r="I2" s="6">
        <f>Meta!AV6</f>
        <v>1.0478314049586779</v>
      </c>
      <c r="J2" s="1">
        <f>Meta!AW6</f>
        <v>2576</v>
      </c>
      <c r="K2" s="29">
        <f>Meta!BH6</f>
        <v>0.92098261019652394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49682.264491449409</v>
      </c>
      <c r="C5" s="1">
        <f>basebenefits*Meta!X2/benefitsindex</f>
        <v>22853.841666066732</v>
      </c>
      <c r="D5" s="6">
        <f>baseunemp*Meta!AJ2/unempindex/100</f>
        <v>6.799379216677516E-2</v>
      </c>
      <c r="E5" s="6">
        <f>basepart*Meta!AV2/partindex/100</f>
        <v>0.63130384990330279</v>
      </c>
      <c r="F5" s="17">
        <f>basecrime*Meta!BH2/scrimeindex</f>
        <v>2797.0126378936948</v>
      </c>
      <c r="H5" s="1">
        <f t="shared" ref="H5:H15" si="0">B5+C5</f>
        <v>72536.106157516144</v>
      </c>
    </row>
    <row r="6" spans="1:12" x14ac:dyDescent="0.2">
      <c r="A6" s="2">
        <v>9</v>
      </c>
      <c r="B6" s="1">
        <f>baseincome*Meta!M3/incomeindex</f>
        <v>52807.390159125382</v>
      </c>
      <c r="C6" s="1">
        <f>basebenefits*Meta!X3/benefitsindex</f>
        <v>24291.399473197678</v>
      </c>
      <c r="D6" s="6">
        <f>baseunemp*Meta!AJ3/unempindex/100</f>
        <v>6.657665204539312E-2</v>
      </c>
      <c r="E6" s="6">
        <f>basepart*Meta!AV3/partindex/100</f>
        <v>0.63872114011762593</v>
      </c>
      <c r="F6" s="17">
        <f>basecrime*Meta!BH3/scrimeindex</f>
        <v>2740.0424185387596</v>
      </c>
      <c r="H6" s="1">
        <f t="shared" si="0"/>
        <v>77098.789632323053</v>
      </c>
      <c r="I6" s="1">
        <f>H6-H5</f>
        <v>4562.6834748069086</v>
      </c>
    </row>
    <row r="7" spans="1:12" x14ac:dyDescent="0.2">
      <c r="A7" s="2">
        <v>10</v>
      </c>
      <c r="B7" s="1">
        <f>baseincome*Meta!M4/incomeindex</f>
        <v>56129.093227987403</v>
      </c>
      <c r="C7" s="1">
        <f>basebenefits*Meta!X4/benefitsindex</f>
        <v>25819.382884874209</v>
      </c>
      <c r="D7" s="6">
        <f>baseunemp*Meta!AJ4/unempindex/100</f>
        <v>6.5189048239895686E-2</v>
      </c>
      <c r="E7" s="6">
        <f>basepart*Meta!AV4/partindex/100</f>
        <v>0.64622557726465357</v>
      </c>
      <c r="F7" s="17">
        <f>basecrime*Meta!BH4/scrimeindex</f>
        <v>2684.2325821757991</v>
      </c>
      <c r="H7" s="1">
        <f t="shared" si="0"/>
        <v>81948.476112861608</v>
      </c>
      <c r="I7" s="1">
        <f t="shared" ref="I7:I15" si="1">H7-H6</f>
        <v>4849.6864805385558</v>
      </c>
    </row>
    <row r="8" spans="1:12" x14ac:dyDescent="0.2">
      <c r="A8" s="2">
        <v>11</v>
      </c>
      <c r="B8" s="1">
        <f>baseincome*Meta!M5/incomeindex</f>
        <v>59659.738856677497</v>
      </c>
      <c r="C8" s="1">
        <f>basebenefits*Meta!X5/benefitsindex</f>
        <v>27443.479874071647</v>
      </c>
      <c r="D8" s="6">
        <f>baseunemp*Meta!AJ5/unempindex/100</f>
        <v>6.3830365148520668E-2</v>
      </c>
      <c r="E8" s="6">
        <f>basepart*Meta!AV5/partindex/100</f>
        <v>0.6538181852476791</v>
      </c>
      <c r="F8" s="17">
        <f>basecrime*Meta!BH5/scrimeindex</f>
        <v>2629.5594938477543</v>
      </c>
      <c r="H8" s="1">
        <f t="shared" si="0"/>
        <v>87103.21873074914</v>
      </c>
      <c r="I8" s="1">
        <f t="shared" si="1"/>
        <v>5154.7426178875321</v>
      </c>
    </row>
    <row r="9" spans="1:12" x14ac:dyDescent="0.2">
      <c r="A9" s="2">
        <v>12</v>
      </c>
      <c r="B9" s="1">
        <f>baseincome*Meta!M6/incomeindex</f>
        <v>63412.47</v>
      </c>
      <c r="C9" s="1">
        <f>basebenefits*Meta!X6/benefitsindex</f>
        <v>29169.736200000003</v>
      </c>
      <c r="D9" s="6">
        <f>baseunemp*Meta!AJ6/unempindex/100</f>
        <v>6.25E-2</v>
      </c>
      <c r="E9" s="6">
        <f>basepart*Meta!AV6/partindex/100</f>
        <v>0.66150000000000009</v>
      </c>
      <c r="F9" s="17">
        <f>basecrime*Meta!BH6/scrimeindex</f>
        <v>2576</v>
      </c>
      <c r="H9" s="1">
        <f t="shared" si="0"/>
        <v>92582.206200000001</v>
      </c>
      <c r="I9" s="1">
        <f t="shared" si="1"/>
        <v>5478.9874692508602</v>
      </c>
    </row>
    <row r="10" spans="1:12" x14ac:dyDescent="0.2">
      <c r="A10" s="2">
        <v>13</v>
      </c>
      <c r="B10" s="1">
        <f>baseincome*Meta!M7/incomeindex</f>
        <v>72083.775604421215</v>
      </c>
      <c r="C10" s="1">
        <f>basebenefits*Meta!X7/benefitsindex</f>
        <v>32903.135200918703</v>
      </c>
      <c r="D10" s="6">
        <f>baseunemp*Meta!AJ7/unempindex/100</f>
        <v>6.1701060843433825E-2</v>
      </c>
      <c r="E10" s="6">
        <f>basepart*Meta!AV7/partindex/100</f>
        <v>0.66465362640344028</v>
      </c>
      <c r="F10" s="17">
        <f>basecrime*Meta!BH7/scrimeindex</f>
        <v>2555.9867271339335</v>
      </c>
      <c r="H10" s="1">
        <f t="shared" si="0"/>
        <v>104986.91080533992</v>
      </c>
      <c r="I10" s="1">
        <f t="shared" si="1"/>
        <v>12404.704605339924</v>
      </c>
    </row>
    <row r="11" spans="1:12" x14ac:dyDescent="0.2">
      <c r="A11" s="2">
        <v>14</v>
      </c>
      <c r="B11" s="1">
        <f>baseincome*Meta!M8/incomeindex</f>
        <v>81940.834435065379</v>
      </c>
      <c r="C11" s="1">
        <f>basebenefits*Meta!X8/benefitsindex</f>
        <v>37114.367391842752</v>
      </c>
      <c r="D11" s="6">
        <f>baseunemp*Meta!AJ8/unempindex/100</f>
        <v>6.0912334547281961E-2</v>
      </c>
      <c r="E11" s="6">
        <f>basepart*Meta!AV8/partindex/100</f>
        <v>0.66782228736393623</v>
      </c>
      <c r="F11" s="17">
        <f>basecrime*Meta!BH8/scrimeindex</f>
        <v>2536.128939939766</v>
      </c>
      <c r="H11" s="1">
        <f t="shared" si="0"/>
        <v>119055.20182690813</v>
      </c>
      <c r="I11" s="1">
        <f t="shared" si="1"/>
        <v>14068.291021568206</v>
      </c>
    </row>
    <row r="12" spans="1:12" x14ac:dyDescent="0.2">
      <c r="A12" s="2">
        <v>15</v>
      </c>
      <c r="B12" s="1">
        <f>baseincome*Meta!M9/incomeindex</f>
        <v>93145.791707156051</v>
      </c>
      <c r="C12" s="1">
        <f>basebenefits*Meta!X9/benefitsindex</f>
        <v>41864.590060652328</v>
      </c>
      <c r="D12" s="6">
        <f>baseunemp*Meta!AJ9/unempindex/100</f>
        <v>6.0133690560279049E-2</v>
      </c>
      <c r="E12" s="6">
        <f>basepart*Meta!AV9/partindex/100</f>
        <v>0.67100605455703799</v>
      </c>
      <c r="F12" s="17">
        <f>basecrime*Meta!BH9/scrimeindex</f>
        <v>2516.4254304294623</v>
      </c>
      <c r="H12" s="1">
        <f t="shared" si="0"/>
        <v>135010.38176780837</v>
      </c>
      <c r="I12" s="1">
        <f t="shared" si="1"/>
        <v>15955.179940900241</v>
      </c>
    </row>
    <row r="13" spans="1:12" x14ac:dyDescent="0.2">
      <c r="A13" s="2">
        <v>16</v>
      </c>
      <c r="B13" s="1">
        <f>baseincome*Meta!M10/incomeindex</f>
        <v>105882.96509999997</v>
      </c>
      <c r="C13" s="1">
        <f>basebenefits*Meta!X10/benefitsindex</f>
        <v>47222.787941999995</v>
      </c>
      <c r="D13" s="6">
        <f>baseunemp*Meta!AJ10/unempindex/100</f>
        <v>5.9365000000000008E-2</v>
      </c>
      <c r="E13" s="6">
        <f>basepart*Meta!AV10/partindex/100</f>
        <v>0.67420499999999994</v>
      </c>
      <c r="F13" s="17">
        <f>basecrime*Meta!BH10/scrimeindex</f>
        <v>2496.875</v>
      </c>
      <c r="H13" s="1">
        <f t="shared" si="0"/>
        <v>153105.75304199997</v>
      </c>
      <c r="I13" s="1">
        <f t="shared" si="1"/>
        <v>18095.371274191595</v>
      </c>
    </row>
    <row r="14" spans="1:12" x14ac:dyDescent="0.2">
      <c r="A14" s="2">
        <v>17</v>
      </c>
      <c r="B14" s="1">
        <f>baseincome*Meta!M11/incomeindex</f>
        <v>138202.39185361005</v>
      </c>
      <c r="C14" s="1">
        <f>basebenefits*Meta!X11/benefitsindex</f>
        <v>60948.511573568736</v>
      </c>
      <c r="D14" s="6">
        <f>baseunemp*Meta!AJ11/unempindex/100</f>
        <v>5.8688929000769427E-2</v>
      </c>
      <c r="E14" s="6">
        <f>basepart*Meta!AV11/partindex/100</f>
        <v>0.67420499999999994</v>
      </c>
      <c r="F14" s="17">
        <f>basecrime*Meta!BH11/scrimeindex</f>
        <v>2496.875</v>
      </c>
      <c r="H14" s="1">
        <f t="shared" si="0"/>
        <v>199150.9034271788</v>
      </c>
      <c r="I14" s="1">
        <f t="shared" si="1"/>
        <v>46045.150385178829</v>
      </c>
    </row>
    <row r="15" spans="1:12" x14ac:dyDescent="0.2">
      <c r="A15" s="2">
        <v>18</v>
      </c>
      <c r="B15" s="1">
        <f>baseincome*Meta!M12/incomeindex</f>
        <v>180386.91205917869</v>
      </c>
      <c r="C15" s="1">
        <f>basebenefits*Meta!X12/benefitsindex</f>
        <v>78663.738947305261</v>
      </c>
      <c r="D15" s="6">
        <f>baseunemp*Meta!AJ12/unempindex/100</f>
        <v>5.8020557352941184E-2</v>
      </c>
      <c r="E15" s="6">
        <f>basepart*Meta!AV12/partindex/100</f>
        <v>0.67420499999999994</v>
      </c>
      <c r="F15" s="17">
        <f>basecrime*Meta!BH12/scrimeindex</f>
        <v>2496.875</v>
      </c>
      <c r="H15" s="1">
        <f t="shared" si="0"/>
        <v>259050.65100648394</v>
      </c>
      <c r="I15" s="1">
        <f t="shared" si="1"/>
        <v>59899.747579305142</v>
      </c>
    </row>
  </sheetData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Meta!B4</f>
        <v>29093</v>
      </c>
      <c r="C2" s="1">
        <f>Meta!O4</f>
        <v>13382.78</v>
      </c>
      <c r="D2" s="38">
        <f>Meta!Y4</f>
        <v>10</v>
      </c>
      <c r="E2" s="6">
        <f>Meta!M4</f>
        <v>1.1297611693534526</v>
      </c>
      <c r="F2" s="6">
        <f>Meta!X4</f>
        <v>1.1297611693534526</v>
      </c>
      <c r="G2" s="6">
        <f>Meta!AJ4</f>
        <v>0.9587500000000001</v>
      </c>
      <c r="H2" s="5">
        <f>Meta!AK4</f>
        <v>54.449999999999996</v>
      </c>
      <c r="I2" s="6">
        <f>Meta!AV4</f>
        <v>1.0236363636363637</v>
      </c>
      <c r="J2" s="1">
        <f>Meta!AW4</f>
        <v>13308</v>
      </c>
      <c r="K2" s="29">
        <f>Meta!BH4</f>
        <v>0.95967838893898405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25751.460387552124</v>
      </c>
      <c r="C5" s="1">
        <f>basebenefits*Meta!X2/benefitsindex</f>
        <v>11845.671778273976</v>
      </c>
      <c r="D5" s="6">
        <f>baseunemp*Meta!AJ2/unempindex/100</f>
        <v>0.10430247718383309</v>
      </c>
      <c r="E5" s="6">
        <f>basepart*Meta!AV2/partindex/100</f>
        <v>0.53192717584369442</v>
      </c>
      <c r="F5" s="17">
        <f>basecrime*Meta!BH2/scrimeindex</f>
        <v>13867.145653569694</v>
      </c>
      <c r="H5" s="1">
        <f t="shared" ref="H5:H15" si="0">B5+C5</f>
        <v>37597.1321658261</v>
      </c>
    </row>
    <row r="6" spans="1:12" x14ac:dyDescent="0.2">
      <c r="A6" s="2">
        <v>9</v>
      </c>
      <c r="B6" s="1">
        <f>baseincome*Meta!M3/incomeindex</f>
        <v>27371.28489959969</v>
      </c>
      <c r="C6" s="1">
        <f>basebenefits*Meta!X3/benefitsindex</f>
        <v>12590.791053815858</v>
      </c>
      <c r="D6" s="6">
        <f>baseunemp*Meta!AJ3/unempindex/100</f>
        <v>0.10212858423763306</v>
      </c>
      <c r="E6" s="6">
        <f>basepart*Meta!AV3/partindex/100</f>
        <v>0.53817687357121879</v>
      </c>
      <c r="F6" s="17">
        <f>basecrime*Meta!BH3/scrimeindex</f>
        <v>13584.696329241428</v>
      </c>
      <c r="H6" s="1">
        <f t="shared" si="0"/>
        <v>39962.075953415551</v>
      </c>
      <c r="I6" s="1">
        <f>H6-H5</f>
        <v>2364.9437875894509</v>
      </c>
    </row>
    <row r="7" spans="1:12" x14ac:dyDescent="0.2">
      <c r="A7" s="2">
        <v>10</v>
      </c>
      <c r="B7" s="1">
        <f>baseincome*Meta!M4/incomeindex</f>
        <v>29093.000000000004</v>
      </c>
      <c r="C7" s="1">
        <f>basebenefits*Meta!X4/benefitsindex</f>
        <v>13382.78</v>
      </c>
      <c r="D7" s="6">
        <f>baseunemp*Meta!AJ4/unempindex/100</f>
        <v>0.1</v>
      </c>
      <c r="E7" s="6">
        <f>basepart*Meta!AV4/partindex/100</f>
        <v>0.54449999999999998</v>
      </c>
      <c r="F7" s="17">
        <f>basecrime*Meta!BH4/scrimeindex</f>
        <v>13308</v>
      </c>
      <c r="H7" s="1">
        <f t="shared" si="0"/>
        <v>42475.780000000006</v>
      </c>
      <c r="I7" s="1">
        <f t="shared" ref="I7:I15" si="1">H7-H6</f>
        <v>2513.7040465844548</v>
      </c>
    </row>
    <row r="8" spans="1:12" x14ac:dyDescent="0.2">
      <c r="A8" s="2">
        <v>11</v>
      </c>
      <c r="B8" s="1">
        <f>baseincome*Meta!M5/incomeindex</f>
        <v>30923.014834878242</v>
      </c>
      <c r="C8" s="1">
        <f>basebenefits*Meta!X5/benefitsindex</f>
        <v>14224.586824043992</v>
      </c>
      <c r="D8" s="6">
        <f>baseunemp*Meta!AJ5/unempindex/100</f>
        <v>9.7915780137830699E-2</v>
      </c>
      <c r="E8" s="6">
        <f>basepart*Meta!AV5/partindex/100</f>
        <v>0.5508974178556294</v>
      </c>
      <c r="F8" s="17">
        <f>basecrime*Meta!BH5/scrimeindex</f>
        <v>13036.939487471742</v>
      </c>
      <c r="H8" s="1">
        <f t="shared" si="0"/>
        <v>45147.601658922234</v>
      </c>
      <c r="I8" s="1">
        <f t="shared" si="1"/>
        <v>2671.8216589222284</v>
      </c>
    </row>
    <row r="9" spans="1:12" x14ac:dyDescent="0.2">
      <c r="A9" s="2">
        <v>12</v>
      </c>
      <c r="B9" s="1">
        <f>baseincome*Meta!M6/incomeindex</f>
        <v>32868.1417</v>
      </c>
      <c r="C9" s="1">
        <f>basebenefits*Meta!X6/benefitsindex</f>
        <v>15119.345181999997</v>
      </c>
      <c r="D9" s="6">
        <f>baseunemp*Meta!AJ6/unempindex/100</f>
        <v>9.5875000000000002E-2</v>
      </c>
      <c r="E9" s="6">
        <f>basepart*Meta!AV6/partindex/100</f>
        <v>0.55737000000000003</v>
      </c>
      <c r="F9" s="17">
        <f>basecrime*Meta!BH6/scrimeindex</f>
        <v>12771.4</v>
      </c>
      <c r="H9" s="1">
        <f t="shared" si="0"/>
        <v>47987.486881999997</v>
      </c>
      <c r="I9" s="1">
        <f t="shared" si="1"/>
        <v>2839.8852230777629</v>
      </c>
    </row>
    <row r="10" spans="1:12" x14ac:dyDescent="0.2">
      <c r="A10" s="2">
        <v>13</v>
      </c>
      <c r="B10" s="1">
        <f>baseincome*Meta!M7/incomeindex</f>
        <v>37362.678836467319</v>
      </c>
      <c r="C10" s="1">
        <f>basebenefits*Meta!X7/benefitsindex</f>
        <v>17054.451753070862</v>
      </c>
      <c r="D10" s="6">
        <f>baseunemp*Meta!AJ7/unempindex/100</f>
        <v>9.4649427333827488E-2</v>
      </c>
      <c r="E10" s="6">
        <f>basepart*Meta!AV7/partindex/100</f>
        <v>0.56002719841040882</v>
      </c>
      <c r="F10" s="17">
        <f>basecrime*Meta!BH7/scrimeindex</f>
        <v>12672.17736293413</v>
      </c>
      <c r="H10" s="1">
        <f t="shared" si="0"/>
        <v>54417.130589538181</v>
      </c>
      <c r="I10" s="1">
        <f t="shared" si="1"/>
        <v>6429.6437075381837</v>
      </c>
    </row>
    <row r="11" spans="1:12" x14ac:dyDescent="0.2">
      <c r="A11" s="2">
        <v>14</v>
      </c>
      <c r="B11" s="1">
        <f>baseincome*Meta!M8/incomeindex</f>
        <v>42471.819142638153</v>
      </c>
      <c r="C11" s="1">
        <f>basebenefits*Meta!X8/benefitsindex</f>
        <v>19237.230256776733</v>
      </c>
      <c r="D11" s="6">
        <f>baseunemp*Meta!AJ8/unempindex/100</f>
        <v>9.3439521195530548E-2</v>
      </c>
      <c r="E11" s="6">
        <f>basepart*Meta!AV8/partindex/100</f>
        <v>0.56269706471358605</v>
      </c>
      <c r="F11" s="17">
        <f>basecrime*Meta!BH8/scrimeindex</f>
        <v>12573.72559920292</v>
      </c>
      <c r="H11" s="1">
        <f t="shared" si="0"/>
        <v>61709.049399414886</v>
      </c>
      <c r="I11" s="1">
        <f t="shared" si="1"/>
        <v>7291.9188098767045</v>
      </c>
    </row>
    <row r="12" spans="1:12" x14ac:dyDescent="0.2">
      <c r="A12" s="2">
        <v>15</v>
      </c>
      <c r="B12" s="1">
        <f>baseincome*Meta!M9/incomeindex</f>
        <v>48279.606212933977</v>
      </c>
      <c r="C12" s="1">
        <f>basebenefits*Meta!X9/benefitsindex</f>
        <v>21699.379922055268</v>
      </c>
      <c r="D12" s="6">
        <f>baseunemp*Meta!AJ9/unempindex/100</f>
        <v>9.224508131946807E-2</v>
      </c>
      <c r="E12" s="6">
        <f>basepart*Meta!AV9/partindex/100</f>
        <v>0.56537965930227707</v>
      </c>
      <c r="F12" s="17">
        <f>basecrime*Meta!BH9/scrimeindex</f>
        <v>12476.038719793023</v>
      </c>
      <c r="H12" s="1">
        <f t="shared" si="0"/>
        <v>69978.986134989245</v>
      </c>
      <c r="I12" s="1">
        <f t="shared" si="1"/>
        <v>8269.9367355743598</v>
      </c>
    </row>
    <row r="13" spans="1:12" x14ac:dyDescent="0.2">
      <c r="A13" s="2">
        <v>16</v>
      </c>
      <c r="B13" s="1">
        <f>baseincome*Meta!M10/incomeindex</f>
        <v>54881.57613988153</v>
      </c>
      <c r="C13" s="1">
        <f>basebenefits*Meta!X10/benefitsindex</f>
        <v>24476.657123539058</v>
      </c>
      <c r="D13" s="6">
        <f>baseunemp*Meta!AJ10/unempindex/100</f>
        <v>9.106591E-2</v>
      </c>
      <c r="E13" s="6">
        <f>basepart*Meta!AV10/partindex/100</f>
        <v>0.56807504285714261</v>
      </c>
      <c r="F13" s="17">
        <f>basecrime*Meta!BH10/scrimeindex</f>
        <v>12379.110782220496</v>
      </c>
      <c r="H13" s="1">
        <f t="shared" si="0"/>
        <v>79358.233263420581</v>
      </c>
      <c r="I13" s="1">
        <f t="shared" si="1"/>
        <v>9379.247128431336</v>
      </c>
    </row>
    <row r="14" spans="1:12" x14ac:dyDescent="0.2">
      <c r="A14" s="2">
        <v>17</v>
      </c>
      <c r="B14" s="1">
        <f>baseincome*Meta!M11/incomeindex</f>
        <v>71633.478379305845</v>
      </c>
      <c r="C14" s="1">
        <f>basebenefits*Meta!X11/benefitsindex</f>
        <v>31591.015376063206</v>
      </c>
      <c r="D14" s="6">
        <f>baseunemp*Meta!AJ11/unempindex/100</f>
        <v>9.0028817087180302E-2</v>
      </c>
      <c r="E14" s="6">
        <f>basepart*Meta!AV11/partindex/100</f>
        <v>0.56807504285714261</v>
      </c>
      <c r="F14" s="17">
        <f>basecrime*Meta!BH11/scrimeindex</f>
        <v>12379.110782220496</v>
      </c>
      <c r="H14" s="1">
        <f t="shared" si="0"/>
        <v>103224.49375536905</v>
      </c>
      <c r="I14" s="1">
        <f t="shared" si="1"/>
        <v>23866.260491948473</v>
      </c>
    </row>
    <row r="15" spans="1:12" x14ac:dyDescent="0.2">
      <c r="A15" s="2">
        <v>18</v>
      </c>
      <c r="B15" s="1">
        <f>baseincome*Meta!M12/incomeindex</f>
        <v>93498.685453926068</v>
      </c>
      <c r="C15" s="1">
        <f>basebenefits*Meta!X12/benefitsindex</f>
        <v>40773.225177505898</v>
      </c>
      <c r="D15" s="6">
        <f>baseunemp*Meta!AJ12/unempindex/100</f>
        <v>8.9003534979411769E-2</v>
      </c>
      <c r="E15" s="6">
        <f>basepart*Meta!AV12/partindex/100</f>
        <v>0.56807504285714261</v>
      </c>
      <c r="F15" s="17">
        <f>basecrime*Meta!BH12/scrimeindex</f>
        <v>12379.110782220496</v>
      </c>
      <c r="H15" s="1">
        <f t="shared" si="0"/>
        <v>134271.91063143197</v>
      </c>
      <c r="I15" s="1">
        <f t="shared" si="1"/>
        <v>31047.416876062911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workbookViewId="0">
      <selection activeCell="B10" sqref="B10"/>
    </sheetView>
  </sheetViews>
  <sheetFormatPr defaultRowHeight="12.75" x14ac:dyDescent="0.2"/>
  <cols>
    <col min="2" max="2" width="11" customWidth="1"/>
    <col min="3" max="13" width="10.140625" customWidth="1"/>
    <col min="15" max="15" width="17.85546875" bestFit="1" customWidth="1"/>
  </cols>
  <sheetData>
    <row r="1" spans="1:18" x14ac:dyDescent="0.2">
      <c r="A1" s="13" t="s">
        <v>90</v>
      </c>
      <c r="B1" s="13" t="s">
        <v>79</v>
      </c>
      <c r="C1" s="13" t="s">
        <v>80</v>
      </c>
      <c r="D1" s="13" t="s">
        <v>81</v>
      </c>
      <c r="E1" s="13" t="s">
        <v>82</v>
      </c>
      <c r="F1" s="13" t="s">
        <v>83</v>
      </c>
      <c r="G1" s="13" t="s">
        <v>84</v>
      </c>
      <c r="H1" s="13" t="s">
        <v>85</v>
      </c>
      <c r="I1" s="13" t="s">
        <v>86</v>
      </c>
      <c r="J1" s="13" t="s">
        <v>87</v>
      </c>
      <c r="O1" s="13"/>
      <c r="P1" s="13"/>
      <c r="Q1" s="13"/>
      <c r="R1" s="13"/>
    </row>
    <row r="2" spans="1:18" x14ac:dyDescent="0.2">
      <c r="A2" s="13" t="s">
        <v>89</v>
      </c>
      <c r="B2" s="27">
        <f>maleshare*C2+(1-maleshare)*D2</f>
        <v>0.94350000000000001</v>
      </c>
      <c r="C2" s="28">
        <v>0.90900000000000003</v>
      </c>
      <c r="D2" s="28">
        <v>0.97799999999999998</v>
      </c>
      <c r="E2" s="28">
        <f>maleshare*F2+(1-maleshare)*G2</f>
        <v>0.66449999999999998</v>
      </c>
      <c r="F2" s="28">
        <v>0.58799999999999997</v>
      </c>
      <c r="G2" s="28">
        <v>0.74099999999999999</v>
      </c>
      <c r="H2" s="27">
        <f>maleshare*I2+(1-maleshare)*J2</f>
        <v>0.49950000000000006</v>
      </c>
      <c r="I2" s="27">
        <v>0.442</v>
      </c>
      <c r="J2" s="27">
        <v>0.55700000000000005</v>
      </c>
      <c r="O2" s="20"/>
      <c r="P2" s="29"/>
      <c r="Q2" s="29"/>
      <c r="R2" s="29"/>
    </row>
    <row r="3" spans="1:18" x14ac:dyDescent="0.2">
      <c r="A3" s="13" t="s">
        <v>91</v>
      </c>
      <c r="B3" s="27">
        <f>maleshare*C3+(1-maleshare)*D3</f>
        <v>0.92249999999999999</v>
      </c>
      <c r="C3" s="28">
        <v>0.88900000000000001</v>
      </c>
      <c r="D3" s="28">
        <v>0.95599999999999996</v>
      </c>
      <c r="E3" s="28">
        <f>maleshare*F3+(1-maleshare)*G3</f>
        <v>0.435</v>
      </c>
      <c r="F3" s="28">
        <v>0.36099999999999999</v>
      </c>
      <c r="G3" s="28">
        <v>0.50900000000000001</v>
      </c>
      <c r="H3" s="27">
        <f>maleshare*I3+(1-maleshare)*J3</f>
        <v>0.32700000000000001</v>
      </c>
      <c r="I3" s="27">
        <v>0.27100000000000002</v>
      </c>
      <c r="J3" s="27">
        <v>0.38300000000000001</v>
      </c>
      <c r="O3" s="31"/>
      <c r="P3" s="29"/>
      <c r="Q3" s="29"/>
      <c r="R3" s="29"/>
    </row>
    <row r="4" spans="1:18" x14ac:dyDescent="0.2">
      <c r="A4" s="13" t="s">
        <v>93</v>
      </c>
      <c r="B4" s="27">
        <f>maleshare*C4+(1-maleshare)*D4</f>
        <v>0.78549999999999998</v>
      </c>
      <c r="C4" s="28">
        <v>0.75700000000000001</v>
      </c>
      <c r="D4" s="28">
        <v>0.81399999999999995</v>
      </c>
      <c r="E4" s="28">
        <f>maleshare*F4+(1-maleshare)*G4</f>
        <v>0.14199999999999999</v>
      </c>
      <c r="F4" s="28">
        <v>0.108</v>
      </c>
      <c r="G4" s="28">
        <v>0.17599999999999999</v>
      </c>
      <c r="H4" s="27">
        <f>maleshare*I4+(1-maleshare)*J4</f>
        <v>0.10650000000000001</v>
      </c>
      <c r="I4" s="27">
        <v>8.1000000000000003E-2</v>
      </c>
      <c r="J4" s="27">
        <v>0.13200000000000001</v>
      </c>
      <c r="O4" s="20"/>
      <c r="P4" s="29"/>
      <c r="Q4" s="29"/>
      <c r="R4" s="29"/>
    </row>
    <row r="5" spans="1:18" x14ac:dyDescent="0.2">
      <c r="A5" s="13" t="s">
        <v>92</v>
      </c>
      <c r="B5" s="27">
        <f>maleshare*C5+(1-maleshare)*D5</f>
        <v>0.59450000000000003</v>
      </c>
      <c r="C5" s="28">
        <v>0.57299999999999995</v>
      </c>
      <c r="D5" s="28">
        <v>0.61599999999999999</v>
      </c>
      <c r="E5" s="28">
        <f>maleshare*F5+(1-maleshare)*G5</f>
        <v>6.0999999999999999E-2</v>
      </c>
      <c r="F5" s="28">
        <v>4.4999999999999998E-2</v>
      </c>
      <c r="G5" s="28">
        <v>7.6999999999999999E-2</v>
      </c>
      <c r="H5" s="27">
        <f>maleshare*I5+(1-maleshare)*J5</f>
        <v>4.5999999999999999E-2</v>
      </c>
      <c r="I5" s="27">
        <v>3.4000000000000002E-2</v>
      </c>
      <c r="J5" s="27">
        <v>5.8000000000000003E-2</v>
      </c>
      <c r="O5" s="20"/>
      <c r="P5" s="29"/>
      <c r="Q5" s="29"/>
      <c r="R5" s="29"/>
    </row>
    <row r="6" spans="1:18" x14ac:dyDescent="0.2">
      <c r="A6" s="13"/>
      <c r="O6" s="20"/>
      <c r="P6" s="29"/>
      <c r="Q6" s="29"/>
      <c r="R6" s="29"/>
    </row>
    <row r="7" spans="1:18" x14ac:dyDescent="0.2">
      <c r="A7" s="13" t="s">
        <v>88</v>
      </c>
      <c r="O7" s="20"/>
      <c r="P7" s="29"/>
      <c r="Q7" s="29"/>
      <c r="R7" s="29"/>
    </row>
    <row r="8" spans="1:18" x14ac:dyDescent="0.2">
      <c r="O8" s="20"/>
      <c r="P8" s="29"/>
      <c r="Q8" s="29"/>
      <c r="R8" s="29"/>
    </row>
    <row r="9" spans="1:18" x14ac:dyDescent="0.2">
      <c r="O9" s="20"/>
      <c r="P9" s="29"/>
      <c r="Q9" s="29"/>
      <c r="R9" s="29"/>
    </row>
    <row r="10" spans="1:18" x14ac:dyDescent="0.2">
      <c r="A10" t="s">
        <v>3</v>
      </c>
      <c r="B10" s="13" t="s">
        <v>100</v>
      </c>
      <c r="C10" s="13" t="s">
        <v>101</v>
      </c>
      <c r="D10" s="13" t="s">
        <v>102</v>
      </c>
      <c r="E10" s="13" t="s">
        <v>103</v>
      </c>
      <c r="F10" s="13"/>
      <c r="G10" s="13"/>
      <c r="H10" s="13"/>
      <c r="I10" s="13"/>
      <c r="J10" s="13"/>
      <c r="K10" s="13"/>
      <c r="L10" s="13"/>
      <c r="M10" s="13"/>
      <c r="O10" s="20"/>
      <c r="P10" s="29"/>
      <c r="Q10" s="29"/>
      <c r="R10" s="29"/>
    </row>
    <row r="11" spans="1:18" x14ac:dyDescent="0.2">
      <c r="A11" s="2">
        <v>8</v>
      </c>
      <c r="B11" s="29">
        <v>1</v>
      </c>
      <c r="C11" s="29">
        <v>1</v>
      </c>
      <c r="D11" s="29">
        <v>1</v>
      </c>
      <c r="E11" s="29">
        <v>1</v>
      </c>
      <c r="F11" s="29"/>
      <c r="G11" s="29"/>
      <c r="H11" s="29"/>
      <c r="I11" s="29"/>
      <c r="J11" s="29"/>
      <c r="K11" s="29"/>
      <c r="L11" s="29"/>
      <c r="M11" s="29"/>
      <c r="O11" s="20"/>
      <c r="P11" s="29"/>
      <c r="Q11" s="29"/>
      <c r="R11" s="29"/>
    </row>
    <row r="12" spans="1:18" x14ac:dyDescent="0.2">
      <c r="A12" s="2">
        <v>9</v>
      </c>
      <c r="B12" s="29">
        <f>B2^0.25</f>
        <v>0.98556546287433633</v>
      </c>
      <c r="C12" s="29">
        <f>B3^0.25</f>
        <v>0.98003501754525446</v>
      </c>
      <c r="D12" s="29">
        <f>B4^0.25</f>
        <v>0.9414267782152892</v>
      </c>
      <c r="E12" s="29">
        <f>B5^0.25</f>
        <v>0.87808784358288972</v>
      </c>
      <c r="F12" s="29"/>
      <c r="G12" s="29"/>
      <c r="H12" s="29"/>
      <c r="I12" s="29"/>
      <c r="J12" s="29"/>
      <c r="K12" s="29"/>
      <c r="L12" s="29"/>
      <c r="M12" s="29"/>
      <c r="O12" s="20"/>
      <c r="P12" s="29"/>
      <c r="Q12" s="29"/>
      <c r="R12" s="29"/>
    </row>
    <row r="13" spans="1:18" x14ac:dyDescent="0.2">
      <c r="A13" s="2">
        <v>10</v>
      </c>
      <c r="B13" s="29">
        <f>B2^0.25</f>
        <v>0.98556546287433633</v>
      </c>
      <c r="C13" s="29">
        <f>B3^0.25</f>
        <v>0.98003501754525446</v>
      </c>
      <c r="D13" s="29">
        <f>B4^0.25</f>
        <v>0.9414267782152892</v>
      </c>
      <c r="E13" s="29">
        <f>B5^0.25</f>
        <v>0.87808784358288972</v>
      </c>
      <c r="F13" s="29"/>
      <c r="G13" s="29"/>
      <c r="H13" s="29"/>
      <c r="I13" s="29"/>
      <c r="J13" s="29"/>
      <c r="K13" s="29"/>
      <c r="L13" s="29"/>
      <c r="M13" s="29"/>
    </row>
    <row r="14" spans="1:18" x14ac:dyDescent="0.2">
      <c r="A14" s="2">
        <v>11</v>
      </c>
      <c r="B14" s="29">
        <f>B2^0.25</f>
        <v>0.98556546287433633</v>
      </c>
      <c r="C14" s="29">
        <f>B3^0.25</f>
        <v>0.98003501754525446</v>
      </c>
      <c r="D14" s="29">
        <f>B4^0.25</f>
        <v>0.9414267782152892</v>
      </c>
      <c r="E14" s="29">
        <f>B5^0.25</f>
        <v>0.87808784358288972</v>
      </c>
      <c r="F14" s="29"/>
      <c r="G14" s="29"/>
      <c r="H14" s="29"/>
      <c r="I14" s="29"/>
      <c r="J14" s="29"/>
      <c r="K14" s="29"/>
      <c r="L14" s="29"/>
      <c r="M14" s="29"/>
    </row>
    <row r="15" spans="1:18" x14ac:dyDescent="0.2">
      <c r="A15" s="2">
        <v>12</v>
      </c>
      <c r="B15" s="29">
        <f>B2^0.25</f>
        <v>0.98556546287433633</v>
      </c>
      <c r="C15" s="29">
        <f>B3^0.25</f>
        <v>0.98003501754525446</v>
      </c>
      <c r="D15" s="29">
        <f>B4^0.25</f>
        <v>0.9414267782152892</v>
      </c>
      <c r="E15" s="29">
        <f>B5^0.25</f>
        <v>0.87808784358288972</v>
      </c>
      <c r="F15" s="29"/>
      <c r="G15" s="29"/>
      <c r="H15" s="29"/>
      <c r="I15" s="29"/>
      <c r="J15" s="29"/>
      <c r="K15" s="29"/>
      <c r="L15" s="29"/>
      <c r="M15" s="29"/>
    </row>
    <row r="16" spans="1:18" x14ac:dyDescent="0.2">
      <c r="A16" s="2">
        <v>13</v>
      </c>
      <c r="B16" s="29">
        <f>E2^0.25</f>
        <v>0.90286693050399747</v>
      </c>
      <c r="C16" s="29">
        <f>E3^0.25</f>
        <v>0.81212394245807451</v>
      </c>
      <c r="D16" s="29">
        <f>E4^0.25</f>
        <v>0.61386388851954421</v>
      </c>
      <c r="E16" s="29">
        <f>E5^0.25</f>
        <v>0.49697261564855799</v>
      </c>
      <c r="F16" s="29"/>
      <c r="G16" s="29"/>
      <c r="H16" s="29"/>
      <c r="I16" s="29"/>
      <c r="J16" s="29"/>
      <c r="K16" s="29"/>
      <c r="L16" s="29"/>
      <c r="M16" s="29"/>
    </row>
    <row r="17" spans="1:13" x14ac:dyDescent="0.2">
      <c r="A17" s="2">
        <v>14</v>
      </c>
      <c r="B17" s="29">
        <f>E2^0.25</f>
        <v>0.90286693050399747</v>
      </c>
      <c r="C17" s="29">
        <f>E3^0.25</f>
        <v>0.81212394245807451</v>
      </c>
      <c r="D17" s="29">
        <f>E4^0.25</f>
        <v>0.61386388851954421</v>
      </c>
      <c r="E17" s="29">
        <f>E5^0.25</f>
        <v>0.49697261564855799</v>
      </c>
      <c r="F17" s="29"/>
      <c r="G17" s="29"/>
      <c r="H17" s="29"/>
      <c r="I17" s="29"/>
      <c r="J17" s="29"/>
      <c r="K17" s="29"/>
      <c r="L17" s="29"/>
      <c r="M17" s="29"/>
    </row>
    <row r="18" spans="1:13" x14ac:dyDescent="0.2">
      <c r="A18" s="2">
        <v>15</v>
      </c>
      <c r="B18" s="29">
        <f>E2^0.25</f>
        <v>0.90286693050399747</v>
      </c>
      <c r="C18" s="29">
        <f>E3^0.25</f>
        <v>0.81212394245807451</v>
      </c>
      <c r="D18" s="29">
        <f>E4^0.25</f>
        <v>0.61386388851954421</v>
      </c>
      <c r="E18" s="29">
        <f>E5^0.25</f>
        <v>0.49697261564855799</v>
      </c>
      <c r="F18" s="29"/>
      <c r="G18" s="29"/>
      <c r="H18" s="29"/>
      <c r="I18" s="29"/>
      <c r="J18" s="29"/>
      <c r="K18" s="29"/>
      <c r="L18" s="29"/>
      <c r="M18" s="29"/>
    </row>
    <row r="19" spans="1:13" x14ac:dyDescent="0.2">
      <c r="A19" s="2">
        <v>16</v>
      </c>
      <c r="B19" s="29">
        <f>E2^0.25</f>
        <v>0.90286693050399747</v>
      </c>
      <c r="C19" s="29">
        <f>E3^0.25</f>
        <v>0.81212394245807451</v>
      </c>
      <c r="D19" s="29">
        <f>E4^0.25</f>
        <v>0.61386388851954421</v>
      </c>
      <c r="E19" s="29">
        <f>E5^0.25</f>
        <v>0.49697261564855799</v>
      </c>
      <c r="F19" s="29"/>
      <c r="G19" s="29"/>
      <c r="H19" s="29"/>
      <c r="I19" s="29"/>
      <c r="J19" s="29"/>
      <c r="K19" s="29"/>
      <c r="L19" s="29"/>
      <c r="M19" s="29"/>
    </row>
    <row r="20" spans="1:13" x14ac:dyDescent="0.2">
      <c r="A20" s="2">
        <v>17</v>
      </c>
      <c r="B20" s="29">
        <f>H2^0.5</f>
        <v>0.7067531393633848</v>
      </c>
      <c r="C20" s="29">
        <f>H3^0.5</f>
        <v>0.5718391382198319</v>
      </c>
      <c r="D20" s="29">
        <f>H4^0.5</f>
        <v>0.3263433774416144</v>
      </c>
      <c r="E20" s="29">
        <f>H5^0.5</f>
        <v>0.21447610589527216</v>
      </c>
      <c r="F20" s="29"/>
      <c r="G20" s="29"/>
      <c r="H20" s="29"/>
      <c r="I20" s="29"/>
      <c r="J20" s="29"/>
      <c r="K20" s="29"/>
      <c r="L20" s="29"/>
      <c r="M20" s="29"/>
    </row>
    <row r="21" spans="1:13" x14ac:dyDescent="0.2">
      <c r="A21" s="2">
        <v>18</v>
      </c>
      <c r="B21" s="29">
        <f>H2^0.5</f>
        <v>0.7067531393633848</v>
      </c>
      <c r="C21" s="29">
        <f>H3^0.5</f>
        <v>0.5718391382198319</v>
      </c>
      <c r="D21" s="29">
        <f>H4^0.5</f>
        <v>0.3263433774416144</v>
      </c>
      <c r="E21" s="29">
        <f>H5^0.5</f>
        <v>0.21447610589527216</v>
      </c>
      <c r="F21" s="29"/>
      <c r="G21" s="29"/>
      <c r="H21" s="29"/>
      <c r="I21" s="29"/>
      <c r="J21" s="29"/>
      <c r="K21" s="29"/>
      <c r="L21" s="29"/>
      <c r="M21" s="2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6" sqref="B6"/>
    </sheetView>
  </sheetViews>
  <sheetFormatPr defaultRowHeight="12.75" x14ac:dyDescent="0.2"/>
  <sheetData>
    <row r="1" spans="1:9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9" x14ac:dyDescent="0.2">
      <c r="B2" s="1">
        <f>Meta!B12</f>
        <v>3324904.8480000002</v>
      </c>
      <c r="C2" s="1">
        <f>Meta!O12</f>
        <v>1363210.98768</v>
      </c>
      <c r="D2" s="38">
        <f>Meta!Y12</f>
        <v>2.7</v>
      </c>
      <c r="E2" s="6">
        <f>Meta!H12</f>
        <v>2.6591623873385348</v>
      </c>
      <c r="F2" s="6">
        <f>Meta!S12</f>
        <v>2.4621818662249306</v>
      </c>
      <c r="G2" s="6">
        <f>Meta!AE12</f>
        <v>0.47725855875398204</v>
      </c>
      <c r="H2" s="5">
        <f>Meta!AK12</f>
        <v>77.699999999999989</v>
      </c>
      <c r="I2" s="6">
        <f>Meta!AQ12</f>
        <v>1.291198617479427</v>
      </c>
    </row>
    <row r="4" spans="1:9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9" x14ac:dyDescent="0.2">
      <c r="A5" s="2">
        <v>8</v>
      </c>
      <c r="B5" s="1">
        <f>baseincome*Meta!H2/incomeindex</f>
        <v>1250357.956261477</v>
      </c>
      <c r="C5" s="1">
        <f>basebenefits*Meta!S2/benefitsindex</f>
        <v>553659.74641430692</v>
      </c>
      <c r="D5" s="6">
        <f>baseunemp*Meta!AE2/unempindex/100</f>
        <v>5.6573108024487E-2</v>
      </c>
      <c r="E5" s="6">
        <f>basepart*Meta!AQ2/partindex/100</f>
        <v>0.60176644358309195</v>
      </c>
      <c r="G5" s="1">
        <f t="shared" ref="G5:G15" si="0">B5+C5</f>
        <v>1804017.702675784</v>
      </c>
    </row>
    <row r="6" spans="1:9" x14ac:dyDescent="0.2">
      <c r="A6" s="2">
        <v>9</v>
      </c>
      <c r="B6" s="1">
        <f>baseincome*Meta!H3/incomeindex</f>
        <v>1322217.7449926017</v>
      </c>
      <c r="C6" s="1">
        <f>basebenefits*Meta!S3/benefitsindex</f>
        <v>585479.33757827512</v>
      </c>
      <c r="D6" s="6">
        <f>baseunemp*Meta!AE3/unempindex/100</f>
        <v>5.3817759143187781E-2</v>
      </c>
      <c r="E6" s="6">
        <f>basepart*Meta!AQ3/partindex/100</f>
        <v>0.61762634482514578</v>
      </c>
      <c r="G6" s="1">
        <f t="shared" si="0"/>
        <v>1907697.0825708769</v>
      </c>
      <c r="H6" s="1">
        <f>G6-G5</f>
        <v>103679.37989509292</v>
      </c>
    </row>
    <row r="7" spans="1:9" x14ac:dyDescent="0.2">
      <c r="A7" s="2">
        <v>10</v>
      </c>
      <c r="B7" s="1">
        <f>baseincome*Meta!H4/incomeindex</f>
        <v>1398207.4144595773</v>
      </c>
      <c r="C7" s="1">
        <f>basebenefits*Meta!S4/benefitsindex</f>
        <v>619127.64464293746</v>
      </c>
      <c r="D7" s="6">
        <f>baseunemp*Meta!AE4/unempindex/100</f>
        <v>5.1196607369362136E-2</v>
      </c>
      <c r="E7" s="6">
        <f>basepart*Meta!AQ4/partindex/100</f>
        <v>0.63390424289984115</v>
      </c>
      <c r="G7" s="1">
        <f t="shared" si="0"/>
        <v>2017335.0591025148</v>
      </c>
      <c r="H7" s="1">
        <f t="shared" ref="H7:H15" si="1">G7-G6</f>
        <v>109637.97653163783</v>
      </c>
    </row>
    <row r="8" spans="1:9" x14ac:dyDescent="0.2">
      <c r="A8" s="2">
        <v>11</v>
      </c>
      <c r="B8" s="1">
        <f>baseincome*Meta!H5/incomeindex</f>
        <v>1478564.3145794226</v>
      </c>
      <c r="C8" s="1">
        <f>basebenefits*Meta!S5/benefitsindex</f>
        <v>654709.76643964637</v>
      </c>
      <c r="D8" s="6">
        <f>baseunemp*Meta!AE5/unempindex/100</f>
        <v>4.8703116738081469E-2</v>
      </c>
      <c r="E8" s="6">
        <f>basepart*Meta!AQ5/partindex/100</f>
        <v>0.65061115435447125</v>
      </c>
      <c r="G8" s="1">
        <f t="shared" si="0"/>
        <v>2133274.0810190691</v>
      </c>
      <c r="H8" s="1">
        <f t="shared" si="1"/>
        <v>115939.02191655431</v>
      </c>
    </row>
    <row r="9" spans="1:9" x14ac:dyDescent="0.2">
      <c r="A9" s="2">
        <v>12</v>
      </c>
      <c r="B9" s="1">
        <f>baseincome*Meta!H6/incomeindex</f>
        <v>1767479.7277317585</v>
      </c>
      <c r="C9" s="1">
        <f>basebenefits*Meta!S6/benefitsindex</f>
        <v>782641.82325954642</v>
      </c>
      <c r="D9" s="6">
        <f>baseunemp*Meta!AE6/unempindex/100</f>
        <v>4.0638156514388048E-2</v>
      </c>
      <c r="E9" s="6">
        <f>basepart*Meta!AQ6/partindex/100</f>
        <v>0.70891174223411668</v>
      </c>
      <c r="G9" s="1">
        <f t="shared" si="0"/>
        <v>2550121.5509913052</v>
      </c>
      <c r="H9" s="1">
        <f t="shared" si="1"/>
        <v>416847.46997223608</v>
      </c>
    </row>
    <row r="10" spans="1:9" x14ac:dyDescent="0.2">
      <c r="A10" s="2">
        <v>13</v>
      </c>
      <c r="B10" s="1">
        <f>baseincome*Meta!H7/incomeindex</f>
        <v>1852576.8309532374</v>
      </c>
      <c r="C10" s="1">
        <f>basebenefits*Meta!S7/benefitsindex</f>
        <v>815733.07083775837</v>
      </c>
      <c r="D10" s="6">
        <f>baseunemp*Meta!AE7/unempindex/100</f>
        <v>3.9515560975035516E-2</v>
      </c>
      <c r="E10" s="6">
        <f>basepart*Meta!AQ7/partindex/100</f>
        <v>0.71577166517311452</v>
      </c>
      <c r="G10" s="1">
        <f t="shared" si="0"/>
        <v>2668309.9017909956</v>
      </c>
      <c r="H10" s="1">
        <f t="shared" si="1"/>
        <v>118188.35079969047</v>
      </c>
    </row>
    <row r="11" spans="1:9" x14ac:dyDescent="0.2">
      <c r="A11" s="2">
        <v>14</v>
      </c>
      <c r="B11" s="1">
        <f>baseincome*Meta!H8/incomeindex</f>
        <v>1941771.0204739629</v>
      </c>
      <c r="C11" s="1">
        <f>basebenefits*Meta!S8/benefitsindex</f>
        <v>850223.46504184534</v>
      </c>
      <c r="D11" s="6">
        <f>baseunemp*Meta!AE8/unempindex/100</f>
        <v>3.8423976211098637E-2</v>
      </c>
      <c r="E11" s="6">
        <f>basepart*Meta!AQ8/partindex/100</f>
        <v>0.72269796949631793</v>
      </c>
      <c r="G11" s="1">
        <f t="shared" si="0"/>
        <v>2791994.4855158082</v>
      </c>
      <c r="H11" s="1">
        <f t="shared" si="1"/>
        <v>123684.5837248126</v>
      </c>
    </row>
    <row r="12" spans="1:9" x14ac:dyDescent="0.2">
      <c r="A12" s="2">
        <v>15</v>
      </c>
      <c r="B12" s="1">
        <f>baseincome*Meta!H9/incomeindex</f>
        <v>2035259.5546671122</v>
      </c>
      <c r="C12" s="1">
        <f>basebenefits*Meta!S9/benefitsindex</f>
        <v>886172.16384933877</v>
      </c>
      <c r="D12" s="6">
        <f>baseunemp*Meta!AE9/unempindex/100</f>
        <v>3.7362545575496474E-2</v>
      </c>
      <c r="E12" s="6">
        <f>basepart*Meta!AQ9/partindex/100</f>
        <v>0.72969129755615658</v>
      </c>
      <c r="G12" s="1">
        <f t="shared" si="0"/>
        <v>2921431.7185164508</v>
      </c>
      <c r="H12" s="1">
        <f t="shared" si="1"/>
        <v>129437.23300064262</v>
      </c>
    </row>
    <row r="13" spans="1:9" x14ac:dyDescent="0.2">
      <c r="A13" s="2">
        <v>16</v>
      </c>
      <c r="B13" s="1">
        <f>baseincome*Meta!H10/incomeindex</f>
        <v>2691790.105435818</v>
      </c>
      <c r="C13" s="1">
        <f>basebenefits*Meta!S10/benefitsindex</f>
        <v>1137212.2037701204</v>
      </c>
      <c r="D13" s="6">
        <f>baseunemp*Meta!AE10/unempindex/100</f>
        <v>3.0447411991292427E-2</v>
      </c>
      <c r="E13" s="6">
        <f>basepart*Meta!AQ10/partindex/100</f>
        <v>0.77699999999999991</v>
      </c>
      <c r="G13" s="1">
        <f t="shared" si="0"/>
        <v>3829002.3092059381</v>
      </c>
      <c r="H13" s="1">
        <f t="shared" si="1"/>
        <v>907570.59068948729</v>
      </c>
    </row>
    <row r="14" spans="1:9" x14ac:dyDescent="0.2">
      <c r="A14" s="2">
        <v>17</v>
      </c>
      <c r="B14" s="1">
        <f>baseincome*Meta!H11/incomeindex</f>
        <v>2771936.4049411076</v>
      </c>
      <c r="C14" s="1">
        <f>basebenefits*Meta!S11/benefitsindex</f>
        <v>1165931.6023541137</v>
      </c>
      <c r="D14" s="6">
        <f>baseunemp*Meta!AE11/unempindex/100</f>
        <v>2.9993816224724634E-2</v>
      </c>
      <c r="E14" s="6">
        <f>basepart*Meta!AQ11/partindex/100</f>
        <v>0.77699999999999991</v>
      </c>
      <c r="G14" s="1">
        <f t="shared" si="0"/>
        <v>3937868.0072952211</v>
      </c>
      <c r="H14" s="1">
        <f t="shared" si="1"/>
        <v>108865.69808928296</v>
      </c>
    </row>
    <row r="15" spans="1:9" x14ac:dyDescent="0.2">
      <c r="A15" s="2">
        <v>18</v>
      </c>
      <c r="B15" s="1">
        <f>baseincome*Meta!H12/incomeindex</f>
        <v>3324904.8480000002</v>
      </c>
      <c r="C15" s="1">
        <f>basebenefits*Meta!S12/benefitsindex</f>
        <v>1363210.98768</v>
      </c>
      <c r="D15" s="6">
        <f>baseunemp*Meta!AE12/unempindex/100</f>
        <v>2.7000000000000003E-2</v>
      </c>
      <c r="E15" s="6">
        <f>basepart*Meta!AQ12/partindex/100</f>
        <v>0.77699999999999991</v>
      </c>
      <c r="G15" s="1">
        <f t="shared" si="0"/>
        <v>4688115.8356800005</v>
      </c>
      <c r="H15" s="1">
        <f t="shared" si="1"/>
        <v>750247.82838477939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5" sqref="B5"/>
    </sheetView>
  </sheetViews>
  <sheetFormatPr defaultRowHeight="12.75" x14ac:dyDescent="0.2"/>
  <sheetData>
    <row r="1" spans="1:9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9" x14ac:dyDescent="0.2">
      <c r="B2" s="1">
        <f>Meta!B10</f>
        <v>449507.88</v>
      </c>
      <c r="C2" s="1">
        <f>Meta!O10</f>
        <v>193288.3884</v>
      </c>
      <c r="D2" s="38">
        <f>Meta!Y10</f>
        <v>3.4</v>
      </c>
      <c r="E2" s="6">
        <f>Meta!H10</f>
        <v>2.1528155932915154</v>
      </c>
      <c r="F2" s="6">
        <f>Meta!S10</f>
        <v>2.0539911220476155</v>
      </c>
      <c r="G2" s="6">
        <f>Meta!AE10</f>
        <v>0.53819585054640484</v>
      </c>
      <c r="H2" s="5">
        <f>Meta!AK10</f>
        <v>77.699999999999989</v>
      </c>
      <c r="I2" s="6">
        <f>Meta!AQ10</f>
        <v>1.291198617479427</v>
      </c>
    </row>
    <row r="4" spans="1:9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9" x14ac:dyDescent="0.2">
      <c r="A5" s="2">
        <v>8</v>
      </c>
      <c r="B5" s="1">
        <f>baseincome*Meta!H2/incomeindex</f>
        <v>208799.99262395327</v>
      </c>
      <c r="C5" s="1">
        <f>basebenefits*Meta!S2/benefitsindex</f>
        <v>94103.809079423663</v>
      </c>
      <c r="D5" s="6">
        <f>baseunemp*Meta!AE2/unempindex/100</f>
        <v>6.3174028498141341E-2</v>
      </c>
      <c r="E5" s="6">
        <f>basepart*Meta!AQ2/partindex/100</f>
        <v>0.60176644358309195</v>
      </c>
      <c r="G5" s="1">
        <f t="shared" ref="G5:G15" si="0">B5+C5</f>
        <v>302903.80170337693</v>
      </c>
    </row>
    <row r="6" spans="1:9" x14ac:dyDescent="0.2">
      <c r="A6" s="2">
        <v>9</v>
      </c>
      <c r="B6" s="1">
        <f>baseincome*Meta!H3/incomeindex</f>
        <v>220800.01492307158</v>
      </c>
      <c r="C6" s="1">
        <f>basebenefits*Meta!S3/benefitsindex</f>
        <v>99512.085103230347</v>
      </c>
      <c r="D6" s="6">
        <f>baseunemp*Meta!AE3/unempindex/100</f>
        <v>6.0097186959327954E-2</v>
      </c>
      <c r="E6" s="6">
        <f>basepart*Meta!AQ3/partindex/100</f>
        <v>0.61762634482514578</v>
      </c>
      <c r="G6" s="1">
        <f t="shared" si="0"/>
        <v>320312.10002630192</v>
      </c>
      <c r="H6" s="1">
        <f>G6-G5</f>
        <v>17408.298322924995</v>
      </c>
    </row>
    <row r="7" spans="1:9" x14ac:dyDescent="0.2">
      <c r="A7" s="2">
        <v>10</v>
      </c>
      <c r="B7" s="1">
        <f>baseincome*Meta!H4/incomeindex</f>
        <v>233489.69498208587</v>
      </c>
      <c r="C7" s="1">
        <f>basebenefits*Meta!S4/benefitsindex</f>
        <v>105231.18222807233</v>
      </c>
      <c r="D7" s="6">
        <f>baseunemp*Meta!AE4/unempindex/100</f>
        <v>5.717020057586919E-2</v>
      </c>
      <c r="E7" s="6">
        <f>basepart*Meta!AQ4/partindex/100</f>
        <v>0.63390424289984115</v>
      </c>
      <c r="G7" s="1">
        <f t="shared" si="0"/>
        <v>338720.87721015821</v>
      </c>
      <c r="H7" s="1">
        <f t="shared" ref="H7:H15" si="1">G7-G6</f>
        <v>18408.777183856291</v>
      </c>
    </row>
    <row r="8" spans="1:9" x14ac:dyDescent="0.2">
      <c r="A8" s="2">
        <v>11</v>
      </c>
      <c r="B8" s="1">
        <f>baseincome*Meta!H5/incomeindex</f>
        <v>246908.66837949169</v>
      </c>
      <c r="C8" s="1">
        <f>basebenefits*Meta!S5/benefitsindex</f>
        <v>111278.96377239405</v>
      </c>
      <c r="D8" s="6">
        <f>baseunemp*Meta!AE5/unempindex/100</f>
        <v>5.4385770769888042E-2</v>
      </c>
      <c r="E8" s="6">
        <f>basepart*Meta!AQ5/partindex/100</f>
        <v>0.65061115435447125</v>
      </c>
      <c r="G8" s="1">
        <f t="shared" si="0"/>
        <v>358187.63215188577</v>
      </c>
      <c r="H8" s="1">
        <f t="shared" si="1"/>
        <v>19466.754941727559</v>
      </c>
    </row>
    <row r="9" spans="1:9" x14ac:dyDescent="0.2">
      <c r="A9" s="2">
        <v>12</v>
      </c>
      <c r="B9" s="1">
        <f>baseincome*Meta!H6/incomeindex</f>
        <v>295155.28114590724</v>
      </c>
      <c r="C9" s="1">
        <f>basebenefits*Meta!S6/benefitsindex</f>
        <v>133023.17387270552</v>
      </c>
      <c r="D9" s="6">
        <f>baseunemp*Meta!AE6/unempindex/100</f>
        <v>4.5379795231343209E-2</v>
      </c>
      <c r="E9" s="6">
        <f>basepart*Meta!AQ6/partindex/100</f>
        <v>0.70891174223411668</v>
      </c>
      <c r="G9" s="1">
        <f t="shared" si="0"/>
        <v>428178.45501861279</v>
      </c>
      <c r="H9" s="1">
        <f t="shared" si="1"/>
        <v>69990.822866727016</v>
      </c>
    </row>
    <row r="10" spans="1:9" x14ac:dyDescent="0.2">
      <c r="A10" s="2">
        <v>13</v>
      </c>
      <c r="B10" s="1">
        <f>baseincome*Meta!H7/incomeindex</f>
        <v>309365.83136153588</v>
      </c>
      <c r="C10" s="1">
        <f>basebenefits*Meta!S7/benefitsindex</f>
        <v>138647.58934532641</v>
      </c>
      <c r="D10" s="6">
        <f>baseunemp*Meta!AE7/unempindex/100</f>
        <v>4.4126215835205956E-2</v>
      </c>
      <c r="E10" s="6">
        <f>basepart*Meta!AQ7/partindex/100</f>
        <v>0.71577166517311452</v>
      </c>
      <c r="G10" s="1">
        <f t="shared" si="0"/>
        <v>448013.42070686229</v>
      </c>
      <c r="H10" s="1">
        <f t="shared" si="1"/>
        <v>19834.965688249504</v>
      </c>
    </row>
    <row r="11" spans="1:9" x14ac:dyDescent="0.2">
      <c r="A11" s="2">
        <v>14</v>
      </c>
      <c r="B11" s="1">
        <f>baseincome*Meta!H8/incomeindex</f>
        <v>324260.56292281713</v>
      </c>
      <c r="C11" s="1">
        <f>basebenefits*Meta!S8/benefitsindex</f>
        <v>144509.81337782223</v>
      </c>
      <c r="D11" s="6">
        <f>baseunemp*Meta!AE8/unempindex/100</f>
        <v>4.2907265535440976E-2</v>
      </c>
      <c r="E11" s="6">
        <f>basepart*Meta!AQ8/partindex/100</f>
        <v>0.72269796949631793</v>
      </c>
      <c r="G11" s="1">
        <f t="shared" si="0"/>
        <v>468770.37630063936</v>
      </c>
      <c r="H11" s="1">
        <f t="shared" si="1"/>
        <v>20756.955593777064</v>
      </c>
    </row>
    <row r="12" spans="1:9" x14ac:dyDescent="0.2">
      <c r="A12" s="2">
        <v>15</v>
      </c>
      <c r="B12" s="1">
        <f>baseincome*Meta!H9/incomeindex</f>
        <v>339872.41643420601</v>
      </c>
      <c r="C12" s="1">
        <f>basebenefits*Meta!S9/benefitsindex</f>
        <v>150619.90086592833</v>
      </c>
      <c r="D12" s="6">
        <f>baseunemp*Meta!AE9/unempindex/100</f>
        <v>4.1721987731836697E-2</v>
      </c>
      <c r="E12" s="6">
        <f>basepart*Meta!AQ9/partindex/100</f>
        <v>0.72969129755615658</v>
      </c>
      <c r="G12" s="1">
        <f t="shared" si="0"/>
        <v>490492.31730013434</v>
      </c>
      <c r="H12" s="1">
        <f t="shared" si="1"/>
        <v>21721.940999494982</v>
      </c>
    </row>
    <row r="13" spans="1:9" x14ac:dyDescent="0.2">
      <c r="A13" s="2">
        <v>16</v>
      </c>
      <c r="B13" s="1">
        <f>baseincome*Meta!H10/incomeindex</f>
        <v>449507.88</v>
      </c>
      <c r="C13" s="1">
        <f>basebenefits*Meta!S10/benefitsindex</f>
        <v>193288.3884</v>
      </c>
      <c r="D13" s="6">
        <f>baseunemp*Meta!AE10/unempindex/100</f>
        <v>3.4000000000000002E-2</v>
      </c>
      <c r="E13" s="6">
        <f>basepart*Meta!AQ10/partindex/100</f>
        <v>0.77699999999999991</v>
      </c>
      <c r="G13" s="1">
        <f t="shared" si="0"/>
        <v>642796.26839999994</v>
      </c>
      <c r="H13" s="1">
        <f t="shared" si="1"/>
        <v>152303.9510998656</v>
      </c>
    </row>
    <row r="14" spans="1:9" x14ac:dyDescent="0.2">
      <c r="A14" s="2">
        <v>17</v>
      </c>
      <c r="B14" s="1">
        <f>baseincome*Meta!H11/incomeindex</f>
        <v>462891.68474306521</v>
      </c>
      <c r="C14" s="1">
        <f>basebenefits*Meta!S11/benefitsindex</f>
        <v>198169.73442294454</v>
      </c>
      <c r="D14" s="6">
        <f>baseunemp*Meta!AE11/unempindex/100</f>
        <v>3.3493478918086191E-2</v>
      </c>
      <c r="E14" s="6">
        <f>basepart*Meta!AQ11/partindex/100</f>
        <v>0.77699999999999991</v>
      </c>
      <c r="G14" s="1">
        <f t="shared" si="0"/>
        <v>661061.41916600976</v>
      </c>
      <c r="H14" s="1">
        <f t="shared" si="1"/>
        <v>18265.150766009814</v>
      </c>
    </row>
    <row r="15" spans="1:9" x14ac:dyDescent="0.2">
      <c r="A15" s="2">
        <v>18</v>
      </c>
      <c r="B15" s="1">
        <f>baseincome*Meta!H12/incomeindex</f>
        <v>555233.08686218003</v>
      </c>
      <c r="C15" s="1">
        <f>basebenefits*Meta!S12/benefitsindex</f>
        <v>231700.69225804994</v>
      </c>
      <c r="D15" s="6">
        <f>baseunemp*Meta!AE12/unempindex/100</f>
        <v>3.0150345791705929E-2</v>
      </c>
      <c r="E15" s="6">
        <f>basepart*Meta!AQ12/partindex/100</f>
        <v>0.77699999999999991</v>
      </c>
      <c r="G15" s="1">
        <f t="shared" si="0"/>
        <v>786933.77912023</v>
      </c>
      <c r="H15" s="1">
        <f t="shared" si="1"/>
        <v>125872.35995422024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5" sqref="B5"/>
    </sheetView>
  </sheetViews>
  <sheetFormatPr defaultRowHeight="12.75" x14ac:dyDescent="0.2"/>
  <sheetData>
    <row r="1" spans="1:9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9" x14ac:dyDescent="0.2">
      <c r="B2" s="1">
        <f>Meta!B6</f>
        <v>63412.47</v>
      </c>
      <c r="C2" s="1">
        <f>Meta!O6</f>
        <v>29169.736200000003</v>
      </c>
      <c r="D2" s="38">
        <f>Meta!Y6</f>
        <v>6.25</v>
      </c>
      <c r="E2" s="6">
        <f>Meta!H6</f>
        <v>1.4135789826270682</v>
      </c>
      <c r="F2" s="6">
        <f>Meta!S6</f>
        <v>1.413579058850146</v>
      </c>
      <c r="G2" s="6">
        <f>Meta!AE6</f>
        <v>0.7183299262398366</v>
      </c>
      <c r="H2" s="5">
        <f>Meta!AK6</f>
        <v>66.150000000000006</v>
      </c>
      <c r="I2" s="6">
        <f>Meta!AQ6</f>
        <v>1.1780513017858734</v>
      </c>
    </row>
    <row r="4" spans="1:9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9" x14ac:dyDescent="0.2">
      <c r="A5" s="2">
        <v>8</v>
      </c>
      <c r="B5" s="1">
        <f>baseincome*Meta!H2/incomeindex</f>
        <v>44859.516715614285</v>
      </c>
      <c r="C5" s="1">
        <f>basebenefits*Meta!S2/benefitsindex</f>
        <v>20635.376576480747</v>
      </c>
      <c r="D5" s="6">
        <f>baseunemp*Meta!AE2/unempindex/100</f>
        <v>8.7007373237478702E-2</v>
      </c>
      <c r="E5" s="6">
        <f>basepart*Meta!AQ2/partindex/100</f>
        <v>0.56152053734603535</v>
      </c>
      <c r="G5" s="1">
        <f t="shared" ref="G5:G15" si="0">B5+C5</f>
        <v>65494.893292095032</v>
      </c>
    </row>
    <row r="6" spans="1:9" x14ac:dyDescent="0.2">
      <c r="A6" s="2">
        <v>9</v>
      </c>
      <c r="B6" s="1">
        <f>baseincome*Meta!H3/incomeindex</f>
        <v>47437.654742106177</v>
      </c>
      <c r="C6" s="1">
        <f>basebenefits*Meta!S3/benefitsindex</f>
        <v>21821.320200575821</v>
      </c>
      <c r="D6" s="6">
        <f>baseunemp*Meta!AE3/unempindex/100</f>
        <v>8.2769747324988541E-2</v>
      </c>
      <c r="E6" s="6">
        <f>basepart*Meta!AQ3/partindex/100</f>
        <v>0.57631973454730545</v>
      </c>
      <c r="G6" s="1">
        <f t="shared" si="0"/>
        <v>69258.974942681991</v>
      </c>
      <c r="H6" s="1">
        <f>G6-G5</f>
        <v>3764.0816505869589</v>
      </c>
    </row>
    <row r="7" spans="1:9" x14ac:dyDescent="0.2">
      <c r="A7" s="2">
        <v>10</v>
      </c>
      <c r="B7" s="1">
        <f>baseincome*Meta!H4/incomeindex</f>
        <v>50163.961901265749</v>
      </c>
      <c r="C7" s="1">
        <f>basebenefits*Meta!S4/benefitsindex</f>
        <v>23075.421644535199</v>
      </c>
      <c r="D7" s="6">
        <f>baseunemp*Meta!AE4/unempindex/100</f>
        <v>7.8738511660887966E-2</v>
      </c>
      <c r="E7" s="6">
        <f>basepart*Meta!AQ4/partindex/100</f>
        <v>0.59150897311524964</v>
      </c>
      <c r="G7" s="1">
        <f t="shared" si="0"/>
        <v>73239.383545800956</v>
      </c>
      <c r="H7" s="1">
        <f t="shared" ref="H7:H15" si="1">G7-G6</f>
        <v>3980.4086031189654</v>
      </c>
    </row>
    <row r="8" spans="1:9" x14ac:dyDescent="0.2">
      <c r="A8" s="2">
        <v>11</v>
      </c>
      <c r="B8" s="1">
        <f>baseincome*Meta!H5/incomeindex</f>
        <v>53046.953676612458</v>
      </c>
      <c r="C8" s="1">
        <f>basebenefits*Meta!S5/benefitsindex</f>
        <v>24401.598032507336</v>
      </c>
      <c r="D8" s="6">
        <f>baseunemp*Meta!AE5/unempindex/100</f>
        <v>7.4903614169908886E-2</v>
      </c>
      <c r="E8" s="6">
        <f>basepart*Meta!AQ5/partindex/100</f>
        <v>0.60709853281475312</v>
      </c>
      <c r="G8" s="1">
        <f t="shared" si="0"/>
        <v>77448.551709119798</v>
      </c>
      <c r="H8" s="1">
        <f t="shared" si="1"/>
        <v>4209.1681633188418</v>
      </c>
    </row>
    <row r="9" spans="1:9" x14ac:dyDescent="0.2">
      <c r="A9" s="2">
        <v>12</v>
      </c>
      <c r="B9" s="1">
        <f>baseincome*Meta!H6/incomeindex</f>
        <v>63412.47</v>
      </c>
      <c r="C9" s="1">
        <f>basebenefits*Meta!S6/benefitsindex</f>
        <v>29169.736199999999</v>
      </c>
      <c r="D9" s="6">
        <f>baseunemp*Meta!AE6/unempindex/100</f>
        <v>6.25E-2</v>
      </c>
      <c r="E9" s="6">
        <f>basepart*Meta!AQ6/partindex/100</f>
        <v>0.66150000000000009</v>
      </c>
      <c r="G9" s="1">
        <f t="shared" si="0"/>
        <v>92582.206200000001</v>
      </c>
      <c r="H9" s="1">
        <f t="shared" si="1"/>
        <v>15133.654490880203</v>
      </c>
    </row>
    <row r="10" spans="1:9" x14ac:dyDescent="0.2">
      <c r="A10" s="2">
        <v>13</v>
      </c>
      <c r="B10" s="1">
        <f>baseincome*Meta!H7/incomeindex</f>
        <v>66465.527650649266</v>
      </c>
      <c r="C10" s="1">
        <f>basebenefits*Meta!S7/benefitsindex</f>
        <v>30403.075556137654</v>
      </c>
      <c r="D10" s="6">
        <f>baseunemp*Meta!AE7/unempindex/100</f>
        <v>6.0773489074616542E-2</v>
      </c>
      <c r="E10" s="6">
        <f>basepart*Meta!AQ7/partindex/100</f>
        <v>0.66790113395476591</v>
      </c>
      <c r="G10" s="1">
        <f t="shared" si="0"/>
        <v>96868.603206786924</v>
      </c>
      <c r="H10" s="1">
        <f t="shared" si="1"/>
        <v>4286.3970067869232</v>
      </c>
    </row>
    <row r="11" spans="1:9" x14ac:dyDescent="0.2">
      <c r="A11" s="2">
        <v>14</v>
      </c>
      <c r="B11" s="1">
        <f>baseincome*Meta!H8/incomeindex</f>
        <v>69665.577856835109</v>
      </c>
      <c r="C11" s="1">
        <f>basebenefits*Meta!S8/benefitsindex</f>
        <v>31688.562314533887</v>
      </c>
      <c r="D11" s="6">
        <f>baseunemp*Meta!AE8/unempindex/100</f>
        <v>5.9094671588840603E-2</v>
      </c>
      <c r="E11" s="6">
        <f>basepart*Meta!AQ8/partindex/100</f>
        <v>0.67436420973252043</v>
      </c>
      <c r="G11" s="1">
        <f t="shared" si="0"/>
        <v>101354.140171369</v>
      </c>
      <c r="H11" s="1">
        <f t="shared" si="1"/>
        <v>4485.5369645820756</v>
      </c>
    </row>
    <row r="12" spans="1:9" x14ac:dyDescent="0.2">
      <c r="A12" s="2">
        <v>15</v>
      </c>
      <c r="B12" s="1">
        <f>baseincome*Meta!H9/incomeindex</f>
        <v>73019.6977241532</v>
      </c>
      <c r="C12" s="1">
        <f>basebenefits*Meta!S9/benefitsindex</f>
        <v>33028.401344066668</v>
      </c>
      <c r="D12" s="6">
        <f>baseunemp*Meta!AE9/unempindex/100</f>
        <v>5.7462230050759303E-2</v>
      </c>
      <c r="E12" s="6">
        <f>basepart*Meta!AQ9/partindex/100</f>
        <v>0.68088982672541187</v>
      </c>
      <c r="G12" s="1">
        <f t="shared" si="0"/>
        <v>106048.09906821986</v>
      </c>
      <c r="H12" s="1">
        <f t="shared" si="1"/>
        <v>4693.9588968508615</v>
      </c>
    </row>
    <row r="13" spans="1:9" x14ac:dyDescent="0.2">
      <c r="A13" s="2">
        <v>16</v>
      </c>
      <c r="B13" s="1">
        <f>baseincome*Meta!H10/incomeindex</f>
        <v>96574.267092895825</v>
      </c>
      <c r="C13" s="1">
        <f>basebenefits*Meta!S10/benefitsindex</f>
        <v>42384.880288200773</v>
      </c>
      <c r="D13" s="6">
        <f>baseunemp*Meta!AE10/unempindex/100</f>
        <v>4.6827007243353341E-2</v>
      </c>
      <c r="E13" s="6">
        <f>basepart*Meta!AQ10/partindex/100</f>
        <v>0.72503454150750568</v>
      </c>
      <c r="G13" s="1">
        <f t="shared" si="0"/>
        <v>138959.14738109661</v>
      </c>
      <c r="H13" s="1">
        <f t="shared" si="1"/>
        <v>32911.048312876752</v>
      </c>
    </row>
    <row r="14" spans="1:9" x14ac:dyDescent="0.2">
      <c r="A14" s="2">
        <v>17</v>
      </c>
      <c r="B14" s="1">
        <f>baseincome*Meta!H11/incomeindex</f>
        <v>99449.703078525141</v>
      </c>
      <c r="C14" s="1">
        <f>basebenefits*Meta!S11/benefitsindex</f>
        <v>43455.27705926614</v>
      </c>
      <c r="D14" s="6">
        <f>baseunemp*Meta!AE11/unempindex/100</f>
        <v>4.6129393526538963E-2</v>
      </c>
      <c r="E14" s="6">
        <f>basepart*Meta!AQ11/partindex/100</f>
        <v>0.72503454150750568</v>
      </c>
      <c r="G14" s="1">
        <f t="shared" si="0"/>
        <v>142904.98013779128</v>
      </c>
      <c r="H14" s="1">
        <f t="shared" si="1"/>
        <v>3945.8327566946682</v>
      </c>
    </row>
    <row r="15" spans="1:9" x14ac:dyDescent="0.2">
      <c r="A15" s="2">
        <v>18</v>
      </c>
      <c r="B15" s="1">
        <f>baseincome*Meta!H12/incomeindex</f>
        <v>119288.73956434579</v>
      </c>
      <c r="C15" s="1">
        <f>basebenefits*Meta!S12/benefitsindex</f>
        <v>50808.050009333587</v>
      </c>
      <c r="D15" s="6">
        <f>baseunemp*Meta!AE12/unempindex/100</f>
        <v>4.152501355228886E-2</v>
      </c>
      <c r="E15" s="6">
        <f>basepart*Meta!AQ12/partindex/100</f>
        <v>0.72503454150750568</v>
      </c>
      <c r="G15" s="1">
        <f t="shared" si="0"/>
        <v>170096.78957367939</v>
      </c>
      <c r="H15" s="1">
        <f t="shared" si="1"/>
        <v>27191.809435888106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B5" sqref="B5"/>
    </sheetView>
  </sheetViews>
  <sheetFormatPr defaultRowHeight="12.75" x14ac:dyDescent="0.2"/>
  <sheetData>
    <row r="1" spans="1:10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10" x14ac:dyDescent="0.2">
      <c r="B2" s="1">
        <f>Meta!B4</f>
        <v>29093</v>
      </c>
      <c r="C2" s="1">
        <f>Meta!O4</f>
        <v>13382.78</v>
      </c>
      <c r="D2" s="38">
        <f>Meta!Y4</f>
        <v>10</v>
      </c>
      <c r="E2" s="6">
        <f>Meta!H4</f>
        <v>1.1182457051260462</v>
      </c>
      <c r="F2" s="6">
        <f>Meta!S4</f>
        <v>1.1182457251996798</v>
      </c>
      <c r="G2" s="6">
        <f>Meta!AE4</f>
        <v>0.90496366837760256</v>
      </c>
      <c r="H2" s="5">
        <f>Meta!AK4</f>
        <v>54.449999999999996</v>
      </c>
      <c r="I2" s="6">
        <f>Meta!AQ4</f>
        <v>1.0534057683997655</v>
      </c>
      <c r="J2" s="19"/>
    </row>
    <row r="4" spans="1:10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10" x14ac:dyDescent="0.2">
      <c r="A5" s="2">
        <v>8</v>
      </c>
      <c r="B5" s="1">
        <f>baseincome*Meta!H2/incomeindex</f>
        <v>26016.643629067821</v>
      </c>
      <c r="C5" s="1">
        <f>basebenefits*Meta!S2/benefitsindex</f>
        <v>11967.655854539755</v>
      </c>
      <c r="D5" s="6">
        <f>baseunemp*Meta!AE2/unempindex/100</f>
        <v>0.11050167370727448</v>
      </c>
      <c r="E5" s="6">
        <f>basepart*Meta!AQ2/partindex/100</f>
        <v>0.51689483419779725</v>
      </c>
      <c r="G5" s="1">
        <f t="shared" ref="G5:G15" si="0">B5+C5</f>
        <v>37984.299483607574</v>
      </c>
    </row>
    <row r="6" spans="1:10" x14ac:dyDescent="0.2">
      <c r="A6" s="2">
        <v>9</v>
      </c>
      <c r="B6" s="1">
        <f>baseincome*Meta!H3/incomeindex</f>
        <v>27511.855864344558</v>
      </c>
      <c r="C6" s="1">
        <f>basebenefits*Meta!S3/benefitsindex</f>
        <v>12655.453584009445</v>
      </c>
      <c r="D6" s="6">
        <f>baseunemp*Meta!AE3/unempindex/100</f>
        <v>0.10511977630649452</v>
      </c>
      <c r="E6" s="6">
        <f>basepart*Meta!AQ3/partindex/100</f>
        <v>0.5305178952878975</v>
      </c>
      <c r="G6" s="1">
        <f t="shared" si="0"/>
        <v>40167.309448354004</v>
      </c>
      <c r="H6" s="1">
        <f>G6-G5</f>
        <v>2183.0099647464303</v>
      </c>
    </row>
    <row r="7" spans="1:10" x14ac:dyDescent="0.2">
      <c r="A7" s="2">
        <v>10</v>
      </c>
      <c r="B7" s="1">
        <f>baseincome*Meta!H4/incomeindex</f>
        <v>29093</v>
      </c>
      <c r="C7" s="1">
        <f>basebenefits*Meta!S4/benefitsindex</f>
        <v>13382.78</v>
      </c>
      <c r="D7" s="6">
        <f>baseunemp*Meta!AE4/unempindex/100</f>
        <v>0.1</v>
      </c>
      <c r="E7" s="6">
        <f>basepart*Meta!AQ4/partindex/100</f>
        <v>0.54449999999999998</v>
      </c>
      <c r="G7" s="1">
        <f t="shared" si="0"/>
        <v>42475.78</v>
      </c>
      <c r="H7" s="1">
        <f t="shared" ref="H7:H15" si="1">G7-G6</f>
        <v>2308.4705516459944</v>
      </c>
    </row>
    <row r="8" spans="1:10" x14ac:dyDescent="0.2">
      <c r="A8" s="2">
        <v>11</v>
      </c>
      <c r="B8" s="1">
        <f>baseincome*Meta!H5/incomeindex</f>
        <v>30765.014660350127</v>
      </c>
      <c r="C8" s="1">
        <f>basebenefits*Meta!S5/benefitsindex</f>
        <v>14151.906870781528</v>
      </c>
      <c r="D8" s="6">
        <f>baseunemp*Meta!AE5/unempindex/100</f>
        <v>9.5129578385358279E-2</v>
      </c>
      <c r="E8" s="6">
        <f>basepart*Meta!AQ5/partindex/100</f>
        <v>0.55885061113557399</v>
      </c>
      <c r="G8" s="1">
        <f t="shared" si="0"/>
        <v>44916.921531131651</v>
      </c>
      <c r="H8" s="1">
        <f t="shared" si="1"/>
        <v>2441.1415311316523</v>
      </c>
    </row>
    <row r="9" spans="1:10" x14ac:dyDescent="0.2">
      <c r="A9" s="2">
        <v>12</v>
      </c>
      <c r="B9" s="1">
        <f>baseincome*Meta!H6/incomeindex</f>
        <v>36776.580632548685</v>
      </c>
      <c r="C9" s="1">
        <f>basebenefits*Meta!S6/benefitsindex</f>
        <v>16917.227699502746</v>
      </c>
      <c r="D9" s="6">
        <f>baseunemp*Meta!AE6/unempindex/100</f>
        <v>7.937665912352497E-2</v>
      </c>
      <c r="E9" s="6">
        <f>basepart*Meta!AQ6/partindex/100</f>
        <v>0.60892863231310812</v>
      </c>
      <c r="G9" s="1">
        <f t="shared" si="0"/>
        <v>53693.808332051427</v>
      </c>
      <c r="H9" s="1">
        <f t="shared" si="1"/>
        <v>8776.8868009197759</v>
      </c>
    </row>
    <row r="10" spans="1:10" x14ac:dyDescent="0.2">
      <c r="A10" s="2">
        <v>13</v>
      </c>
      <c r="B10" s="1">
        <f>baseincome*Meta!H7/incomeindex</f>
        <v>38547.226388263953</v>
      </c>
      <c r="C10" s="1">
        <f>basebenefits*Meta!S7/benefitsindex</f>
        <v>17632.512972413057</v>
      </c>
      <c r="D10" s="6">
        <f>baseunemp*Meta!AE7/unempindex/100</f>
        <v>7.7183944416369721E-2</v>
      </c>
      <c r="E10" s="6">
        <f>basepart*Meta!AQ7/partindex/100</f>
        <v>0.61482104916016578</v>
      </c>
      <c r="G10" s="1">
        <f t="shared" si="0"/>
        <v>56179.739360677006</v>
      </c>
      <c r="H10" s="1">
        <f t="shared" si="1"/>
        <v>2485.9310286255786</v>
      </c>
    </row>
    <row r="11" spans="1:10" x14ac:dyDescent="0.2">
      <c r="A11" s="2">
        <v>14</v>
      </c>
      <c r="B11" s="1">
        <f>baseincome*Meta!H8/incomeindex</f>
        <v>40403.12167882744</v>
      </c>
      <c r="C11" s="1">
        <f>basebenefits*Meta!S8/benefitsindex</f>
        <v>18378.041558869205</v>
      </c>
      <c r="D11" s="6">
        <f>baseunemp*Meta!AE8/unempindex/100</f>
        <v>7.5051801643584881E-2</v>
      </c>
      <c r="E11" s="6">
        <f>basepart*Meta!AQ8/partindex/100</f>
        <v>0.62077048512975608</v>
      </c>
      <c r="G11" s="1">
        <f t="shared" si="0"/>
        <v>58781.163237696645</v>
      </c>
      <c r="H11" s="1">
        <f t="shared" si="1"/>
        <v>2601.4238770196389</v>
      </c>
    </row>
    <row r="12" spans="1:10" x14ac:dyDescent="0.2">
      <c r="A12" s="2">
        <v>15</v>
      </c>
      <c r="B12" s="1">
        <f>baseincome*Meta!H9/incomeindex</f>
        <v>42348.370929513578</v>
      </c>
      <c r="C12" s="1">
        <f>basebenefits*Meta!S9/benefitsindex</f>
        <v>19155.092190656775</v>
      </c>
      <c r="D12" s="6">
        <f>baseunemp*Meta!AE9/unempindex/100</f>
        <v>7.2978557555467116E-2</v>
      </c>
      <c r="E12" s="6">
        <f>basepart*Meta!AQ9/partindex/100</f>
        <v>0.62677749197855515</v>
      </c>
      <c r="G12" s="1">
        <f t="shared" si="0"/>
        <v>61503.463120170352</v>
      </c>
      <c r="H12" s="1">
        <f t="shared" si="1"/>
        <v>2722.2998824737078</v>
      </c>
    </row>
    <row r="13" spans="1:10" x14ac:dyDescent="0.2">
      <c r="A13" s="2">
        <v>16</v>
      </c>
      <c r="B13" s="1">
        <f>baseincome*Meta!H10/incomeindex</f>
        <v>56009.036089765563</v>
      </c>
      <c r="C13" s="1">
        <f>basebenefits*Meta!S10/benefitsindex</f>
        <v>24581.458876945821</v>
      </c>
      <c r="D13" s="6">
        <f>baseunemp*Meta!AE10/unempindex/100</f>
        <v>5.9471542267687895E-2</v>
      </c>
      <c r="E13" s="6">
        <f>basepart*Meta!AQ10/partindex/100</f>
        <v>0.66741389529845341</v>
      </c>
      <c r="G13" s="1">
        <f t="shared" si="0"/>
        <v>80590.494966711383</v>
      </c>
      <c r="H13" s="1">
        <f t="shared" si="1"/>
        <v>19087.031846541031</v>
      </c>
    </row>
    <row r="14" spans="1:10" x14ac:dyDescent="0.2">
      <c r="A14" s="2">
        <v>17</v>
      </c>
      <c r="B14" s="1">
        <f>baseincome*Meta!H11/incomeindex</f>
        <v>57676.668708069628</v>
      </c>
      <c r="C14" s="1">
        <f>basebenefits*Meta!S11/benefitsindex</f>
        <v>25202.244261522781</v>
      </c>
      <c r="D14" s="6">
        <f>baseunemp*Meta!AE11/unempindex/100</f>
        <v>5.8585554328496367E-2</v>
      </c>
      <c r="E14" s="6">
        <f>basepart*Meta!AQ11/partindex/100</f>
        <v>0.66741389529845341</v>
      </c>
      <c r="G14" s="1">
        <f t="shared" si="0"/>
        <v>82878.912969592406</v>
      </c>
      <c r="H14" s="1">
        <f t="shared" si="1"/>
        <v>2288.4180028810224</v>
      </c>
    </row>
    <row r="15" spans="1:10" x14ac:dyDescent="0.2">
      <c r="A15" s="2">
        <v>18</v>
      </c>
      <c r="B15" s="1">
        <f>baseincome*Meta!H12/incomeindex</f>
        <v>69182.480183207867</v>
      </c>
      <c r="C15" s="1">
        <f>basebenefits*Meta!S12/benefitsindex</f>
        <v>29466.545226268408</v>
      </c>
      <c r="D15" s="6">
        <f>baseunemp*Meta!AE12/unempindex/100</f>
        <v>5.2737869533436621E-2</v>
      </c>
      <c r="E15" s="6">
        <f>basepart*Meta!AQ12/partindex/100</f>
        <v>0.66741389529845341</v>
      </c>
      <c r="G15" s="1">
        <f t="shared" si="0"/>
        <v>98649.025409476279</v>
      </c>
      <c r="H15" s="1">
        <f t="shared" si="1"/>
        <v>15770.112439883873</v>
      </c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120</v>
      </c>
      <c r="M1" s="13"/>
    </row>
    <row r="2" spans="1:13" x14ac:dyDescent="0.2">
      <c r="B2" s="1">
        <f>Meta!B12</f>
        <v>3324904.8480000002</v>
      </c>
      <c r="C2" s="1">
        <f>Meta!O12</f>
        <v>1363210.98768</v>
      </c>
      <c r="D2" s="38">
        <f>Meta!Y12</f>
        <v>2.7</v>
      </c>
      <c r="E2" s="6">
        <f>Meta!J12</f>
        <v>1.6004634675810823</v>
      </c>
      <c r="F2" s="6">
        <f>Meta!U12</f>
        <v>1.5512353282888676</v>
      </c>
      <c r="G2" s="6">
        <f>Meta!AG12</f>
        <v>0.7104959141590772</v>
      </c>
      <c r="H2" s="5">
        <f>Meta!AK12</f>
        <v>77.699999999999989</v>
      </c>
      <c r="I2" s="6">
        <f>Meta!AS12</f>
        <v>1.1532426981961075</v>
      </c>
      <c r="J2" s="1">
        <f>Meta!AW12</f>
        <v>993.5</v>
      </c>
      <c r="K2" s="29">
        <f>Meta!BC12</f>
        <v>0.61322453611113314</v>
      </c>
      <c r="L2" s="29">
        <f>Meta!BE12</f>
        <v>0.770141654074875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2077463.7568111531</v>
      </c>
      <c r="C5" s="1">
        <f>basebenefits*Meta!U2/benefitsindex</f>
        <v>878790.57601384504</v>
      </c>
      <c r="D5" s="6">
        <f>baseunemp*Meta!AG2/unempindex/100</f>
        <v>3.8001625993805237E-2</v>
      </c>
      <c r="E5" s="6">
        <f>basepart*Meta!AS2/partindex/100</f>
        <v>0.67375236905065761</v>
      </c>
      <c r="F5" s="17">
        <f>basecrime*Meta!BC2/crimeindex</f>
        <v>1620.124345154954</v>
      </c>
      <c r="G5" s="17">
        <f>basecrime*Meta!BE2/scrimeindex</f>
        <v>1290.0224195682961</v>
      </c>
      <c r="I5" s="1">
        <f t="shared" ref="I5:I15" si="0">B5+C5</f>
        <v>2956254.3328249981</v>
      </c>
    </row>
    <row r="6" spans="1:13" x14ac:dyDescent="0.2">
      <c r="A6" s="2">
        <v>9</v>
      </c>
      <c r="B6" s="1">
        <f>baseincome*Meta!J3/incomeindex</f>
        <v>2196858.4516770761</v>
      </c>
      <c r="C6" s="1">
        <f>basebenefits*Meta!U3/benefitsindex</f>
        <v>929295.8855087203</v>
      </c>
      <c r="D6" s="6">
        <f>baseunemp*Meta!AG3/unempindex/100</f>
        <v>3.6150786587487639E-2</v>
      </c>
      <c r="E6" s="6">
        <f>basepart*Meta!AS3/partindex/100</f>
        <v>0.69150950082277463</v>
      </c>
      <c r="F6" s="17">
        <f>basecrime*Meta!BC3/crimeindex</f>
        <v>1543.1258660895044</v>
      </c>
      <c r="G6" s="17">
        <f>basecrime*Meta!BE3/scrimeindex</f>
        <v>1228.7124561916335</v>
      </c>
      <c r="I6" s="1">
        <f t="shared" si="0"/>
        <v>3126154.3371857964</v>
      </c>
      <c r="J6" s="1">
        <f>I6-I5</f>
        <v>169900.00436079828</v>
      </c>
    </row>
    <row r="7" spans="1:13" x14ac:dyDescent="0.2">
      <c r="A7" s="2">
        <v>10</v>
      </c>
      <c r="B7" s="1">
        <f>baseincome*Meta!J4/incomeindex</f>
        <v>2323114.9236090928</v>
      </c>
      <c r="C7" s="1">
        <f>basebenefits*Meta!U4/benefitsindex</f>
        <v>982703.80497324653</v>
      </c>
      <c r="D7" s="6">
        <f>baseunemp*Meta!AG4/unempindex/100</f>
        <v>3.4390090863667643E-2</v>
      </c>
      <c r="E7" s="6">
        <f>basepart*Meta!AS4/partindex/100</f>
        <v>0.70973463203097031</v>
      </c>
      <c r="F7" s="17">
        <f>basecrime*Meta!BC4/crimeindex</f>
        <v>1469.7868381002161</v>
      </c>
      <c r="G7" s="17">
        <f>basecrime*Meta!BE4/scrimeindex</f>
        <v>1170.3163271423659</v>
      </c>
      <c r="I7" s="1">
        <f t="shared" si="0"/>
        <v>3305818.7285823394</v>
      </c>
      <c r="J7" s="1">
        <f t="shared" ref="J7:J15" si="1">I7-I6</f>
        <v>179664.39139654301</v>
      </c>
    </row>
    <row r="8" spans="1:13" x14ac:dyDescent="0.2">
      <c r="A8" s="2">
        <v>11</v>
      </c>
      <c r="B8" s="1">
        <f>baseincome*Meta!J5/incomeindex</f>
        <v>2456627.5283577461</v>
      </c>
      <c r="C8" s="1">
        <f>basebenefits*Meta!U5/benefitsindex</f>
        <v>1039181.1514157774</v>
      </c>
      <c r="D8" s="6">
        <f>baseunemp*Meta!AG5/unempindex/100</f>
        <v>3.2715148444948647E-2</v>
      </c>
      <c r="E8" s="6">
        <f>basepart*Meta!AS5/partindex/100</f>
        <v>0.72844009706995327</v>
      </c>
      <c r="F8" s="17">
        <f>basecrime*Meta!BC5/crimeindex</f>
        <v>1399.9333411000778</v>
      </c>
      <c r="G8" s="17">
        <f>basecrime*Meta!BE5/scrimeindex</f>
        <v>1114.6955487219252</v>
      </c>
      <c r="I8" s="1">
        <f t="shared" si="0"/>
        <v>3495808.6797735235</v>
      </c>
      <c r="J8" s="1">
        <f t="shared" si="1"/>
        <v>189989.95119118411</v>
      </c>
    </row>
    <row r="9" spans="1:13" x14ac:dyDescent="0.2">
      <c r="A9" s="2">
        <v>12</v>
      </c>
      <c r="B9" s="1">
        <f>baseincome*Meta!J6/incomeindex</f>
        <v>2597813.2858400908</v>
      </c>
      <c r="C9" s="1">
        <f>basebenefits*Meta!U6/benefitsindex</f>
        <v>1098904.3290487926</v>
      </c>
      <c r="D9" s="6">
        <f>baseunemp*Meta!AG6/unempindex/100</f>
        <v>3.1121782783823746E-2</v>
      </c>
      <c r="E9" s="6">
        <f>basepart*Meta!AS6/partindex/100</f>
        <v>0.74763855541450919</v>
      </c>
      <c r="F9" s="17">
        <f>basecrime*Meta!BC6/crimeindex</f>
        <v>1173.719031999505</v>
      </c>
      <c r="G9" s="17">
        <f>basecrime*Meta!BE6/scrimeindex</f>
        <v>1061.7182188464174</v>
      </c>
      <c r="I9" s="1">
        <f t="shared" si="0"/>
        <v>3696717.6148888832</v>
      </c>
      <c r="J9" s="1">
        <f t="shared" si="1"/>
        <v>200908.93511535972</v>
      </c>
    </row>
    <row r="10" spans="1:13" x14ac:dyDescent="0.2">
      <c r="A10" s="2">
        <v>13</v>
      </c>
      <c r="B10" s="1">
        <f>baseincome*Meta!J7/incomeindex</f>
        <v>2722887.6399425627</v>
      </c>
      <c r="C10" s="1">
        <f>basebenefits*Meta!U7/benefitsindex</f>
        <v>1145367.6206038913</v>
      </c>
      <c r="D10" s="6">
        <f>baseunemp*Meta!AG7/unempindex/100</f>
        <v>3.0262069215924829E-2</v>
      </c>
      <c r="E10" s="6">
        <f>basepart*Meta!AS7/partindex/100</f>
        <v>0.75487322592540251</v>
      </c>
      <c r="F10" s="17">
        <f>basecrime*Meta!BC7/crimeindex</f>
        <v>1154.3932992055256</v>
      </c>
      <c r="G10" s="17">
        <f>basecrime*Meta!BE7/scrimeindex</f>
        <v>1044.2366222798428</v>
      </c>
      <c r="I10" s="1">
        <f t="shared" si="0"/>
        <v>3868255.2605464542</v>
      </c>
      <c r="J10" s="1">
        <f t="shared" si="1"/>
        <v>171537.64565757103</v>
      </c>
    </row>
    <row r="11" spans="1:13" x14ac:dyDescent="0.2">
      <c r="A11" s="2">
        <v>14</v>
      </c>
      <c r="B11" s="1">
        <f>baseincome*Meta!J8/incomeindex</f>
        <v>2853983.8256136924</v>
      </c>
      <c r="C11" s="1">
        <f>basebenefits*Meta!U8/benefitsindex</f>
        <v>1193795.4484749066</v>
      </c>
      <c r="D11" s="6">
        <f>baseunemp*Meta!AG8/unempindex/100</f>
        <v>2.9426104525908759E-2</v>
      </c>
      <c r="E11" s="6">
        <f>basepart*Meta!AS8/partindex/100</f>
        <v>0.76217790413857689</v>
      </c>
      <c r="F11" s="17">
        <f>basecrime*Meta!BC8/crimeindex</f>
        <v>1135.3857719938378</v>
      </c>
      <c r="G11" s="17">
        <f>basecrime*Meta!BE8/scrimeindex</f>
        <v>1027.042866887218</v>
      </c>
      <c r="I11" s="1">
        <f t="shared" si="0"/>
        <v>4047779.2740885988</v>
      </c>
      <c r="J11" s="1">
        <f t="shared" si="1"/>
        <v>179524.01354214456</v>
      </c>
    </row>
    <row r="12" spans="1:13" x14ac:dyDescent="0.2">
      <c r="A12" s="2">
        <v>15</v>
      </c>
      <c r="B12" s="1">
        <f>baseincome*Meta!J9/incomeindex</f>
        <v>2991391.770038805</v>
      </c>
      <c r="C12" s="1">
        <f>basebenefits*Meta!U9/benefitsindex</f>
        <v>1244270.8761471699</v>
      </c>
      <c r="D12" s="6">
        <f>baseunemp*Meta!AG9/unempindex/100</f>
        <v>2.8613232670621446E-2</v>
      </c>
      <c r="E12" s="6">
        <f>basepart*Meta!AS9/partindex/100</f>
        <v>0.76955326749723707</v>
      </c>
      <c r="F12" s="17">
        <f>basecrime*Meta!BC9/crimeindex</f>
        <v>1116.6912109878201</v>
      </c>
      <c r="G12" s="17">
        <f>basecrime*Meta!BE9/scrimeindex</f>
        <v>1010.1322132535182</v>
      </c>
      <c r="I12" s="1">
        <f t="shared" si="0"/>
        <v>4235662.6461859746</v>
      </c>
      <c r="J12" s="1">
        <f t="shared" si="1"/>
        <v>187883.3720973758</v>
      </c>
    </row>
    <row r="13" spans="1:13" x14ac:dyDescent="0.2">
      <c r="A13" s="2">
        <v>16</v>
      </c>
      <c r="B13" s="1">
        <f>baseincome*Meta!J10/incomeindex</f>
        <v>3135415.3592414679</v>
      </c>
      <c r="C13" s="1">
        <f>basebenefits*Meta!U10/benefitsindex</f>
        <v>1296880.4791523623</v>
      </c>
      <c r="D13" s="6">
        <f>baseunemp*Meta!AG10/unempindex/100</f>
        <v>2.782281572955958E-2</v>
      </c>
      <c r="E13" s="6">
        <f>basepart*Meta!AS10/partindex/100</f>
        <v>0.77699999999999991</v>
      </c>
      <c r="F13" s="17">
        <f>basecrime*Meta!BC10/crimeindex</f>
        <v>993.5</v>
      </c>
      <c r="G13" s="17">
        <f>basecrime*Meta!BE10/scrimeindex</f>
        <v>993.5</v>
      </c>
      <c r="I13" s="1">
        <f t="shared" si="0"/>
        <v>4432295.8383938298</v>
      </c>
      <c r="J13" s="1">
        <f t="shared" si="1"/>
        <v>196633.19220785517</v>
      </c>
    </row>
    <row r="14" spans="1:13" x14ac:dyDescent="0.2">
      <c r="A14" s="2">
        <v>17</v>
      </c>
      <c r="B14" s="1">
        <f>baseincome*Meta!J11/incomeindex</f>
        <v>3228770.31212126</v>
      </c>
      <c r="C14" s="1">
        <f>basebenefits*Meta!U11/benefitsindex</f>
        <v>1329632.1742828742</v>
      </c>
      <c r="D14" s="6">
        <f>baseunemp*Meta!AG11/unempindex/100</f>
        <v>2.7408320355288257E-2</v>
      </c>
      <c r="E14" s="6">
        <f>basepart*Meta!AS11/partindex/100</f>
        <v>0.77699999999999991</v>
      </c>
      <c r="F14" s="17">
        <f>basecrime*Meta!BC11/crimeindex</f>
        <v>993.5</v>
      </c>
      <c r="G14" s="17">
        <f>basecrime*Meta!BE11/scrimeindex</f>
        <v>993.5</v>
      </c>
      <c r="I14" s="1">
        <f t="shared" si="0"/>
        <v>4558402.486404134</v>
      </c>
      <c r="J14" s="1">
        <f t="shared" si="1"/>
        <v>126106.6480103042</v>
      </c>
    </row>
    <row r="15" spans="1:13" x14ac:dyDescent="0.2">
      <c r="A15" s="2">
        <v>18</v>
      </c>
      <c r="B15" s="1">
        <f>baseincome*Meta!J12/incomeindex</f>
        <v>3324904.8480000002</v>
      </c>
      <c r="C15" s="1">
        <f>basebenefits*Meta!U12/benefitsindex</f>
        <v>1363210.9876799998</v>
      </c>
      <c r="D15" s="6">
        <f>baseunemp*Meta!AG12/unempindex/100</f>
        <v>2.7000000000000003E-2</v>
      </c>
      <c r="E15" s="6">
        <f>basepart*Meta!AS12/partindex/100</f>
        <v>0.77699999999999991</v>
      </c>
      <c r="F15" s="17">
        <f>basecrime*Meta!BC12/crimeindex</f>
        <v>993.5</v>
      </c>
      <c r="G15" s="17">
        <f>basecrime*Meta!BE12/scrimeindex</f>
        <v>993.5</v>
      </c>
      <c r="I15" s="1">
        <f t="shared" si="0"/>
        <v>4688115.8356800005</v>
      </c>
      <c r="J15" s="1">
        <f t="shared" si="1"/>
        <v>129713.34927586652</v>
      </c>
    </row>
  </sheetData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120</v>
      </c>
      <c r="M1" s="13"/>
    </row>
    <row r="2" spans="1:13" x14ac:dyDescent="0.2">
      <c r="B2" s="1">
        <f>Meta!B10</f>
        <v>449507.88</v>
      </c>
      <c r="C2" s="1">
        <f>Meta!O10</f>
        <v>193288.3884</v>
      </c>
      <c r="D2" s="38">
        <f>Meta!Y10</f>
        <v>3.4</v>
      </c>
      <c r="E2" s="6">
        <f>Meta!J10</f>
        <v>1.5092515327700542</v>
      </c>
      <c r="F2" s="6">
        <f>Meta!U10</f>
        <v>1.4757560157676637</v>
      </c>
      <c r="G2" s="6">
        <f>Meta!AG10</f>
        <v>0.73214803319455501</v>
      </c>
      <c r="H2" s="5">
        <f>Meta!AK10</f>
        <v>77.699999999999989</v>
      </c>
      <c r="I2" s="6">
        <f>Meta!AS10</f>
        <v>1.1532426981961075</v>
      </c>
      <c r="J2" s="1">
        <f>Meta!AW10</f>
        <v>993.5</v>
      </c>
      <c r="K2" s="29">
        <f>Meta!BC10</f>
        <v>0.61322453611113314</v>
      </c>
      <c r="L2" s="29">
        <f>Meta!BE10</f>
        <v>0.770141654074875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297834.96669702302</v>
      </c>
      <c r="C5" s="1">
        <f>basebenefits*Meta!U2/benefitsindex</f>
        <v>130975.84311689531</v>
      </c>
      <c r="D5" s="6">
        <f>baseunemp*Meta!AG2/unempindex/100</f>
        <v>4.6438696081240606E-2</v>
      </c>
      <c r="E5" s="6">
        <f>basepart*Meta!AS2/partindex/100</f>
        <v>0.67375236905065761</v>
      </c>
      <c r="F5" s="17">
        <f>basecrime*Meta!BC2/crimeindex</f>
        <v>1620.124345154954</v>
      </c>
      <c r="G5" s="17">
        <f>basecrime*Meta!BE2/scrimeindex</f>
        <v>1290.0224195682961</v>
      </c>
      <c r="I5" s="1">
        <f t="shared" ref="I5:I15" si="0">B5+C5</f>
        <v>428810.80981391831</v>
      </c>
    </row>
    <row r="6" spans="1:13" x14ac:dyDescent="0.2">
      <c r="A6" s="2">
        <v>9</v>
      </c>
      <c r="B6" s="1">
        <f>baseincome*Meta!J3/incomeindex</f>
        <v>314951.95121846511</v>
      </c>
      <c r="C6" s="1">
        <f>basebenefits*Meta!U3/benefitsindex</f>
        <v>138503.20591927794</v>
      </c>
      <c r="D6" s="6">
        <f>baseunemp*Meta!AG3/unempindex/100</f>
        <v>4.4176935789742092E-2</v>
      </c>
      <c r="E6" s="6">
        <f>basepart*Meta!AS3/partindex/100</f>
        <v>0.69150950082277463</v>
      </c>
      <c r="F6" s="17">
        <f>basecrime*Meta!BC3/crimeindex</f>
        <v>1543.1258660895044</v>
      </c>
      <c r="G6" s="17">
        <f>basecrime*Meta!BE3/scrimeindex</f>
        <v>1228.7124561916335</v>
      </c>
      <c r="I6" s="1">
        <f t="shared" si="0"/>
        <v>453455.15713774308</v>
      </c>
      <c r="J6" s="1">
        <f>I6-I5</f>
        <v>24644.347323824768</v>
      </c>
    </row>
    <row r="7" spans="1:13" x14ac:dyDescent="0.2">
      <c r="A7" s="2">
        <v>10</v>
      </c>
      <c r="B7" s="1">
        <f>baseincome*Meta!J4/incomeindex</f>
        <v>333052.67234530498</v>
      </c>
      <c r="C7" s="1">
        <f>basebenefits*Meta!U4/benefitsindex</f>
        <v>146463.17666989207</v>
      </c>
      <c r="D7" s="6">
        <f>baseunemp*Meta!AG4/unempindex/100</f>
        <v>4.2025332760352099E-2</v>
      </c>
      <c r="E7" s="6">
        <f>basepart*Meta!AS4/partindex/100</f>
        <v>0.70973463203097031</v>
      </c>
      <c r="F7" s="17">
        <f>basecrime*Meta!BC4/crimeindex</f>
        <v>1469.7868381002161</v>
      </c>
      <c r="G7" s="17">
        <f>basecrime*Meta!BE4/scrimeindex</f>
        <v>1170.3163271423659</v>
      </c>
      <c r="I7" s="1">
        <f t="shared" si="0"/>
        <v>479515.84901519702</v>
      </c>
      <c r="J7" s="1">
        <f t="shared" ref="J7:J15" si="1">I7-I6</f>
        <v>26060.691877453937</v>
      </c>
    </row>
    <row r="8" spans="1:13" x14ac:dyDescent="0.2">
      <c r="A8" s="2">
        <v>11</v>
      </c>
      <c r="B8" s="1">
        <f>baseincome*Meta!J5/incomeindex</f>
        <v>352193.66677111661</v>
      </c>
      <c r="C8" s="1">
        <f>basebenefits*Meta!U5/benefitsindex</f>
        <v>154880.61794568351</v>
      </c>
      <c r="D8" s="6">
        <f>baseunemp*Meta!AG5/unempindex/100</f>
        <v>3.9978521869966803E-2</v>
      </c>
      <c r="E8" s="6">
        <f>basepart*Meta!AS5/partindex/100</f>
        <v>0.72844009706995327</v>
      </c>
      <c r="F8" s="17">
        <f>basecrime*Meta!BC5/crimeindex</f>
        <v>1399.9333411000778</v>
      </c>
      <c r="G8" s="17">
        <f>basecrime*Meta!BE5/scrimeindex</f>
        <v>1114.6955487219252</v>
      </c>
      <c r="I8" s="1">
        <f t="shared" si="0"/>
        <v>507074.28471680009</v>
      </c>
      <c r="J8" s="1">
        <f t="shared" si="1"/>
        <v>27558.43570160307</v>
      </c>
    </row>
    <row r="9" spans="1:13" x14ac:dyDescent="0.2">
      <c r="A9" s="2">
        <v>12</v>
      </c>
      <c r="B9" s="1">
        <f>baseincome*Meta!J6/incomeindex</f>
        <v>372434.72043088957</v>
      </c>
      <c r="C9" s="1">
        <f>basebenefits*Meta!U6/benefitsindex</f>
        <v>163781.82121027229</v>
      </c>
      <c r="D9" s="6">
        <f>baseunemp*Meta!AG6/unempindex/100</f>
        <v>3.8031399299597667E-2</v>
      </c>
      <c r="E9" s="6">
        <f>basepart*Meta!AS6/partindex/100</f>
        <v>0.74763855541450919</v>
      </c>
      <c r="F9" s="17">
        <f>basecrime*Meta!BC6/crimeindex</f>
        <v>1173.719031999505</v>
      </c>
      <c r="G9" s="17">
        <f>basecrime*Meta!BE6/scrimeindex</f>
        <v>1061.7182188464174</v>
      </c>
      <c r="I9" s="1">
        <f t="shared" si="0"/>
        <v>536216.54164116189</v>
      </c>
      <c r="J9" s="1">
        <f t="shared" si="1"/>
        <v>29142.256924361805</v>
      </c>
    </row>
    <row r="10" spans="1:13" x14ac:dyDescent="0.2">
      <c r="A10" s="2">
        <v>13</v>
      </c>
      <c r="B10" s="1">
        <f>baseincome*Meta!J7/incomeindex</f>
        <v>390365.96759061929</v>
      </c>
      <c r="C10" s="1">
        <f>basebenefits*Meta!U7/benefitsindex</f>
        <v>170706.75753926553</v>
      </c>
      <c r="D10" s="6">
        <f>baseunemp*Meta!AG7/unempindex/100</f>
        <v>3.6980813277223662E-2</v>
      </c>
      <c r="E10" s="6">
        <f>basepart*Meta!AS7/partindex/100</f>
        <v>0.75487322592540251</v>
      </c>
      <c r="F10" s="17">
        <f>basecrime*Meta!BC7/crimeindex</f>
        <v>1154.3932992055256</v>
      </c>
      <c r="G10" s="17">
        <f>basecrime*Meta!BE7/scrimeindex</f>
        <v>1044.2366222798428</v>
      </c>
      <c r="I10" s="1">
        <f t="shared" si="0"/>
        <v>561072.72512988478</v>
      </c>
      <c r="J10" s="1">
        <f t="shared" si="1"/>
        <v>24856.183488722891</v>
      </c>
    </row>
    <row r="11" spans="1:13" x14ac:dyDescent="0.2">
      <c r="A11" s="2">
        <v>14</v>
      </c>
      <c r="B11" s="1">
        <f>baseincome*Meta!J8/incomeindex</f>
        <v>409160.53282212088</v>
      </c>
      <c r="C11" s="1">
        <f>basebenefits*Meta!U8/benefitsindex</f>
        <v>177924.4903630483</v>
      </c>
      <c r="D11" s="6">
        <f>baseunemp*Meta!AG8/unempindex/100</f>
        <v>3.5959248826780581E-2</v>
      </c>
      <c r="E11" s="6">
        <f>basepart*Meta!AS8/partindex/100</f>
        <v>0.76217790413857689</v>
      </c>
      <c r="F11" s="17">
        <f>basecrime*Meta!BC8/crimeindex</f>
        <v>1135.3857719938378</v>
      </c>
      <c r="G11" s="17">
        <f>basecrime*Meta!BE8/scrimeindex</f>
        <v>1027.042866887218</v>
      </c>
      <c r="I11" s="1">
        <f t="shared" si="0"/>
        <v>587085.02318516921</v>
      </c>
      <c r="J11" s="1">
        <f t="shared" si="1"/>
        <v>26012.298055284424</v>
      </c>
    </row>
    <row r="12" spans="1:13" x14ac:dyDescent="0.2">
      <c r="A12" s="2">
        <v>15</v>
      </c>
      <c r="B12" s="1">
        <f>baseincome*Meta!J9/incomeindex</f>
        <v>428859.98144912283</v>
      </c>
      <c r="C12" s="1">
        <f>basebenefits*Meta!U9/benefitsindex</f>
        <v>185447.39954813317</v>
      </c>
      <c r="D12" s="6">
        <f>baseunemp*Meta!AG9/unempindex/100</f>
        <v>3.4965904251292285E-2</v>
      </c>
      <c r="E12" s="6">
        <f>basepart*Meta!AS9/partindex/100</f>
        <v>0.76955326749723707</v>
      </c>
      <c r="F12" s="17">
        <f>basecrime*Meta!BC9/crimeindex</f>
        <v>1116.6912109878201</v>
      </c>
      <c r="G12" s="17">
        <f>basecrime*Meta!BE9/scrimeindex</f>
        <v>1010.1322132535182</v>
      </c>
      <c r="I12" s="1">
        <f t="shared" si="0"/>
        <v>614307.38099725603</v>
      </c>
      <c r="J12" s="1">
        <f t="shared" si="1"/>
        <v>27222.357812086819</v>
      </c>
    </row>
    <row r="13" spans="1:13" x14ac:dyDescent="0.2">
      <c r="A13" s="2">
        <v>16</v>
      </c>
      <c r="B13" s="1">
        <f>baseincome*Meta!J10/incomeindex</f>
        <v>449507.87999999995</v>
      </c>
      <c r="C13" s="1">
        <f>basebenefits*Meta!U10/benefitsindex</f>
        <v>193288.3884</v>
      </c>
      <c r="D13" s="6">
        <f>baseunemp*Meta!AG10/unempindex/100</f>
        <v>3.4000000000000002E-2</v>
      </c>
      <c r="E13" s="6">
        <f>basepart*Meta!AS10/partindex/100</f>
        <v>0.77699999999999991</v>
      </c>
      <c r="F13" s="17">
        <f>basecrime*Meta!BC10/crimeindex</f>
        <v>993.5</v>
      </c>
      <c r="G13" s="17">
        <f>basecrime*Meta!BE10/scrimeindex</f>
        <v>993.5</v>
      </c>
      <c r="I13" s="1">
        <f t="shared" si="0"/>
        <v>642796.26839999994</v>
      </c>
      <c r="J13" s="1">
        <f t="shared" si="1"/>
        <v>28488.887402743916</v>
      </c>
    </row>
    <row r="14" spans="1:13" x14ac:dyDescent="0.2">
      <c r="A14" s="2">
        <v>17</v>
      </c>
      <c r="B14" s="1">
        <f>baseincome*Meta!J11/incomeindex</f>
        <v>462891.68474306515</v>
      </c>
      <c r="C14" s="1">
        <f>basebenefits*Meta!U11/benefitsindex</f>
        <v>198169.73442294452</v>
      </c>
      <c r="D14" s="6">
        <f>baseunemp*Meta!AG11/unempindex/100</f>
        <v>3.3493478918086197E-2</v>
      </c>
      <c r="E14" s="6">
        <f>basepart*Meta!AS11/partindex/100</f>
        <v>0.77699999999999991</v>
      </c>
      <c r="F14" s="17">
        <f>basecrime*Meta!BC11/crimeindex</f>
        <v>993.5</v>
      </c>
      <c r="G14" s="17">
        <f>basecrime*Meta!BE11/scrimeindex</f>
        <v>993.5</v>
      </c>
      <c r="I14" s="1">
        <f t="shared" si="0"/>
        <v>661061.41916600964</v>
      </c>
      <c r="J14" s="1">
        <f t="shared" si="1"/>
        <v>18265.150766009698</v>
      </c>
    </row>
    <row r="15" spans="1:13" x14ac:dyDescent="0.2">
      <c r="A15" s="2">
        <v>18</v>
      </c>
      <c r="B15" s="1">
        <f>baseincome*Meta!J12/incomeindex</f>
        <v>476673.98356681364</v>
      </c>
      <c r="C15" s="1">
        <f>basebenefits*Meta!U12/benefitsindex</f>
        <v>203174.35499534829</v>
      </c>
      <c r="D15" s="6">
        <f>baseunemp*Meta!AG12/unempindex/100</f>
        <v>3.2994503824596601E-2</v>
      </c>
      <c r="E15" s="6">
        <f>basepart*Meta!AS12/partindex/100</f>
        <v>0.77699999999999991</v>
      </c>
      <c r="F15" s="17">
        <f>basecrime*Meta!BC12/crimeindex</f>
        <v>993.5</v>
      </c>
      <c r="G15" s="17">
        <f>basecrime*Meta!BE12/scrimeindex</f>
        <v>993.5</v>
      </c>
      <c r="I15" s="1">
        <f t="shared" si="0"/>
        <v>679848.33856216189</v>
      </c>
      <c r="J15" s="1">
        <f t="shared" si="1"/>
        <v>18786.919396152254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121</v>
      </c>
      <c r="M1" s="13"/>
    </row>
    <row r="2" spans="1:13" x14ac:dyDescent="0.2">
      <c r="B2" s="1">
        <f>Meta!B6</f>
        <v>63412.47</v>
      </c>
      <c r="C2" s="1">
        <f>Meta!O6</f>
        <v>29169.736200000003</v>
      </c>
      <c r="D2" s="38">
        <f>Meta!Y6</f>
        <v>6.25</v>
      </c>
      <c r="E2" s="6">
        <f>Meta!J6</f>
        <v>1.2504734570328482</v>
      </c>
      <c r="F2" s="6">
        <f>Meta!U6</f>
        <v>1.2504735019273576</v>
      </c>
      <c r="G2" s="6">
        <f>Meta!AG6</f>
        <v>0.81895924108344742</v>
      </c>
      <c r="H2" s="5">
        <f>Meta!AK6</f>
        <v>66.150000000000006</v>
      </c>
      <c r="I2" s="6">
        <f>Meta!AS6</f>
        <v>1.1096637128979006</v>
      </c>
      <c r="J2" s="1">
        <f>Meta!AW6</f>
        <v>2576</v>
      </c>
      <c r="K2" s="29">
        <f>Meta!BC6</f>
        <v>0.72446231396346727</v>
      </c>
      <c r="L2" s="29">
        <f>Meta!BE6</f>
        <v>0.82302307521269247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50710.768504008513</v>
      </c>
      <c r="C5" s="1">
        <f>basebenefits*Meta!U2/benefitsindex</f>
        <v>23326.952674359451</v>
      </c>
      <c r="D5" s="6">
        <f>baseunemp*Meta!AG2/unempindex/100</f>
        <v>7.6316374325681002E-2</v>
      </c>
      <c r="E5" s="6">
        <f>basepart*Meta!AS2/partindex/100</f>
        <v>0.59612654925201136</v>
      </c>
      <c r="F5" s="17">
        <f>basecrime*Meta!BC2/crimeindex</f>
        <v>3555.7405131357887</v>
      </c>
      <c r="G5" s="17">
        <f>basecrime*Meta!BE2/scrimeindex</f>
        <v>3129.9243940812821</v>
      </c>
      <c r="I5" s="1">
        <f t="shared" ref="I5:I15" si="0">B5+C5</f>
        <v>74037.721178367967</v>
      </c>
    </row>
    <row r="6" spans="1:13" x14ac:dyDescent="0.2">
      <c r="A6" s="2">
        <v>9</v>
      </c>
      <c r="B6" s="1">
        <f>baseincome*Meta!J3/incomeindex</f>
        <v>53625.186005686708</v>
      </c>
      <c r="C6" s="1">
        <f>basebenefits*Meta!U3/benefitsindex</f>
        <v>24667.584898403999</v>
      </c>
      <c r="D6" s="6">
        <f>baseunemp*Meta!AG3/unempindex/100</f>
        <v>7.2599445135012153E-2</v>
      </c>
      <c r="E6" s="6">
        <f>basepart*Meta!AS3/partindex/100</f>
        <v>0.61183780783035335</v>
      </c>
      <c r="F6" s="17">
        <f>basecrime*Meta!BC3/crimeindex</f>
        <v>3386.7494031128904</v>
      </c>
      <c r="G6" s="17">
        <f>basecrime*Meta!BE3/scrimeindex</f>
        <v>2981.170739057934</v>
      </c>
      <c r="I6" s="1">
        <f t="shared" si="0"/>
        <v>78292.770904090707</v>
      </c>
      <c r="J6" s="1">
        <f>I6-I5</f>
        <v>4255.0497257227398</v>
      </c>
    </row>
    <row r="7" spans="1:13" x14ac:dyDescent="0.2">
      <c r="A7" s="2">
        <v>10</v>
      </c>
      <c r="B7" s="1">
        <f>baseincome*Meta!J4/incomeindex</f>
        <v>56707.099083248693</v>
      </c>
      <c r="C7" s="1">
        <f>basebenefits*Meta!U4/benefitsindex</f>
        <v>26085.265110037693</v>
      </c>
      <c r="D7" s="6">
        <f>baseunemp*Meta!AG4/unempindex/100</f>
        <v>6.9063546067046566E-2</v>
      </c>
      <c r="E7" s="6">
        <f>basepart*Meta!AS4/partindex/100</f>
        <v>0.62796314567831568</v>
      </c>
      <c r="F7" s="17">
        <f>basecrime*Meta!BC4/crimeindex</f>
        <v>3225.7898114646514</v>
      </c>
      <c r="G7" s="17">
        <f>basecrime*Meta!BE4/scrimeindex</f>
        <v>2839.486791508878</v>
      </c>
      <c r="I7" s="1">
        <f t="shared" si="0"/>
        <v>82792.364193286383</v>
      </c>
      <c r="J7" s="1">
        <f t="shared" ref="J7:J15" si="1">I7-I6</f>
        <v>4499.5932891956763</v>
      </c>
    </row>
    <row r="8" spans="1:13" x14ac:dyDescent="0.2">
      <c r="A8" s="2">
        <v>11</v>
      </c>
      <c r="B8" s="1">
        <f>baseincome*Meta!J5/incomeindex</f>
        <v>59966.133937444516</v>
      </c>
      <c r="C8" s="1">
        <f>basebenefits*Meta!U5/benefitsindex</f>
        <v>27584.421363640449</v>
      </c>
      <c r="D8" s="6">
        <f>baseunemp*Meta!AG5/unempindex/100</f>
        <v>6.5699860191559087E-2</v>
      </c>
      <c r="E8" s="6">
        <f>basepart*Meta!AS5/partindex/100</f>
        <v>0.64451347609356147</v>
      </c>
      <c r="F8" s="17">
        <f>basecrime*Meta!BC5/crimeindex</f>
        <v>3072.4800300207803</v>
      </c>
      <c r="G8" s="17">
        <f>basecrime*Meta!BE5/scrimeindex</f>
        <v>2704.5365545554882</v>
      </c>
      <c r="I8" s="1">
        <f t="shared" si="0"/>
        <v>87550.555301084969</v>
      </c>
      <c r="J8" s="1">
        <f t="shared" si="1"/>
        <v>4758.191107798586</v>
      </c>
    </row>
    <row r="9" spans="1:13" x14ac:dyDescent="0.2">
      <c r="A9" s="2">
        <v>12</v>
      </c>
      <c r="B9" s="1">
        <f>baseincome*Meta!J6/incomeindex</f>
        <v>63412.469999999994</v>
      </c>
      <c r="C9" s="1">
        <f>basebenefits*Meta!U6/benefitsindex</f>
        <v>29169.736200000007</v>
      </c>
      <c r="D9" s="6">
        <f>baseunemp*Meta!AG6/unempindex/100</f>
        <v>6.25E-2</v>
      </c>
      <c r="E9" s="6">
        <f>basepart*Meta!AS6/partindex/100</f>
        <v>0.66150000000000009</v>
      </c>
      <c r="F9" s="17">
        <f>basecrime*Meta!BC6/crimeindex</f>
        <v>2576</v>
      </c>
      <c r="G9" s="17">
        <f>basecrime*Meta!BE6/scrimeindex</f>
        <v>2576</v>
      </c>
      <c r="I9" s="1">
        <f t="shared" si="0"/>
        <v>92582.206200000001</v>
      </c>
      <c r="J9" s="1">
        <f t="shared" si="1"/>
        <v>5031.6508989150316</v>
      </c>
    </row>
    <row r="10" spans="1:13" x14ac:dyDescent="0.2">
      <c r="A10" s="2">
        <v>13</v>
      </c>
      <c r="B10" s="1">
        <f>baseincome*Meta!J7/incomeindex</f>
        <v>66465.527650649252</v>
      </c>
      <c r="C10" s="1">
        <f>basebenefits*Meta!U7/benefitsindex</f>
        <v>30403.075556137657</v>
      </c>
      <c r="D10" s="6">
        <f>baseunemp*Meta!AG7/unempindex/100</f>
        <v>6.0773489074616556E-2</v>
      </c>
      <c r="E10" s="6">
        <f>basepart*Meta!AS7/partindex/100</f>
        <v>0.66790113395476591</v>
      </c>
      <c r="F10" s="17">
        <f>basecrime*Meta!BC7/crimeindex</f>
        <v>2533.5851747138472</v>
      </c>
      <c r="G10" s="17">
        <f>basecrime*Meta!BE7/scrimeindex</f>
        <v>2533.5851747138472</v>
      </c>
      <c r="I10" s="1">
        <f t="shared" si="0"/>
        <v>96868.603206786909</v>
      </c>
      <c r="J10" s="1">
        <f t="shared" si="1"/>
        <v>4286.3970067869086</v>
      </c>
    </row>
    <row r="11" spans="1:13" x14ac:dyDescent="0.2">
      <c r="A11" s="2">
        <v>14</v>
      </c>
      <c r="B11" s="1">
        <f>baseincome*Meta!J8/incomeindex</f>
        <v>69665.577856835123</v>
      </c>
      <c r="C11" s="1">
        <f>basebenefits*Meta!U8/benefitsindex</f>
        <v>31688.562314533894</v>
      </c>
      <c r="D11" s="6">
        <f>baseunemp*Meta!AG8/unempindex/100</f>
        <v>5.9094671588840589E-2</v>
      </c>
      <c r="E11" s="6">
        <f>basepart*Meta!AS8/partindex/100</f>
        <v>0.67436420973252031</v>
      </c>
      <c r="F11" s="17">
        <f>basecrime*Meta!BC8/crimeindex</f>
        <v>2491.8687257491447</v>
      </c>
      <c r="G11" s="17">
        <f>basecrime*Meta!BE8/scrimeindex</f>
        <v>2491.8687257491442</v>
      </c>
      <c r="I11" s="1">
        <f t="shared" si="0"/>
        <v>101354.14017136901</v>
      </c>
      <c r="J11" s="1">
        <f t="shared" si="1"/>
        <v>4485.5369645821047</v>
      </c>
    </row>
    <row r="12" spans="1:13" x14ac:dyDescent="0.2">
      <c r="A12" s="2">
        <v>15</v>
      </c>
      <c r="B12" s="1">
        <f>baseincome*Meta!J9/incomeindex</f>
        <v>73019.6977241532</v>
      </c>
      <c r="C12" s="1">
        <f>basebenefits*Meta!U9/benefitsindex</f>
        <v>33028.401344066668</v>
      </c>
      <c r="D12" s="6">
        <f>baseunemp*Meta!AG9/unempindex/100</f>
        <v>5.7462230050759303E-2</v>
      </c>
      <c r="E12" s="6">
        <f>basepart*Meta!AS9/partindex/100</f>
        <v>0.68088982672541176</v>
      </c>
      <c r="F12" s="17">
        <f>basecrime*Meta!BC9/crimeindex</f>
        <v>2450.8391540726393</v>
      </c>
      <c r="G12" s="17">
        <f>basecrime*Meta!BE9/scrimeindex</f>
        <v>2450.8391540726393</v>
      </c>
      <c r="I12" s="1">
        <f t="shared" si="0"/>
        <v>106048.09906821986</v>
      </c>
      <c r="J12" s="1">
        <f t="shared" si="1"/>
        <v>4693.9588968508469</v>
      </c>
    </row>
    <row r="13" spans="1:13" x14ac:dyDescent="0.2">
      <c r="A13" s="2">
        <v>16</v>
      </c>
      <c r="B13" s="1">
        <f>baseincome*Meta!J10/incomeindex</f>
        <v>76535.305092622235</v>
      </c>
      <c r="C13" s="1">
        <f>basebenefits*Meta!U10/benefitsindex</f>
        <v>34424.890738713548</v>
      </c>
      <c r="D13" s="6">
        <f>baseunemp*Meta!AG10/unempindex/100</f>
        <v>5.5874883363086776E-2</v>
      </c>
      <c r="E13" s="6">
        <f>basepart*Meta!AS10/partindex/100</f>
        <v>0.68747859012572421</v>
      </c>
      <c r="F13" s="17">
        <f>basecrime*Meta!BC10/crimeindex</f>
        <v>2180.4673266992563</v>
      </c>
      <c r="G13" s="17">
        <f>basecrime*Meta!BE10/scrimeindex</f>
        <v>2410.4851499870597</v>
      </c>
      <c r="I13" s="1">
        <f t="shared" si="0"/>
        <v>110960.19583133579</v>
      </c>
      <c r="J13" s="1">
        <f t="shared" si="1"/>
        <v>4912.0967631159292</v>
      </c>
    </row>
    <row r="14" spans="1:13" x14ac:dyDescent="0.2">
      <c r="A14" s="2">
        <v>17</v>
      </c>
      <c r="B14" s="1">
        <f>baseincome*Meta!J11/incomeindex</f>
        <v>78814.094019104625</v>
      </c>
      <c r="C14" s="1">
        <f>basebenefits*Meta!U11/benefitsindex</f>
        <v>35294.264242671641</v>
      </c>
      <c r="D14" s="6">
        <f>baseunemp*Meta!AG11/unempindex/100</f>
        <v>5.5042477293296227E-2</v>
      </c>
      <c r="E14" s="6">
        <f>basepart*Meta!AS11/partindex/100</f>
        <v>0.68747859012572421</v>
      </c>
      <c r="F14" s="17">
        <f>basecrime*Meta!BC11/crimeindex</f>
        <v>2180.4673266992563</v>
      </c>
      <c r="G14" s="17">
        <f>basecrime*Meta!BE11/scrimeindex</f>
        <v>2410.4851499870597</v>
      </c>
      <c r="I14" s="1">
        <f t="shared" si="0"/>
        <v>114108.35826177627</v>
      </c>
      <c r="J14" s="1">
        <f t="shared" si="1"/>
        <v>3148.1624304404831</v>
      </c>
    </row>
    <row r="15" spans="1:13" x14ac:dyDescent="0.2">
      <c r="A15" s="2">
        <v>18</v>
      </c>
      <c r="B15" s="1">
        <f>baseincome*Meta!J12/incomeindex</f>
        <v>81160.732403627</v>
      </c>
      <c r="C15" s="1">
        <f>basebenefits*Meta!U12/benefitsindex</f>
        <v>36185.593089788861</v>
      </c>
      <c r="D15" s="6">
        <f>baseunemp*Meta!AG12/unempindex/100</f>
        <v>5.4222472141831048E-2</v>
      </c>
      <c r="E15" s="6">
        <f>basepart*Meta!AS12/partindex/100</f>
        <v>0.68747859012572421</v>
      </c>
      <c r="F15" s="17">
        <f>basecrime*Meta!BC12/crimeindex</f>
        <v>2180.4673266992563</v>
      </c>
      <c r="G15" s="17">
        <f>basecrime*Meta!BE12/scrimeindex</f>
        <v>2410.4851499870597</v>
      </c>
      <c r="I15" s="1">
        <f t="shared" si="0"/>
        <v>117346.32549341586</v>
      </c>
      <c r="J15" s="1">
        <f t="shared" si="1"/>
        <v>3237.9672316395881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149</vt:i4>
      </vt:variant>
    </vt:vector>
  </HeadingPairs>
  <TitlesOfParts>
    <vt:vector size="163" baseType="lpstr">
      <vt:lpstr>Meta</vt:lpstr>
      <vt:lpstr>CompletionProb</vt:lpstr>
      <vt:lpstr>ExcellentStudent</vt:lpstr>
      <vt:lpstr>GoodStudent</vt:lpstr>
      <vt:lpstr>FairStudent</vt:lpstr>
      <vt:lpstr>PoorStudent</vt:lpstr>
      <vt:lpstr>ExcellentStudentCon</vt:lpstr>
      <vt:lpstr>GoodStudentCon</vt:lpstr>
      <vt:lpstr>FairStudentCon</vt:lpstr>
      <vt:lpstr>PoorStudentCon</vt:lpstr>
      <vt:lpstr>ExcellentStudentReas</vt:lpstr>
      <vt:lpstr>GoodStudentReas</vt:lpstr>
      <vt:lpstr>FairStudentReas</vt:lpstr>
      <vt:lpstr>PoorStudentReas</vt:lpstr>
      <vt:lpstr>abilitybias</vt:lpstr>
      <vt:lpstr>ExcellentStudentCon!basebenefits</vt:lpstr>
      <vt:lpstr>ExcellentStudentReas!basebenefits</vt:lpstr>
      <vt:lpstr>FairStudent!basebenefits</vt:lpstr>
      <vt:lpstr>FairStudentCon!basebenefits</vt:lpstr>
      <vt:lpstr>FairStudentReas!basebenefits</vt:lpstr>
      <vt:lpstr>GoodStudent!basebenefits</vt:lpstr>
      <vt:lpstr>GoodStudentCon!basebenefits</vt:lpstr>
      <vt:lpstr>GoodStudentReas!basebenefits</vt:lpstr>
      <vt:lpstr>PoorStudent!basebenefits</vt:lpstr>
      <vt:lpstr>PoorStudentCon!basebenefits</vt:lpstr>
      <vt:lpstr>PoorStudentReas!basebenefits</vt:lpstr>
      <vt:lpstr>basebenefits</vt:lpstr>
      <vt:lpstr>ExcellentStudentReas!basecrime</vt:lpstr>
      <vt:lpstr>FairStudentCon!basecrime</vt:lpstr>
      <vt:lpstr>FairStudentReas!basecrime</vt:lpstr>
      <vt:lpstr>GoodStudentCon!basecrime</vt:lpstr>
      <vt:lpstr>GoodStudentReas!basecrime</vt:lpstr>
      <vt:lpstr>PoorStudentCon!basecrime</vt:lpstr>
      <vt:lpstr>PoorStudentReas!basecrime</vt:lpstr>
      <vt:lpstr>basecrime</vt:lpstr>
      <vt:lpstr>ExcellentStudent!baseincome</vt:lpstr>
      <vt:lpstr>ExcellentStudentCon!baseincome</vt:lpstr>
      <vt:lpstr>ExcellentStudentReas!baseincome</vt:lpstr>
      <vt:lpstr>FairStudent!baseincome</vt:lpstr>
      <vt:lpstr>FairStudentCon!baseincome</vt:lpstr>
      <vt:lpstr>FairStudentReas!baseincome</vt:lpstr>
      <vt:lpstr>GoodStudent!baseincome</vt:lpstr>
      <vt:lpstr>GoodStudentCon!baseincome</vt:lpstr>
      <vt:lpstr>GoodStudentReas!baseincome</vt:lpstr>
      <vt:lpstr>PoorStudent!baseincome</vt:lpstr>
      <vt:lpstr>PoorStudentCon!baseincome</vt:lpstr>
      <vt:lpstr>PoorStudentReas!baseincome</vt:lpstr>
      <vt:lpstr>ExcellentStudentCon!basepart</vt:lpstr>
      <vt:lpstr>ExcellentStudentReas!basepart</vt:lpstr>
      <vt:lpstr>FairStudent!basepart</vt:lpstr>
      <vt:lpstr>FairStudentCon!basepart</vt:lpstr>
      <vt:lpstr>FairStudentReas!basepart</vt:lpstr>
      <vt:lpstr>GoodStudent!basepart</vt:lpstr>
      <vt:lpstr>GoodStudentCon!basepart</vt:lpstr>
      <vt:lpstr>GoodStudentReas!basepart</vt:lpstr>
      <vt:lpstr>PoorStudent!basepart</vt:lpstr>
      <vt:lpstr>PoorStudentCon!basepart</vt:lpstr>
      <vt:lpstr>PoorStudentReas!basepart</vt:lpstr>
      <vt:lpstr>basepart</vt:lpstr>
      <vt:lpstr>ExcellentStudent!baseunemp</vt:lpstr>
      <vt:lpstr>ExcellentStudentCon!baseunemp</vt:lpstr>
      <vt:lpstr>ExcellentStudentReas!baseunemp</vt:lpstr>
      <vt:lpstr>FairStudent!baseunemp</vt:lpstr>
      <vt:lpstr>FairStudentCon!baseunemp</vt:lpstr>
      <vt:lpstr>FairStudentReas!baseunemp</vt:lpstr>
      <vt:lpstr>GoodStudent!baseunemp</vt:lpstr>
      <vt:lpstr>GoodStudentCon!baseunemp</vt:lpstr>
      <vt:lpstr>GoodStudentReas!baseunemp</vt:lpstr>
      <vt:lpstr>PoorStudent!baseunemp</vt:lpstr>
      <vt:lpstr>PoorStudentCon!baseunemp</vt:lpstr>
      <vt:lpstr>PoorStudentReas!baseunemp</vt:lpstr>
      <vt:lpstr>ExcellentStudentCon!benefitsindex</vt:lpstr>
      <vt:lpstr>ExcellentStudentReas!benefitsindex</vt:lpstr>
      <vt:lpstr>FairStudent!benefitsindex</vt:lpstr>
      <vt:lpstr>FairStudentCon!benefitsindex</vt:lpstr>
      <vt:lpstr>FairStudentReas!benefitsindex</vt:lpstr>
      <vt:lpstr>GoodStudent!benefitsindex</vt:lpstr>
      <vt:lpstr>GoodStudentCon!benefitsindex</vt:lpstr>
      <vt:lpstr>GoodStudentReas!benefitsindex</vt:lpstr>
      <vt:lpstr>PoorStudent!benefitsindex</vt:lpstr>
      <vt:lpstr>PoorStudentCon!benefitsindex</vt:lpstr>
      <vt:lpstr>PoorStudentReas!benefitsindex</vt:lpstr>
      <vt:lpstr>benefitsindex</vt:lpstr>
      <vt:lpstr>cabilitybias</vt:lpstr>
      <vt:lpstr>colprem</vt:lpstr>
      <vt:lpstr>FairStudentCon!crimeindex</vt:lpstr>
      <vt:lpstr>GoodStudentCon!crimeindex</vt:lpstr>
      <vt:lpstr>PoorStudentCon!crimeindex</vt:lpstr>
      <vt:lpstr>crimeindex</vt:lpstr>
      <vt:lpstr>fullpart</vt:lpstr>
      <vt:lpstr>hsincgrowth</vt:lpstr>
      <vt:lpstr>hsprem</vt:lpstr>
      <vt:lpstr>ExcellentStudent!incomeindex</vt:lpstr>
      <vt:lpstr>ExcellentStudentCon!incomeindex</vt:lpstr>
      <vt:lpstr>ExcellentStudentReas!incomeindex</vt:lpstr>
      <vt:lpstr>FairStudent!incomeindex</vt:lpstr>
      <vt:lpstr>FairStudentCon!incomeindex</vt:lpstr>
      <vt:lpstr>FairStudentReas!incomeindex</vt:lpstr>
      <vt:lpstr>GoodStudent!incomeindex</vt:lpstr>
      <vt:lpstr>GoodStudentCon!incomeindex</vt:lpstr>
      <vt:lpstr>GoodStudentReas!incomeindex</vt:lpstr>
      <vt:lpstr>PoorStudent!incomeindex</vt:lpstr>
      <vt:lpstr>PoorStudentCon!incomeindex</vt:lpstr>
      <vt:lpstr>PoorStudentReas!incomeindex</vt:lpstr>
      <vt:lpstr>maleshare</vt:lpstr>
      <vt:lpstr>maprem</vt:lpstr>
      <vt:lpstr>oab</vt:lpstr>
      <vt:lpstr>oac</vt:lpstr>
      <vt:lpstr>oap</vt:lpstr>
      <vt:lpstr>oar</vt:lpstr>
      <vt:lpstr>oau</vt:lpstr>
      <vt:lpstr>oca</vt:lpstr>
      <vt:lpstr>ocb</vt:lpstr>
      <vt:lpstr>occ</vt:lpstr>
      <vt:lpstr>ocp</vt:lpstr>
      <vt:lpstr>ocr</vt:lpstr>
      <vt:lpstr>ocu</vt:lpstr>
      <vt:lpstr>ohsb</vt:lpstr>
      <vt:lpstr>ohsc</vt:lpstr>
      <vt:lpstr>ohsp</vt:lpstr>
      <vt:lpstr>ohsr</vt:lpstr>
      <vt:lpstr>ohsu</vt:lpstr>
      <vt:lpstr>ExcellentStudentCon!partindex</vt:lpstr>
      <vt:lpstr>ExcellentStudentReas!partindex</vt:lpstr>
      <vt:lpstr>FairStudent!partindex</vt:lpstr>
      <vt:lpstr>FairStudentCon!partindex</vt:lpstr>
      <vt:lpstr>FairStudentReas!partindex</vt:lpstr>
      <vt:lpstr>GoodStudent!partindex</vt:lpstr>
      <vt:lpstr>GoodStudentCon!partindex</vt:lpstr>
      <vt:lpstr>GoodStudentReas!partindex</vt:lpstr>
      <vt:lpstr>PoorStudent!partindex</vt:lpstr>
      <vt:lpstr>PoorStudentCon!partindex</vt:lpstr>
      <vt:lpstr>PoorStudentReas!partindex</vt:lpstr>
      <vt:lpstr>partindex</vt:lpstr>
      <vt:lpstr>rsignal</vt:lpstr>
      <vt:lpstr>ExcellentStudentReas!scrimeindex</vt:lpstr>
      <vt:lpstr>FairStudentCon!scrimeindex</vt:lpstr>
      <vt:lpstr>FairStudentReas!scrimeindex</vt:lpstr>
      <vt:lpstr>GoodStudentCon!scrimeindex</vt:lpstr>
      <vt:lpstr>GoodStudentReas!scrimeindex</vt:lpstr>
      <vt:lpstr>PoorStudentCon!scrimeindex</vt:lpstr>
      <vt:lpstr>PoorStudentReas!scrimeindex</vt:lpstr>
      <vt:lpstr>scrimeindex</vt:lpstr>
      <vt:lpstr>ExcellentStudentReas!scrimeindexr</vt:lpstr>
      <vt:lpstr>FairStudentCon!scrimeindexr</vt:lpstr>
      <vt:lpstr>FairStudentReas!scrimeindexr</vt:lpstr>
      <vt:lpstr>GoodStudentCon!scrimeindexr</vt:lpstr>
      <vt:lpstr>GoodStudentReas!scrimeindexr</vt:lpstr>
      <vt:lpstr>PoorStudentCon!scrimeindexr</vt:lpstr>
      <vt:lpstr>PoorStudentReas!scrimeindexr</vt:lpstr>
      <vt:lpstr>scrimeindexr</vt:lpstr>
      <vt:lpstr>ExcellentStudent!unempindex</vt:lpstr>
      <vt:lpstr>ExcellentStudentCon!unempindex</vt:lpstr>
      <vt:lpstr>ExcellentStudentReas!unempindex</vt:lpstr>
      <vt:lpstr>FairStudent!unempindex</vt:lpstr>
      <vt:lpstr>FairStudentCon!unempindex</vt:lpstr>
      <vt:lpstr>FairStudentReas!unempindex</vt:lpstr>
      <vt:lpstr>GoodStudent!unempindex</vt:lpstr>
      <vt:lpstr>GoodStudentCon!unempindex</vt:lpstr>
      <vt:lpstr>GoodStudentReas!unempindex</vt:lpstr>
      <vt:lpstr>PoorStudent!unempindex</vt:lpstr>
      <vt:lpstr>PoorStudentCon!unempindex</vt:lpstr>
      <vt:lpstr>PoorStudentReas!unempindex</vt:lpstr>
    </vt:vector>
  </TitlesOfParts>
  <Company>GMU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root</cp:lastModifiedBy>
  <dcterms:created xsi:type="dcterms:W3CDTF">2014-06-09T18:26:14Z</dcterms:created>
  <dcterms:modified xsi:type="dcterms:W3CDTF">2017-09-08T19:11:40Z</dcterms:modified>
</cp:coreProperties>
</file>