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480" yWindow="45" windowWidth="15180" windowHeight="11760" activeTab="1"/>
  </bookViews>
  <sheets>
    <sheet name="Meta" sheetId="4" r:id="rId1"/>
    <sheet name="Output" sheetId="50" r:id="rId2"/>
    <sheet name="Grade8" sheetId="1" r:id="rId3"/>
    <sheet name="Grade9" sheetId="52" r:id="rId4"/>
    <sheet name="Grade10" sheetId="53" r:id="rId5"/>
    <sheet name="Grade11" sheetId="54" r:id="rId6"/>
    <sheet name="Grade12" sheetId="55" r:id="rId7"/>
    <sheet name="Grade13" sheetId="56" r:id="rId8"/>
    <sheet name="Grade14" sheetId="57" r:id="rId9"/>
    <sheet name="Grade15" sheetId="58" r:id="rId10"/>
    <sheet name="Grade16" sheetId="59" r:id="rId11"/>
    <sheet name="Grade17" sheetId="60" r:id="rId12"/>
    <sheet name="Grade18" sheetId="61" r:id="rId13"/>
  </sheets>
  <definedNames>
    <definedName name="_edn1" localSheetId="0">Meta!$E$10</definedName>
    <definedName name="_edn1" localSheetId="1">Output!$B$10</definedName>
    <definedName name="_ednref1" localSheetId="0">Meta!$E$7</definedName>
    <definedName name="_ednref1" localSheetId="1">Output!$B$7</definedName>
    <definedName name="baseincome" localSheetId="0">Meta!$B$2</definedName>
    <definedName name="benefits" localSheetId="4">Grade10!$D$2</definedName>
    <definedName name="benefits" localSheetId="5">Grade11!$D$2</definedName>
    <definedName name="benefits" localSheetId="6">Grade12!$D$2</definedName>
    <definedName name="benefits" localSheetId="7">Grade13!$D$2</definedName>
    <definedName name="benefits" localSheetId="8">Grade14!$D$2</definedName>
    <definedName name="benefits" localSheetId="9">Grade15!$D$2</definedName>
    <definedName name="benefits" localSheetId="10">Grade16!$D$2</definedName>
    <definedName name="benefits" localSheetId="11">Grade17!$D$2</definedName>
    <definedName name="benefits" localSheetId="12">Grade18!$D$2</definedName>
    <definedName name="benefits" localSheetId="3">Grade9!$D$2</definedName>
    <definedName name="benefits">Grade8!$D$2</definedName>
    <definedName name="benrat" localSheetId="4">Grade10!$I$2</definedName>
    <definedName name="benrat" localSheetId="5">Grade11!$I$2</definedName>
    <definedName name="benrat" localSheetId="6">Grade12!$I$2</definedName>
    <definedName name="benrat" localSheetId="7">Grade13!$I$2</definedName>
    <definedName name="benrat" localSheetId="8">Grade14!$I$2</definedName>
    <definedName name="benrat" localSheetId="9">Grade15!$I$2</definedName>
    <definedName name="benrat" localSheetId="10">Grade16!$I$2</definedName>
    <definedName name="benrat" localSheetId="11">Grade17!$I$2</definedName>
    <definedName name="benrat" localSheetId="12">Grade18!$I$2</definedName>
    <definedName name="benrat" localSheetId="3">Grade9!$I$2</definedName>
    <definedName name="benrat">Grade8!$I$2</definedName>
    <definedName name="coltuition">Meta!$Q$2</definedName>
    <definedName name="compensationratio">#REF!</definedName>
    <definedName name="completionprob" localSheetId="4">Grade10!$H$2</definedName>
    <definedName name="completionprob" localSheetId="5">Grade11!$H$2</definedName>
    <definedName name="completionprob" localSheetId="6">Grade12!$H$2</definedName>
    <definedName name="completionprob" localSheetId="7">Grade13!$H$2</definedName>
    <definedName name="completionprob" localSheetId="8">Grade14!$H$2</definedName>
    <definedName name="completionprob" localSheetId="9">Grade15!$H$2</definedName>
    <definedName name="completionprob" localSheetId="10">Grade16!$H$2</definedName>
    <definedName name="completionprob" localSheetId="11">Grade17!$H$2</definedName>
    <definedName name="completionprob" localSheetId="12">Grade18!$H$2</definedName>
    <definedName name="completionprob">Grade9!$H$2</definedName>
    <definedName name="comprat" localSheetId="4">Grade10!$I$2</definedName>
    <definedName name="comprat" localSheetId="5">Grade11!$I$2</definedName>
    <definedName name="comprat" localSheetId="6">Grade12!$I$2</definedName>
    <definedName name="comprat" localSheetId="7">Grade13!$I$2</definedName>
    <definedName name="comprat" localSheetId="8">Grade14!$I$2</definedName>
    <definedName name="comprat" localSheetId="9">Grade15!$I$2</definedName>
    <definedName name="comprat" localSheetId="10">Grade16!$I$2</definedName>
    <definedName name="comprat" localSheetId="11">Grade17!$I$2</definedName>
    <definedName name="comprat" localSheetId="12">Grade18!$I$2</definedName>
    <definedName name="comprat" localSheetId="3">Grade9!$I$2</definedName>
    <definedName name="comprat">Grade8!$I$2</definedName>
    <definedName name="experiencepremium" localSheetId="1">Output!#REF!</definedName>
    <definedName name="experiencepremium">Meta!$H$2</definedName>
    <definedName name="expnorm" localSheetId="4">Grade10!$G$2</definedName>
    <definedName name="expnorm" localSheetId="5">Grade11!$G$2</definedName>
    <definedName name="expnorm" localSheetId="6">Grade12!$G$2</definedName>
    <definedName name="expnorm" localSheetId="7">Grade13!$G$2</definedName>
    <definedName name="expnorm" localSheetId="8">Grade14!$G$2</definedName>
    <definedName name="expnorm" localSheetId="9">Grade15!$G$2</definedName>
    <definedName name="expnorm" localSheetId="10">Grade16!$G$2</definedName>
    <definedName name="expnorm" localSheetId="11">Grade17!$G$2</definedName>
    <definedName name="expnorm" localSheetId="12">Grade18!$G$2</definedName>
    <definedName name="expnorm" localSheetId="3">Grade9!$G$2</definedName>
    <definedName name="expnorm">Grade8!$G$2</definedName>
    <definedName name="expnorm8" localSheetId="4">Grade10!$G$2</definedName>
    <definedName name="expnorm8" localSheetId="5">Grade11!$G$2</definedName>
    <definedName name="expnorm8" localSheetId="6">Grade12!$G$2</definedName>
    <definedName name="expnorm8" localSheetId="7">Grade13!$G$2</definedName>
    <definedName name="expnorm8" localSheetId="8">Grade14!$G$2</definedName>
    <definedName name="expnorm8" localSheetId="9">Grade15!$G$2</definedName>
    <definedName name="expnorm8" localSheetId="10">Grade16!$G$2</definedName>
    <definedName name="expnorm8" localSheetId="11">Grade17!$G$2</definedName>
    <definedName name="expnorm8" localSheetId="12">Grade18!$G$2</definedName>
    <definedName name="expnorm8" localSheetId="3">Grade9!$G$2</definedName>
    <definedName name="expnorm8">Grade8!$G$2</definedName>
    <definedName name="feel">Meta!$R$2</definedName>
    <definedName name="hstuition">Meta!$P$2</definedName>
    <definedName name="incomeindex" localSheetId="0">Meta!$E$2</definedName>
    <definedName name="initialbenrat" localSheetId="4">Grade10!$L$2</definedName>
    <definedName name="initialbenrat" localSheetId="5">Grade11!$L$2</definedName>
    <definedName name="initialbenrat" localSheetId="6">Grade12!$L$2</definedName>
    <definedName name="initialbenrat" localSheetId="7">Grade13!$L$2</definedName>
    <definedName name="initialbenrat" localSheetId="8">Grade14!$L$2</definedName>
    <definedName name="initialbenrat" localSheetId="9">Grade15!$L$2</definedName>
    <definedName name="initialbenrat" localSheetId="10">Grade16!$L$2</definedName>
    <definedName name="initialbenrat" localSheetId="11">Grade17!$L$2</definedName>
    <definedName name="initialbenrat" localSheetId="12">Grade18!$L$2</definedName>
    <definedName name="initialbenrat" localSheetId="3">Grade9!$L$2</definedName>
    <definedName name="initialbenrat">Grade8!$L$2</definedName>
    <definedName name="initialcompensationratio">#REF!</definedName>
    <definedName name="initialcomprat">#REF!</definedName>
    <definedName name="initialpart" localSheetId="4">Grade10!$L$2</definedName>
    <definedName name="initialpart" localSheetId="5">Grade11!$L$2</definedName>
    <definedName name="initialpart" localSheetId="6">Grade12!$L$2</definedName>
    <definedName name="initialpart" localSheetId="7">Grade13!$L$2</definedName>
    <definedName name="initialpart" localSheetId="8">Grade14!$L$2</definedName>
    <definedName name="initialpart" localSheetId="9">Grade15!$L$2</definedName>
    <definedName name="initialpart" localSheetId="10">Grade16!$L$2</definedName>
    <definedName name="initialpart" localSheetId="11">Grade17!$L$2</definedName>
    <definedName name="initialpart" localSheetId="12">Grade18!$L$2</definedName>
    <definedName name="initialpart">Grade9!$L$2</definedName>
    <definedName name="initialspart" localSheetId="4">Grade10!$J$2</definedName>
    <definedName name="initialspart" localSheetId="5">Grade11!$J$2</definedName>
    <definedName name="initialspart" localSheetId="6">Grade12!$J$2</definedName>
    <definedName name="initialspart" localSheetId="7">Grade13!$J$2</definedName>
    <definedName name="initialspart" localSheetId="8">Grade14!$J$2</definedName>
    <definedName name="initialspart" localSheetId="9">Grade15!$J$2</definedName>
    <definedName name="initialspart" localSheetId="10">Grade16!$J$2</definedName>
    <definedName name="initialspart" localSheetId="11">Grade17!$J$2</definedName>
    <definedName name="initialspart" localSheetId="12">Grade18!$J$2</definedName>
    <definedName name="initialspart">Grade9!$J$2</definedName>
    <definedName name="initialunempprob" localSheetId="4">Grade10!$K$2</definedName>
    <definedName name="initialunempprob" localSheetId="5">Grade11!$K$2</definedName>
    <definedName name="initialunempprob" localSheetId="6">Grade12!$K$2</definedName>
    <definedName name="initialunempprob" localSheetId="7">Grade13!$K$2</definedName>
    <definedName name="initialunempprob" localSheetId="8">Grade14!$K$2</definedName>
    <definedName name="initialunempprob" localSheetId="9">Grade15!$K$2</definedName>
    <definedName name="initialunempprob" localSheetId="10">Grade16!$K$2</definedName>
    <definedName name="initialunempprob" localSheetId="11">Grade17!$K$2</definedName>
    <definedName name="initialunempprob" localSheetId="12">Grade18!$K$2</definedName>
    <definedName name="initialunempprob" localSheetId="3">Grade9!$K$2</definedName>
    <definedName name="initialunempprob">Grade8!$K$2</definedName>
    <definedName name="nptrans">Meta!$S$2</definedName>
    <definedName name="part10">Meta!$F$4</definedName>
    <definedName name="part11">Meta!$F$5</definedName>
    <definedName name="part12">Meta!$F$6</definedName>
    <definedName name="part13">Meta!$F$7</definedName>
    <definedName name="part14">Meta!$F$8</definedName>
    <definedName name="part15">Meta!$F$9</definedName>
    <definedName name="part16">Meta!$F$10</definedName>
    <definedName name="part17">Meta!$F$11</definedName>
    <definedName name="part18">Meta!$F$12</definedName>
    <definedName name="part8">Meta!$F$2</definedName>
    <definedName name="part9">Meta!$F$3</definedName>
    <definedName name="pecuniaryreturn">#REF!</definedName>
    <definedName name="pretaxincome" localSheetId="4">Grade10!$C$2</definedName>
    <definedName name="pretaxincome" localSheetId="5">Grade11!$C$2</definedName>
    <definedName name="pretaxincome" localSheetId="6">Grade12!$C$2</definedName>
    <definedName name="pretaxincome" localSheetId="7">Grade13!$C$2</definedName>
    <definedName name="pretaxincome" localSheetId="8">Grade14!$C$2</definedName>
    <definedName name="pretaxincome" localSheetId="9">Grade15!$C$2</definedName>
    <definedName name="pretaxincome" localSheetId="10">Grade16!$C$2</definedName>
    <definedName name="pretaxincome" localSheetId="11">Grade17!$C$2</definedName>
    <definedName name="pretaxincome" localSheetId="12">Grade18!$C$2</definedName>
    <definedName name="pretaxincome" localSheetId="3">Grade9!$C$2</definedName>
    <definedName name="pretaxincome">Grade8!$C$2</definedName>
    <definedName name="pretaxincome8" localSheetId="4">Grade10!$C$2</definedName>
    <definedName name="pretaxincome8" localSheetId="5">Grade11!$C$2</definedName>
    <definedName name="pretaxincome8" localSheetId="6">Grade12!$C$2</definedName>
    <definedName name="pretaxincome8" localSheetId="7">Grade13!$C$2</definedName>
    <definedName name="pretaxincome8" localSheetId="8">Grade14!$C$2</definedName>
    <definedName name="pretaxincome8" localSheetId="9">Grade15!$C$2</definedName>
    <definedName name="pretaxincome8" localSheetId="10">Grade16!$C$2</definedName>
    <definedName name="pretaxincome8" localSheetId="11">Grade17!$C$2</definedName>
    <definedName name="pretaxincome8" localSheetId="12">Grade18!$C$2</definedName>
    <definedName name="pretaxincome8" localSheetId="3">Grade9!$C$2</definedName>
    <definedName name="pretaxincome8">Grade8!$C$2</definedName>
    <definedName name="pretaxincomey8" localSheetId="4">Grade10!$C$2</definedName>
    <definedName name="pretaxincomey8" localSheetId="5">Grade11!$C$2</definedName>
    <definedName name="pretaxincomey8" localSheetId="6">Grade12!$C$2</definedName>
    <definedName name="pretaxincomey8" localSheetId="7">Grade13!$C$2</definedName>
    <definedName name="pretaxincomey8" localSheetId="8">Grade14!$C$2</definedName>
    <definedName name="pretaxincomey8" localSheetId="9">Grade15!$C$2</definedName>
    <definedName name="pretaxincomey8" localSheetId="10">Grade16!$C$2</definedName>
    <definedName name="pretaxincomey8" localSheetId="11">Grade17!$C$2</definedName>
    <definedName name="pretaxincomey8" localSheetId="12">Grade18!$C$2</definedName>
    <definedName name="pretaxincomey8" localSheetId="3">Grade9!$C$2</definedName>
    <definedName name="pretaxincomey8">Grade8!$C$2</definedName>
    <definedName name="return">#REF!</definedName>
    <definedName name="returntoeducation">#REF!</definedName>
    <definedName name="returntoexperience" localSheetId="1">Output!#REF!</definedName>
    <definedName name="returntoexperience">Meta!$H$2</definedName>
    <definedName name="sbenefits" localSheetId="4">Grade10!$O$2</definedName>
    <definedName name="sbenefits" localSheetId="5">Grade11!$O$2</definedName>
    <definedName name="sbenefits" localSheetId="6">Grade12!$O$2</definedName>
    <definedName name="sbenefits" localSheetId="7">Grade13!$O$2</definedName>
    <definedName name="sbenefits" localSheetId="8">Grade14!$O$2</definedName>
    <definedName name="sbenefits" localSheetId="9">Grade15!$O$2</definedName>
    <definedName name="sbenefits" localSheetId="10">Grade16!$O$2</definedName>
    <definedName name="sbenefits" localSheetId="11">Grade17!$O$2</definedName>
    <definedName name="sbenefits" localSheetId="12">Grade18!$O$2</definedName>
    <definedName name="sbenefits" localSheetId="3">Grade9!$O$2</definedName>
    <definedName name="sbenefits">Grade8!$O$2</definedName>
    <definedName name="scrimecost" localSheetId="4">Grade10!$R$2</definedName>
    <definedName name="scrimecost" localSheetId="5">Grade11!$R$2</definedName>
    <definedName name="scrimecost" localSheetId="6">Grade12!$R$2</definedName>
    <definedName name="scrimecost" localSheetId="7">Grade13!$R$2</definedName>
    <definedName name="scrimecost" localSheetId="8">Grade14!$R$2</definedName>
    <definedName name="scrimecost" localSheetId="9">Grade15!$R$2</definedName>
    <definedName name="scrimecost" localSheetId="10">Grade16!$R$2</definedName>
    <definedName name="scrimecost" localSheetId="11">Grade17!$R$2</definedName>
    <definedName name="scrimecost" localSheetId="12">Grade18!$R$2</definedName>
    <definedName name="scrimecost" localSheetId="3">Grade9!$R$2</definedName>
    <definedName name="scrimecost">Grade8!$R$2</definedName>
    <definedName name="sincome" localSheetId="4">Grade10!$N$2</definedName>
    <definedName name="sincome" localSheetId="5">Grade11!$N$2</definedName>
    <definedName name="sincome" localSheetId="6">Grade12!$N$2</definedName>
    <definedName name="sincome" localSheetId="7">Grade13!$N$2</definedName>
    <definedName name="sincome" localSheetId="8">Grade14!$N$2</definedName>
    <definedName name="sincome" localSheetId="9">Grade15!$N$2</definedName>
    <definedName name="sincome" localSheetId="10">Grade16!$N$2</definedName>
    <definedName name="sincome" localSheetId="11">Grade17!$N$2</definedName>
    <definedName name="sincome" localSheetId="12">Grade18!$N$2</definedName>
    <definedName name="sincome" localSheetId="3">Grade9!$N$2</definedName>
    <definedName name="sincome">Grade8!$N$2</definedName>
    <definedName name="spart" localSheetId="4">Grade10!$Q$2</definedName>
    <definedName name="spart" localSheetId="5">Grade11!$Q$2</definedName>
    <definedName name="spart" localSheetId="6">Grade12!$Q$2</definedName>
    <definedName name="spart" localSheetId="7">Grade13!$Q$2</definedName>
    <definedName name="spart" localSheetId="8">Grade14!$Q$2</definedName>
    <definedName name="spart" localSheetId="9">Grade15!$Q$2</definedName>
    <definedName name="spart" localSheetId="10">Grade16!$Q$2</definedName>
    <definedName name="spart" localSheetId="11">Grade17!$Q$2</definedName>
    <definedName name="spart" localSheetId="12">Grade18!$Q$2</definedName>
    <definedName name="spart" localSheetId="3">Grade9!$Q$2</definedName>
    <definedName name="spart">Grade8!$Q$2</definedName>
    <definedName name="sreturn" localSheetId="4">Grade10!$T$2</definedName>
    <definedName name="sreturn" localSheetId="5">Grade11!$T$2</definedName>
    <definedName name="sreturn" localSheetId="6">Grade12!$T$2</definedName>
    <definedName name="sreturn" localSheetId="7">Grade13!$T$2</definedName>
    <definedName name="sreturn" localSheetId="8">Grade14!$T$2</definedName>
    <definedName name="sreturn" localSheetId="9">Grade15!$T$2</definedName>
    <definedName name="sreturn" localSheetId="10">Grade16!$T$2</definedName>
    <definedName name="sreturn" localSheetId="11">Grade17!$T$2</definedName>
    <definedName name="sreturn" localSheetId="12">Grade18!$T$2</definedName>
    <definedName name="sreturn">Grade9!$T$2</definedName>
    <definedName name="startage" localSheetId="4">Grade10!$B$2</definedName>
    <definedName name="startage" localSheetId="5">Grade11!$B$2</definedName>
    <definedName name="startage" localSheetId="6">Grade12!$B$2</definedName>
    <definedName name="startage" localSheetId="7">Grade13!$B$2</definedName>
    <definedName name="startage" localSheetId="8">Grade14!$B$2</definedName>
    <definedName name="startage" localSheetId="9">Grade15!$B$2</definedName>
    <definedName name="startage" localSheetId="10">Grade16!$B$2</definedName>
    <definedName name="startage" localSheetId="11">Grade17!$B$2</definedName>
    <definedName name="startage" localSheetId="12">Grade18!$B$2</definedName>
    <definedName name="startage" localSheetId="3">Grade9!$B$2</definedName>
    <definedName name="startage">Grade8!$B$2</definedName>
    <definedName name="sunemp" localSheetId="4">Grade10!$P$2</definedName>
    <definedName name="sunemp" localSheetId="5">Grade11!$P$2</definedName>
    <definedName name="sunemp" localSheetId="6">Grade12!$P$2</definedName>
    <definedName name="sunemp" localSheetId="7">Grade13!$P$2</definedName>
    <definedName name="sunemp" localSheetId="8">Grade14!$P$2</definedName>
    <definedName name="sunemp" localSheetId="9">Grade15!$P$2</definedName>
    <definedName name="sunemp" localSheetId="10">Grade16!$P$2</definedName>
    <definedName name="sunemp" localSheetId="11">Grade17!$P$2</definedName>
    <definedName name="sunemp" localSheetId="12">Grade18!$P$2</definedName>
    <definedName name="sunemp" localSheetId="3">Grade9!$P$2</definedName>
    <definedName name="sunemp">Grade8!$P$2</definedName>
    <definedName name="ttd">#REF!</definedName>
    <definedName name="unempprob" localSheetId="4">Grade10!$E$2</definedName>
    <definedName name="unempprob" localSheetId="5">Grade11!$E$2</definedName>
    <definedName name="unempprob" localSheetId="6">Grade12!$E$2</definedName>
    <definedName name="unempprob" localSheetId="7">Grade13!$E$2</definedName>
    <definedName name="unempprob" localSheetId="8">Grade14!$E$2</definedName>
    <definedName name="unempprob" localSheetId="9">Grade15!$E$2</definedName>
    <definedName name="unempprob" localSheetId="10">Grade16!$E$2</definedName>
    <definedName name="unempprob" localSheetId="11">Grade17!$E$2</definedName>
    <definedName name="unempprob" localSheetId="12">Grade18!$E$2</definedName>
    <definedName name="unempprob" localSheetId="3">Grade9!$E$2</definedName>
    <definedName name="unempprob">Grade8!$E$2</definedName>
    <definedName name="unempprob8" localSheetId="4">Grade10!$E$2</definedName>
    <definedName name="unempprob8" localSheetId="5">Grade11!$E$2</definedName>
    <definedName name="unempprob8" localSheetId="6">Grade12!$E$2</definedName>
    <definedName name="unempprob8" localSheetId="7">Grade13!$E$2</definedName>
    <definedName name="unempprob8" localSheetId="8">Grade14!$E$2</definedName>
    <definedName name="unempprob8" localSheetId="9">Grade15!$E$2</definedName>
    <definedName name="unempprob8" localSheetId="10">Grade16!$E$2</definedName>
    <definedName name="unempprob8" localSheetId="11">Grade17!$E$2</definedName>
    <definedName name="unempprob8" localSheetId="12">Grade18!$E$2</definedName>
    <definedName name="unempprob8" localSheetId="3">Grade9!$E$2</definedName>
    <definedName name="unempprob8">Grade8!$E$2</definedName>
    <definedName name="unempproby8" localSheetId="4">Grade10!$E$2</definedName>
    <definedName name="unempproby8" localSheetId="5">Grade11!$E$2</definedName>
    <definedName name="unempproby8" localSheetId="6">Grade12!$E$2</definedName>
    <definedName name="unempproby8" localSheetId="7">Grade13!$E$2</definedName>
    <definedName name="unempproby8" localSheetId="8">Grade14!$E$2</definedName>
    <definedName name="unempproby8" localSheetId="9">Grade15!$E$2</definedName>
    <definedName name="unempproby8" localSheetId="10">Grade16!$E$2</definedName>
    <definedName name="unempproby8" localSheetId="11">Grade17!$E$2</definedName>
    <definedName name="unempproby8" localSheetId="12">Grade18!$E$2</definedName>
    <definedName name="unempproby8" localSheetId="3">Grade9!$E$2</definedName>
    <definedName name="unempproby8">Grade8!$E$2</definedName>
  </definedNames>
  <calcPr calcId="145621"/>
</workbook>
</file>

<file path=xl/calcChain.xml><?xml version="1.0" encoding="utf-8"?>
<calcChain xmlns="http://schemas.openxmlformats.org/spreadsheetml/2006/main">
  <c r="R14" i="61" l="1"/>
  <c r="N57" i="61"/>
  <c r="N58" i="61"/>
  <c r="N59" i="61"/>
  <c r="N60" i="61"/>
  <c r="N61" i="61"/>
  <c r="N62" i="61"/>
  <c r="N63" i="61"/>
  <c r="N64" i="61"/>
  <c r="N65" i="61"/>
  <c r="N66" i="61"/>
  <c r="N67" i="61"/>
  <c r="N68" i="61"/>
  <c r="N69" i="61"/>
  <c r="R2" i="61"/>
  <c r="M19" i="61"/>
  <c r="Q2" i="61"/>
  <c r="P2" i="61"/>
  <c r="O2" i="61"/>
  <c r="N2" i="61"/>
  <c r="K2" i="61"/>
  <c r="J2" i="61"/>
  <c r="H2" i="61"/>
  <c r="F2" i="61"/>
  <c r="E2" i="61"/>
  <c r="D2" i="61"/>
  <c r="C2" i="61"/>
  <c r="B2" i="61"/>
  <c r="R13" i="60"/>
  <c r="N57" i="60"/>
  <c r="N58" i="60"/>
  <c r="N59" i="60"/>
  <c r="N60" i="60"/>
  <c r="N61" i="60"/>
  <c r="N62" i="60"/>
  <c r="N63" i="60"/>
  <c r="N64" i="60"/>
  <c r="N65" i="60"/>
  <c r="N66" i="60"/>
  <c r="N67" i="60"/>
  <c r="N68" i="60"/>
  <c r="N69" i="60"/>
  <c r="R2" i="60"/>
  <c r="Q2" i="60"/>
  <c r="P2" i="60"/>
  <c r="O2" i="60"/>
  <c r="N2" i="60"/>
  <c r="L31" i="60"/>
  <c r="K2" i="60"/>
  <c r="J2" i="60"/>
  <c r="H2" i="60"/>
  <c r="F2" i="60"/>
  <c r="E2" i="60"/>
  <c r="D2" i="60"/>
  <c r="C2" i="60"/>
  <c r="B2" i="60"/>
  <c r="B22" i="60"/>
  <c r="R12" i="59"/>
  <c r="N57" i="59"/>
  <c r="N58" i="59"/>
  <c r="N59" i="59"/>
  <c r="N60" i="59"/>
  <c r="N61" i="59"/>
  <c r="N62" i="59"/>
  <c r="N63" i="59"/>
  <c r="N64" i="59"/>
  <c r="N65" i="59"/>
  <c r="N66" i="59"/>
  <c r="N67" i="59"/>
  <c r="N68" i="59"/>
  <c r="N69" i="59"/>
  <c r="R2" i="59"/>
  <c r="M68" i="59"/>
  <c r="Q2" i="59"/>
  <c r="P2" i="59"/>
  <c r="O2" i="59"/>
  <c r="L29" i="59"/>
  <c r="N2" i="59"/>
  <c r="K2" i="59"/>
  <c r="J2" i="59"/>
  <c r="H2" i="59"/>
  <c r="F2" i="59"/>
  <c r="E2" i="59"/>
  <c r="D2" i="59"/>
  <c r="C2" i="59"/>
  <c r="B2" i="59"/>
  <c r="B27" i="59"/>
  <c r="R11" i="58"/>
  <c r="N57" i="58"/>
  <c r="N58" i="58"/>
  <c r="N59" i="58"/>
  <c r="N60" i="58"/>
  <c r="N61" i="58"/>
  <c r="N62" i="58"/>
  <c r="N63" i="58"/>
  <c r="N64" i="58"/>
  <c r="N65" i="58"/>
  <c r="N66" i="58"/>
  <c r="N67" i="58"/>
  <c r="N68" i="58"/>
  <c r="N69" i="58"/>
  <c r="R2" i="58"/>
  <c r="M64" i="58"/>
  <c r="Q2" i="58"/>
  <c r="P2" i="58"/>
  <c r="O2" i="58"/>
  <c r="N2" i="58"/>
  <c r="K2" i="58"/>
  <c r="J2" i="58"/>
  <c r="H2" i="58"/>
  <c r="F2" i="58"/>
  <c r="E2" i="58"/>
  <c r="D2" i="58"/>
  <c r="C2" i="58"/>
  <c r="B2" i="58"/>
  <c r="R10" i="57"/>
  <c r="N57" i="57"/>
  <c r="N58" i="57"/>
  <c r="N59" i="57"/>
  <c r="N60" i="57"/>
  <c r="N61" i="57"/>
  <c r="N62" i="57"/>
  <c r="N63" i="57"/>
  <c r="N64" i="57"/>
  <c r="N65" i="57"/>
  <c r="N66" i="57"/>
  <c r="N67" i="57"/>
  <c r="N68" i="57"/>
  <c r="N69" i="57"/>
  <c r="R2" i="57"/>
  <c r="M26" i="57"/>
  <c r="Q2" i="57"/>
  <c r="P2" i="57"/>
  <c r="O2" i="57"/>
  <c r="N2" i="57"/>
  <c r="K2" i="57"/>
  <c r="J2" i="57"/>
  <c r="H2" i="57"/>
  <c r="F2" i="57"/>
  <c r="E2" i="57"/>
  <c r="D2" i="57"/>
  <c r="C2" i="57"/>
  <c r="B2" i="57"/>
  <c r="B17" i="57"/>
  <c r="R9" i="56"/>
  <c r="N57" i="56"/>
  <c r="N58" i="56"/>
  <c r="N59" i="56"/>
  <c r="N60" i="56"/>
  <c r="N61" i="56"/>
  <c r="N62" i="56"/>
  <c r="N63" i="56"/>
  <c r="N64" i="56"/>
  <c r="N65" i="56"/>
  <c r="N66" i="56"/>
  <c r="N67" i="56"/>
  <c r="N68" i="56"/>
  <c r="N69" i="56"/>
  <c r="R2" i="56"/>
  <c r="M26" i="56"/>
  <c r="Q2" i="56"/>
  <c r="P2" i="56"/>
  <c r="O2" i="56"/>
  <c r="N2" i="56"/>
  <c r="L49" i="56"/>
  <c r="K2" i="56"/>
  <c r="J2" i="56"/>
  <c r="H2" i="56"/>
  <c r="F2" i="56"/>
  <c r="E2" i="56"/>
  <c r="D2" i="56"/>
  <c r="C2" i="56"/>
  <c r="B2" i="56"/>
  <c r="B32" i="56"/>
  <c r="R8" i="55"/>
  <c r="N57" i="55"/>
  <c r="N58" i="55"/>
  <c r="N59" i="55"/>
  <c r="N60" i="55"/>
  <c r="N61" i="55"/>
  <c r="N62" i="55"/>
  <c r="N63" i="55"/>
  <c r="N64" i="55"/>
  <c r="N65" i="55"/>
  <c r="N66" i="55"/>
  <c r="N67" i="55"/>
  <c r="N68" i="55"/>
  <c r="N69" i="55"/>
  <c r="R2" i="55"/>
  <c r="Q2" i="55"/>
  <c r="P2" i="55"/>
  <c r="O2" i="55"/>
  <c r="N2" i="55"/>
  <c r="K2" i="55"/>
  <c r="J2" i="55"/>
  <c r="H2" i="55"/>
  <c r="F2" i="55"/>
  <c r="E2" i="55"/>
  <c r="D2" i="55"/>
  <c r="C2" i="55"/>
  <c r="B2" i="55"/>
  <c r="R7" i="54"/>
  <c r="R6" i="53"/>
  <c r="N57" i="54"/>
  <c r="N58" i="54"/>
  <c r="N59" i="54"/>
  <c r="N60" i="54"/>
  <c r="N61" i="54"/>
  <c r="N62" i="54"/>
  <c r="N63" i="54"/>
  <c r="N64" i="54"/>
  <c r="N65" i="54"/>
  <c r="N66" i="54"/>
  <c r="N67" i="54"/>
  <c r="N68" i="54"/>
  <c r="N69" i="54"/>
  <c r="R2" i="54"/>
  <c r="M40" i="54"/>
  <c r="Q2" i="54"/>
  <c r="P2" i="54"/>
  <c r="O2" i="54"/>
  <c r="N2" i="54"/>
  <c r="K2" i="54"/>
  <c r="J2" i="54"/>
  <c r="H2" i="54"/>
  <c r="F2" i="54"/>
  <c r="E2" i="54"/>
  <c r="D2" i="54"/>
  <c r="C2" i="54"/>
  <c r="B2" i="54"/>
  <c r="N57" i="53"/>
  <c r="N58" i="53"/>
  <c r="N59" i="53"/>
  <c r="N60" i="53"/>
  <c r="N61" i="53"/>
  <c r="N62" i="53"/>
  <c r="N63" i="53"/>
  <c r="N64" i="53"/>
  <c r="N65" i="53"/>
  <c r="N66" i="53"/>
  <c r="N67" i="53"/>
  <c r="N68" i="53"/>
  <c r="N69" i="53"/>
  <c r="R2" i="53"/>
  <c r="M66" i="53"/>
  <c r="Q2" i="53"/>
  <c r="P2" i="53"/>
  <c r="O2" i="53"/>
  <c r="N2" i="53"/>
  <c r="K2" i="53"/>
  <c r="J2" i="53"/>
  <c r="H2" i="53"/>
  <c r="F2" i="53"/>
  <c r="E2" i="53"/>
  <c r="D2" i="53"/>
  <c r="C2" i="53"/>
  <c r="B2" i="53"/>
  <c r="B26" i="53"/>
  <c r="N57" i="52"/>
  <c r="N58" i="52"/>
  <c r="N59" i="52"/>
  <c r="N60" i="52"/>
  <c r="N61" i="52"/>
  <c r="N62" i="52"/>
  <c r="N63" i="52"/>
  <c r="N64" i="52"/>
  <c r="N65" i="52"/>
  <c r="N66" i="52"/>
  <c r="N67" i="52"/>
  <c r="N68" i="52"/>
  <c r="N69" i="52"/>
  <c r="J2" i="52"/>
  <c r="Q2" i="52"/>
  <c r="R5" i="52"/>
  <c r="R2" i="52"/>
  <c r="P2" i="52"/>
  <c r="O2" i="52"/>
  <c r="N2" i="52"/>
  <c r="H2" i="52"/>
  <c r="F2" i="52"/>
  <c r="E2" i="52"/>
  <c r="D2" i="52"/>
  <c r="C2" i="52"/>
  <c r="B2" i="52"/>
  <c r="B38" i="52"/>
  <c r="K2" i="52"/>
  <c r="R2" i="1"/>
  <c r="M29" i="1"/>
  <c r="S2" i="4"/>
  <c r="F2" i="1"/>
  <c r="E2" i="1"/>
  <c r="Q2" i="1"/>
  <c r="P2" i="1"/>
  <c r="O2" i="1"/>
  <c r="N2" i="1"/>
  <c r="D2" i="1"/>
  <c r="C2" i="1"/>
  <c r="B7" i="50"/>
  <c r="B3" i="50"/>
  <c r="K3" i="50"/>
  <c r="B4" i="50"/>
  <c r="B5" i="50"/>
  <c r="B6" i="50"/>
  <c r="B8" i="50"/>
  <c r="N10" i="50"/>
  <c r="N8" i="50"/>
  <c r="B9" i="50"/>
  <c r="B10" i="50"/>
  <c r="B11" i="50"/>
  <c r="B12" i="50"/>
  <c r="B2" i="50"/>
  <c r="M2" i="4"/>
  <c r="M3" i="4"/>
  <c r="M4" i="4"/>
  <c r="M5" i="4"/>
  <c r="M6" i="4"/>
  <c r="M7" i="4"/>
  <c r="M8" i="4"/>
  <c r="M9" i="4"/>
  <c r="M10" i="4"/>
  <c r="M11" i="4"/>
  <c r="M12" i="4"/>
  <c r="M13" i="4"/>
  <c r="M14" i="4"/>
  <c r="M15" i="4"/>
  <c r="M16" i="4"/>
  <c r="M17" i="4"/>
  <c r="M18" i="4"/>
  <c r="M19" i="4"/>
  <c r="M20" i="4"/>
  <c r="M21" i="4"/>
  <c r="M22" i="4"/>
  <c r="M23" i="4"/>
  <c r="M24" i="4"/>
  <c r="M25" i="4"/>
  <c r="M26" i="4"/>
  <c r="M27" i="4"/>
  <c r="M28" i="4"/>
  <c r="M29" i="4"/>
  <c r="M30" i="4"/>
  <c r="M31" i="4"/>
  <c r="M32" i="4"/>
  <c r="M33" i="4"/>
  <c r="M34" i="4"/>
  <c r="M35" i="4"/>
  <c r="M36" i="4"/>
  <c r="M37" i="4"/>
  <c r="M38" i="4"/>
  <c r="M39" i="4"/>
  <c r="M40" i="4"/>
  <c r="M41" i="4"/>
  <c r="M42" i="4"/>
  <c r="M43" i="4"/>
  <c r="M44" i="4"/>
  <c r="M45" i="4"/>
  <c r="M46" i="4"/>
  <c r="M47" i="4"/>
  <c r="M48" i="4"/>
  <c r="M49" i="4"/>
  <c r="M50" i="4"/>
  <c r="M51" i="4"/>
  <c r="M52" i="4"/>
  <c r="M53" i="4"/>
  <c r="B2" i="1"/>
  <c r="K2" i="1"/>
  <c r="H2" i="1"/>
  <c r="M34" i="59"/>
  <c r="M22" i="59"/>
  <c r="M30" i="59"/>
  <c r="B41" i="59"/>
  <c r="B54" i="59"/>
  <c r="M66" i="59"/>
  <c r="M58" i="59"/>
  <c r="M63" i="59"/>
  <c r="M56" i="59"/>
  <c r="M54" i="59"/>
  <c r="M52" i="59"/>
  <c r="M50" i="59"/>
  <c r="M48" i="59"/>
  <c r="M46" i="59"/>
  <c r="M44" i="59"/>
  <c r="M42" i="59"/>
  <c r="M40" i="59"/>
  <c r="M69" i="59"/>
  <c r="M61" i="59"/>
  <c r="M20" i="59"/>
  <c r="M24" i="59"/>
  <c r="M33" i="59"/>
  <c r="B22" i="59"/>
  <c r="M45" i="58"/>
  <c r="M37" i="58"/>
  <c r="M59" i="57"/>
  <c r="M49" i="57"/>
  <c r="B29" i="60"/>
  <c r="B48" i="60"/>
  <c r="M13" i="59"/>
  <c r="M21" i="59"/>
  <c r="M23" i="58"/>
  <c r="M13" i="58"/>
  <c r="O13" i="59"/>
  <c r="M35" i="58"/>
  <c r="M63" i="58"/>
  <c r="M42" i="58"/>
  <c r="O42" i="59" s="1"/>
  <c r="S42" i="59" s="1"/>
  <c r="M42" i="56"/>
  <c r="B34" i="57"/>
  <c r="B16" i="60"/>
  <c r="B20" i="60"/>
  <c r="B43" i="60"/>
  <c r="B39" i="60"/>
  <c r="B35" i="60"/>
  <c r="B31" i="60"/>
  <c r="B27" i="60"/>
  <c r="B55" i="60"/>
  <c r="B47" i="60"/>
  <c r="B52" i="60"/>
  <c r="B44" i="60"/>
  <c r="B17" i="60"/>
  <c r="B21" i="60"/>
  <c r="B42" i="60"/>
  <c r="B38" i="60"/>
  <c r="B34" i="60"/>
  <c r="B30" i="60"/>
  <c r="B26" i="60"/>
  <c r="B53" i="60"/>
  <c r="B45" i="60"/>
  <c r="B50" i="60"/>
  <c r="B19" i="60"/>
  <c r="B40" i="60"/>
  <c r="B32" i="60"/>
  <c r="B24" i="60"/>
  <c r="B54" i="60"/>
  <c r="B15" i="60"/>
  <c r="B23" i="60"/>
  <c r="B36" i="60"/>
  <c r="B28" i="60"/>
  <c r="B49" i="60"/>
  <c r="B46" i="60"/>
  <c r="B18" i="60"/>
  <c r="B33" i="60"/>
  <c r="B56" i="60"/>
  <c r="B41" i="60"/>
  <c r="B25" i="60"/>
  <c r="B14" i="60"/>
  <c r="B37" i="60"/>
  <c r="B51" i="60"/>
  <c r="M47" i="60"/>
  <c r="B16" i="57"/>
  <c r="B29" i="57"/>
  <c r="B55" i="57"/>
  <c r="B28" i="57"/>
  <c r="B13" i="57"/>
  <c r="B39" i="57"/>
  <c r="B52" i="1"/>
  <c r="B35" i="1"/>
  <c r="B55" i="1"/>
  <c r="B10" i="1"/>
  <c r="B20" i="1"/>
  <c r="M25" i="56"/>
  <c r="M24" i="60"/>
  <c r="M61" i="60"/>
  <c r="O61" i="60" s="1"/>
  <c r="S61" i="60" s="1"/>
  <c r="M16" i="60"/>
  <c r="M59" i="60"/>
  <c r="M54" i="60"/>
  <c r="M52" i="60"/>
  <c r="M45" i="60"/>
  <c r="M43" i="60"/>
  <c r="M37" i="60"/>
  <c r="M34" i="60"/>
  <c r="M30" i="60"/>
  <c r="M21" i="60"/>
  <c r="M18" i="60"/>
  <c r="M13" i="60"/>
  <c r="M58" i="60"/>
  <c r="M60" i="60"/>
  <c r="M63" i="60"/>
  <c r="O63" i="60" s="1"/>
  <c r="M55" i="60"/>
  <c r="M50" i="60"/>
  <c r="O50" i="60"/>
  <c r="M48" i="60"/>
  <c r="M57" i="60"/>
  <c r="M35" i="60"/>
  <c r="M32" i="60"/>
  <c r="M27" i="60"/>
  <c r="M15" i="60"/>
  <c r="M14" i="60"/>
  <c r="M66" i="60"/>
  <c r="M68" i="60"/>
  <c r="M67" i="60"/>
  <c r="M53" i="60"/>
  <c r="M44" i="60"/>
  <c r="O44" i="60"/>
  <c r="M69" i="60"/>
  <c r="M31" i="60"/>
  <c r="M65" i="60"/>
  <c r="M41" i="60"/>
  <c r="M39" i="60"/>
  <c r="M20" i="60"/>
  <c r="M64" i="60"/>
  <c r="M51" i="60"/>
  <c r="M46" i="60"/>
  <c r="M38" i="60"/>
  <c r="M29" i="60"/>
  <c r="M23" i="60"/>
  <c r="M40" i="60"/>
  <c r="M19" i="60"/>
  <c r="M49" i="60"/>
  <c r="M36" i="60"/>
  <c r="M28" i="60"/>
  <c r="M25" i="60"/>
  <c r="M42" i="60"/>
  <c r="O42" i="60"/>
  <c r="M25" i="59"/>
  <c r="M16" i="59"/>
  <c r="M36" i="59"/>
  <c r="O36" i="60"/>
  <c r="M27" i="59"/>
  <c r="O27" i="60" s="1"/>
  <c r="S27" i="60" s="1"/>
  <c r="M17" i="59"/>
  <c r="B33" i="1"/>
  <c r="B29" i="1"/>
  <c r="B37" i="1"/>
  <c r="B7" i="1"/>
  <c r="B16" i="1"/>
  <c r="B32" i="1"/>
  <c r="B48" i="1"/>
  <c r="B46" i="1"/>
  <c r="B21" i="1"/>
  <c r="B5" i="1"/>
  <c r="B47" i="1"/>
  <c r="B27" i="1"/>
  <c r="B18" i="1"/>
  <c r="B34" i="1"/>
  <c r="M15" i="57"/>
  <c r="M18" i="59"/>
  <c r="O18" i="60" s="1"/>
  <c r="S18" i="60" s="1"/>
  <c r="M9" i="56"/>
  <c r="M17" i="57"/>
  <c r="M38" i="58"/>
  <c r="M48" i="58"/>
  <c r="M16" i="57"/>
  <c r="M48" i="57"/>
  <c r="M55" i="57"/>
  <c r="M43" i="57"/>
  <c r="M11" i="57"/>
  <c r="M63" i="57"/>
  <c r="O63" i="58" s="1"/>
  <c r="S63" i="58" s="1"/>
  <c r="M46" i="57"/>
  <c r="M27" i="57"/>
  <c r="M23" i="52"/>
  <c r="M29" i="52"/>
  <c r="M17" i="58"/>
  <c r="M59" i="58"/>
  <c r="M33" i="58"/>
  <c r="O33" i="59" s="1"/>
  <c r="S33" i="59" s="1"/>
  <c r="M15" i="58"/>
  <c r="M44" i="58"/>
  <c r="O44" i="59" s="1"/>
  <c r="S44" i="59" s="1"/>
  <c r="M57" i="58"/>
  <c r="M28" i="58"/>
  <c r="M58" i="58"/>
  <c r="O58" i="59"/>
  <c r="M47" i="58"/>
  <c r="M69" i="58"/>
  <c r="M19" i="58"/>
  <c r="M50" i="58"/>
  <c r="M34" i="58"/>
  <c r="O34" i="59" s="1"/>
  <c r="S34" i="59" s="1"/>
  <c r="M26" i="58"/>
  <c r="O26" i="58" s="1"/>
  <c r="S26" i="58" s="1"/>
  <c r="M12" i="58"/>
  <c r="M20" i="58"/>
  <c r="O20" i="59" s="1"/>
  <c r="S20" i="59" s="1"/>
  <c r="M18" i="58"/>
  <c r="O18" i="59" s="1"/>
  <c r="S18" i="59" s="1"/>
  <c r="M53" i="58"/>
  <c r="M41" i="58"/>
  <c r="M29" i="58"/>
  <c r="M22" i="58"/>
  <c r="O22" i="59" s="1"/>
  <c r="S22" i="59" s="1"/>
  <c r="M62" i="58"/>
  <c r="M56" i="58"/>
  <c r="M36" i="58"/>
  <c r="M55" i="58"/>
  <c r="M39" i="58"/>
  <c r="M31" i="58"/>
  <c r="M11" i="58"/>
  <c r="M65" i="58"/>
  <c r="M24" i="58"/>
  <c r="M66" i="58"/>
  <c r="O66" i="59"/>
  <c r="M49" i="58"/>
  <c r="M61" i="58"/>
  <c r="M25" i="58"/>
  <c r="M60" i="58"/>
  <c r="M52" i="58"/>
  <c r="M40" i="58"/>
  <c r="O40" i="59" s="1"/>
  <c r="S40" i="59" s="1"/>
  <c r="M32" i="58"/>
  <c r="M21" i="58"/>
  <c r="M67" i="58"/>
  <c r="M51" i="58"/>
  <c r="M43" i="58"/>
  <c r="M27" i="58"/>
  <c r="M68" i="58"/>
  <c r="M54" i="58"/>
  <c r="O54" i="59" s="1"/>
  <c r="S54" i="59" s="1"/>
  <c r="M46" i="58"/>
  <c r="M30" i="58"/>
  <c r="O30" i="59" s="1"/>
  <c r="S30" i="59" s="1"/>
  <c r="M16" i="58"/>
  <c r="M14" i="58"/>
  <c r="M60" i="59"/>
  <c r="O60" i="60" s="1"/>
  <c r="S60" i="60" s="1"/>
  <c r="B44" i="53"/>
  <c r="B41" i="53"/>
  <c r="B19" i="59"/>
  <c r="B7" i="52"/>
  <c r="B56" i="59"/>
  <c r="B45" i="59"/>
  <c r="B15" i="52"/>
  <c r="B33" i="59"/>
  <c r="B49" i="59"/>
  <c r="B38" i="58"/>
  <c r="B30" i="59"/>
  <c r="B24" i="59"/>
  <c r="B39" i="59"/>
  <c r="M63" i="1"/>
  <c r="M39" i="1"/>
  <c r="B49" i="53"/>
  <c r="B17" i="53"/>
  <c r="B20" i="53"/>
  <c r="B52" i="53"/>
  <c r="B18" i="53"/>
  <c r="B50" i="53"/>
  <c r="B14" i="53"/>
  <c r="B12" i="53"/>
  <c r="B8" i="53"/>
  <c r="B9" i="53"/>
  <c r="M63" i="53"/>
  <c r="B36" i="53"/>
  <c r="M18" i="53"/>
  <c r="M68" i="53"/>
  <c r="B42" i="53"/>
  <c r="B28" i="53"/>
  <c r="B25" i="53"/>
  <c r="B39" i="52"/>
  <c r="B51" i="59"/>
  <c r="B43" i="59"/>
  <c r="B35" i="59"/>
  <c r="B13" i="59"/>
  <c r="B11" i="53"/>
  <c r="B34" i="53"/>
  <c r="B41" i="52"/>
  <c r="B33" i="53"/>
  <c r="B17" i="59"/>
  <c r="B16" i="59"/>
  <c r="B37" i="59"/>
  <c r="B47" i="59"/>
  <c r="O63" i="59"/>
  <c r="M16" i="53"/>
  <c r="M20" i="53"/>
  <c r="M61" i="53"/>
  <c r="M57" i="53"/>
  <c r="M12" i="53"/>
  <c r="M13" i="53"/>
  <c r="M69" i="53"/>
  <c r="M40" i="53"/>
  <c r="M37" i="53"/>
  <c r="M33" i="53"/>
  <c r="M36" i="53"/>
  <c r="M52" i="53"/>
  <c r="M14" i="53"/>
  <c r="M47" i="53"/>
  <c r="M67" i="53"/>
  <c r="M58" i="53"/>
  <c r="M26" i="53"/>
  <c r="M53" i="53"/>
  <c r="M43" i="53"/>
  <c r="M41" i="53"/>
  <c r="M25" i="53"/>
  <c r="M55" i="53"/>
  <c r="M35" i="53"/>
  <c r="M60" i="53"/>
  <c r="M59" i="53"/>
  <c r="M22" i="53"/>
  <c r="M6" i="53"/>
  <c r="M32" i="53"/>
  <c r="M7" i="53"/>
  <c r="M11" i="53"/>
  <c r="B54" i="1"/>
  <c r="B50" i="1"/>
  <c r="B24" i="1"/>
  <c r="B49" i="1"/>
  <c r="B44" i="1"/>
  <c r="B31" i="1"/>
  <c r="B51" i="1"/>
  <c r="B14" i="1"/>
  <c r="B17" i="1"/>
  <c r="B23" i="1"/>
  <c r="B38" i="1"/>
  <c r="B6" i="1"/>
  <c r="B26" i="1"/>
  <c r="B45" i="1"/>
  <c r="B8" i="1"/>
  <c r="B56" i="1"/>
  <c r="B13" i="1"/>
  <c r="B9" i="1"/>
  <c r="B53" i="1"/>
  <c r="B19" i="1"/>
  <c r="B25" i="1"/>
  <c r="B40" i="1"/>
  <c r="B15" i="1"/>
  <c r="B28" i="1"/>
  <c r="B11" i="1"/>
  <c r="B30" i="1"/>
  <c r="B39" i="1"/>
  <c r="B36" i="1"/>
  <c r="B43" i="1"/>
  <c r="B22" i="1"/>
  <c r="B42" i="1"/>
  <c r="B41" i="1"/>
  <c r="B12" i="1"/>
  <c r="M57" i="52"/>
  <c r="M24" i="52"/>
  <c r="B48" i="52"/>
  <c r="B45" i="52"/>
  <c r="B28" i="52"/>
  <c r="B22" i="52"/>
  <c r="B42" i="52"/>
  <c r="B20" i="52"/>
  <c r="B51" i="52"/>
  <c r="B51" i="58"/>
  <c r="B17" i="58"/>
  <c r="B22" i="58"/>
  <c r="B31" i="59"/>
  <c r="B23" i="59"/>
  <c r="B50" i="59"/>
  <c r="B46" i="59"/>
  <c r="B42" i="59"/>
  <c r="B38" i="59"/>
  <c r="B34" i="59"/>
  <c r="B55" i="59"/>
  <c r="B15" i="59"/>
  <c r="B28" i="59"/>
  <c r="B25" i="59"/>
  <c r="B18" i="59"/>
  <c r="B52" i="59"/>
  <c r="B48" i="59"/>
  <c r="B44" i="59"/>
  <c r="B40" i="59"/>
  <c r="B36" i="59"/>
  <c r="B32" i="59"/>
  <c r="B53" i="59"/>
  <c r="B20" i="59"/>
  <c r="B21" i="59"/>
  <c r="B29" i="59"/>
  <c r="B14" i="59"/>
  <c r="B26" i="59"/>
  <c r="B35" i="54"/>
  <c r="B47" i="54"/>
  <c r="B31" i="56"/>
  <c r="B18" i="56"/>
  <c r="B49" i="56"/>
  <c r="B22" i="56"/>
  <c r="B20" i="56"/>
  <c r="B10" i="56"/>
  <c r="B26" i="58"/>
  <c r="B35" i="58"/>
  <c r="B46" i="58"/>
  <c r="B50" i="58"/>
  <c r="B36" i="58"/>
  <c r="B47" i="58"/>
  <c r="B24" i="58"/>
  <c r="B34" i="58"/>
  <c r="B45" i="58"/>
  <c r="B27" i="58"/>
  <c r="B56" i="58"/>
  <c r="B15" i="58"/>
  <c r="B25" i="58"/>
  <c r="B31" i="58"/>
  <c r="B32" i="58"/>
  <c r="B12" i="58"/>
  <c r="B29" i="58"/>
  <c r="B30" i="58"/>
  <c r="B14" i="58"/>
  <c r="B41" i="58"/>
  <c r="B52" i="58"/>
  <c r="B19" i="58"/>
  <c r="B43" i="58"/>
  <c r="B13" i="58"/>
  <c r="B43" i="56"/>
  <c r="B29" i="56"/>
  <c r="B54" i="58"/>
  <c r="B48" i="58"/>
  <c r="B18" i="58"/>
  <c r="B42" i="58"/>
  <c r="B55" i="58"/>
  <c r="B21" i="56"/>
  <c r="B39" i="58"/>
  <c r="B28" i="58"/>
  <c r="B33" i="58"/>
  <c r="B49" i="58"/>
  <c r="B20" i="58"/>
  <c r="B40" i="58"/>
  <c r="B36" i="56"/>
  <c r="B21" i="58"/>
  <c r="B23" i="58"/>
  <c r="B37" i="58"/>
  <c r="B53" i="58"/>
  <c r="B16" i="58"/>
  <c r="B32" i="54"/>
  <c r="M61" i="1"/>
  <c r="B15" i="53"/>
  <c r="B10" i="53"/>
  <c r="B55" i="53"/>
  <c r="B47" i="53"/>
  <c r="B39" i="53"/>
  <c r="B31" i="53"/>
  <c r="B23" i="53"/>
  <c r="B16" i="53"/>
  <c r="B32" i="53"/>
  <c r="B48" i="53"/>
  <c r="B30" i="53"/>
  <c r="B46" i="53"/>
  <c r="B13" i="53"/>
  <c r="B53" i="53"/>
  <c r="B45" i="53"/>
  <c r="B37" i="53"/>
  <c r="B29" i="53"/>
  <c r="B21" i="53"/>
  <c r="B51" i="53"/>
  <c r="B43" i="53"/>
  <c r="B35" i="53"/>
  <c r="B27" i="53"/>
  <c r="B19" i="53"/>
  <c r="B24" i="53"/>
  <c r="B40" i="53"/>
  <c r="B56" i="53"/>
  <c r="B22" i="53"/>
  <c r="B38" i="53"/>
  <c r="B54" i="53"/>
  <c r="B7" i="53"/>
  <c r="M17" i="60"/>
  <c r="O17" i="60" s="1"/>
  <c r="S17" i="60" s="1"/>
  <c r="M22" i="60"/>
  <c r="M62" i="60"/>
  <c r="M56" i="60"/>
  <c r="M26" i="60"/>
  <c r="M33" i="60"/>
  <c r="M12" i="1"/>
  <c r="M44" i="1"/>
  <c r="M58" i="1"/>
  <c r="M42" i="1"/>
  <c r="M26" i="1"/>
  <c r="M57" i="1"/>
  <c r="M41" i="1"/>
  <c r="M9" i="1"/>
  <c r="M48" i="1"/>
  <c r="M32" i="1"/>
  <c r="M55" i="1"/>
  <c r="M54" i="1"/>
  <c r="M22" i="1"/>
  <c r="M6" i="1"/>
  <c r="M53" i="1"/>
  <c r="M21" i="1"/>
  <c r="M69" i="1"/>
  <c r="M66" i="1"/>
  <c r="M50" i="1"/>
  <c r="M34" i="1"/>
  <c r="M18" i="1"/>
  <c r="M65" i="1"/>
  <c r="M49" i="1"/>
  <c r="M33" i="1"/>
  <c r="M17" i="1"/>
  <c r="M5" i="1"/>
  <c r="M56" i="1"/>
  <c r="M40" i="1"/>
  <c r="M24" i="1"/>
  <c r="O24" i="52" s="1"/>
  <c r="S24" i="52" s="1"/>
  <c r="O33" i="60"/>
  <c r="M9" i="52"/>
  <c r="M30" i="52"/>
  <c r="M16" i="52"/>
  <c r="M21" i="52"/>
  <c r="M67" i="52"/>
  <c r="O67" i="53" s="1"/>
  <c r="M47" i="52"/>
  <c r="O47" i="53" s="1"/>
  <c r="S47" i="53" s="1"/>
  <c r="M12" i="52"/>
  <c r="M39" i="52"/>
  <c r="M34" i="52"/>
  <c r="M15" i="52"/>
  <c r="M66" i="52"/>
  <c r="M45" i="52"/>
  <c r="M42" i="52"/>
  <c r="M13" i="52"/>
  <c r="O13" i="53" s="1"/>
  <c r="S13" i="53" s="1"/>
  <c r="M19" i="52"/>
  <c r="M11" i="52"/>
  <c r="O11" i="53"/>
  <c r="M41" i="52"/>
  <c r="M8" i="52"/>
  <c r="M37" i="52"/>
  <c r="M65" i="52"/>
  <c r="M33" i="52"/>
  <c r="O33" i="52" s="1"/>
  <c r="S33" i="52" s="1"/>
  <c r="M55" i="52"/>
  <c r="O55" i="53" s="1"/>
  <c r="S55" i="53" s="1"/>
  <c r="M53" i="52"/>
  <c r="M10" i="52"/>
  <c r="M54" i="52"/>
  <c r="M69" i="52"/>
  <c r="O69" i="52" s="1"/>
  <c r="S69" i="52" s="1"/>
  <c r="M25" i="52"/>
  <c r="M44" i="52"/>
  <c r="M40" i="52"/>
  <c r="O40" i="53" s="1"/>
  <c r="S40" i="53" s="1"/>
  <c r="M64" i="52"/>
  <c r="M68" i="52"/>
  <c r="O68" i="53" s="1"/>
  <c r="S68" i="53" s="1"/>
  <c r="M20" i="52"/>
  <c r="M7" i="52"/>
  <c r="M50" i="52"/>
  <c r="M59" i="52"/>
  <c r="O59" i="53" s="1"/>
  <c r="S59" i="53" s="1"/>
  <c r="M17" i="52"/>
  <c r="M48" i="52"/>
  <c r="M18" i="52"/>
  <c r="O18" i="53" s="1"/>
  <c r="S18" i="53" s="1"/>
  <c r="M28" i="52"/>
  <c r="M60" i="52"/>
  <c r="O60" i="53" s="1"/>
  <c r="S60" i="53" s="1"/>
  <c r="M38" i="52"/>
  <c r="M36" i="52"/>
  <c r="M14" i="52"/>
  <c r="O14" i="53"/>
  <c r="M58" i="52"/>
  <c r="O58" i="53" s="1"/>
  <c r="S58" i="53" s="1"/>
  <c r="M51" i="52"/>
  <c r="M27" i="52"/>
  <c r="M26" i="52"/>
  <c r="O26" i="53" s="1"/>
  <c r="S26" i="53" s="1"/>
  <c r="M62" i="52"/>
  <c r="M43" i="52"/>
  <c r="O43" i="53" s="1"/>
  <c r="S43" i="53" s="1"/>
  <c r="B15" i="54"/>
  <c r="B30" i="54"/>
  <c r="B34" i="54"/>
  <c r="B12" i="54"/>
  <c r="B25" i="54"/>
  <c r="B23" i="54"/>
  <c r="B28" i="54"/>
  <c r="B50" i="54"/>
  <c r="B43" i="54"/>
  <c r="B9" i="54"/>
  <c r="B36" i="54"/>
  <c r="B49" i="54"/>
  <c r="B31" i="54"/>
  <c r="B46" i="54"/>
  <c r="B48" i="54"/>
  <c r="B52" i="54"/>
  <c r="B27" i="54"/>
  <c r="B40" i="54"/>
  <c r="B39" i="54"/>
  <c r="B33" i="54"/>
  <c r="B45" i="54"/>
  <c r="B17" i="54"/>
  <c r="B55" i="54"/>
  <c r="B41" i="54"/>
  <c r="B37" i="54"/>
  <c r="B10" i="54"/>
  <c r="B20" i="54"/>
  <c r="B22" i="54"/>
  <c r="B29" i="54"/>
  <c r="B51" i="54"/>
  <c r="B21" i="54"/>
  <c r="B14" i="54"/>
  <c r="B26" i="54"/>
  <c r="B16" i="54"/>
  <c r="B13" i="54"/>
  <c r="B11" i="54"/>
  <c r="M61" i="54"/>
  <c r="M16" i="54"/>
  <c r="M25" i="54"/>
  <c r="M12" i="54"/>
  <c r="M20" i="54"/>
  <c r="M19" i="54"/>
  <c r="M33" i="54"/>
  <c r="M52" i="54"/>
  <c r="O52" i="54" s="1"/>
  <c r="S52" i="54" s="1"/>
  <c r="M54" i="54"/>
  <c r="B54" i="61"/>
  <c r="B32" i="61"/>
  <c r="B45" i="61"/>
  <c r="B39" i="61"/>
  <c r="B56" i="54"/>
  <c r="M56" i="52"/>
  <c r="B19" i="54"/>
  <c r="B18" i="54"/>
  <c r="M32" i="52"/>
  <c r="O32" i="52" s="1"/>
  <c r="S32" i="52" s="1"/>
  <c r="M61" i="52"/>
  <c r="O61" i="53" s="1"/>
  <c r="B44" i="54"/>
  <c r="B38" i="54"/>
  <c r="B42" i="54"/>
  <c r="B8" i="54"/>
  <c r="B53" i="54"/>
  <c r="M6" i="52"/>
  <c r="O6" i="52"/>
  <c r="M22" i="52"/>
  <c r="O50" i="59"/>
  <c r="M31" i="52"/>
  <c r="M63" i="52"/>
  <c r="O63" i="53" s="1"/>
  <c r="S63" i="53" s="1"/>
  <c r="M59" i="54"/>
  <c r="Q10" i="50"/>
  <c r="N9" i="50"/>
  <c r="Q9" i="50"/>
  <c r="B11" i="55"/>
  <c r="B42" i="55"/>
  <c r="M69" i="55"/>
  <c r="B24" i="54"/>
  <c r="M35" i="52"/>
  <c r="O35" i="53" s="1"/>
  <c r="S35" i="53" s="1"/>
  <c r="M52" i="52"/>
  <c r="B44" i="55"/>
  <c r="M56" i="54"/>
  <c r="O65" i="52"/>
  <c r="S65" i="52"/>
  <c r="Q6" i="50"/>
  <c r="Q5" i="50"/>
  <c r="B54" i="54"/>
  <c r="M49" i="52"/>
  <c r="M46" i="52"/>
  <c r="O66" i="60"/>
  <c r="S66" i="60" s="1"/>
  <c r="O53" i="53"/>
  <c r="B42" i="56"/>
  <c r="B46" i="56"/>
  <c r="B12" i="56"/>
  <c r="B37" i="56"/>
  <c r="B53" i="56"/>
  <c r="B33" i="56"/>
  <c r="B17" i="56"/>
  <c r="B23" i="56"/>
  <c r="B41" i="56"/>
  <c r="B26" i="56"/>
  <c r="B39" i="56"/>
  <c r="B44" i="56"/>
  <c r="B40" i="52"/>
  <c r="B47" i="52"/>
  <c r="B23" i="52"/>
  <c r="B26" i="52"/>
  <c r="B12" i="52"/>
  <c r="B34" i="52"/>
  <c r="B16" i="52"/>
  <c r="B11" i="52"/>
  <c r="B49" i="52"/>
  <c r="B30" i="52"/>
  <c r="B33" i="52"/>
  <c r="B17" i="52"/>
  <c r="M36" i="56"/>
  <c r="M33" i="56"/>
  <c r="M30" i="56"/>
  <c r="M66" i="56"/>
  <c r="M17" i="56"/>
  <c r="O22" i="53"/>
  <c r="B13" i="56"/>
  <c r="B25" i="56"/>
  <c r="B51" i="56"/>
  <c r="B54" i="56"/>
  <c r="B45" i="56"/>
  <c r="B52" i="56"/>
  <c r="B47" i="56"/>
  <c r="B24" i="56"/>
  <c r="B48" i="56"/>
  <c r="B35" i="56"/>
  <c r="B50" i="56"/>
  <c r="B21" i="52"/>
  <c r="B37" i="52"/>
  <c r="B32" i="52"/>
  <c r="B19" i="52"/>
  <c r="B31" i="52"/>
  <c r="B50" i="52"/>
  <c r="B56" i="52"/>
  <c r="B16" i="56"/>
  <c r="B27" i="52"/>
  <c r="B54" i="52"/>
  <c r="B24" i="52"/>
  <c r="B52" i="52"/>
  <c r="B25" i="52"/>
  <c r="M40" i="56"/>
  <c r="M41" i="56"/>
  <c r="M39" i="56"/>
  <c r="M63" i="56"/>
  <c r="O63" i="57" s="1"/>
  <c r="S63" i="57" s="1"/>
  <c r="B55" i="52"/>
  <c r="B34" i="56"/>
  <c r="B55" i="56"/>
  <c r="B40" i="56"/>
  <c r="B15" i="56"/>
  <c r="B28" i="56"/>
  <c r="B19" i="56"/>
  <c r="B11" i="56"/>
  <c r="B38" i="56"/>
  <c r="B27" i="56"/>
  <c r="B14" i="56"/>
  <c r="B56" i="56"/>
  <c r="B30" i="56"/>
  <c r="B9" i="52"/>
  <c r="B44" i="52"/>
  <c r="B53" i="52"/>
  <c r="B6" i="52"/>
  <c r="B13" i="52"/>
  <c r="B29" i="52"/>
  <c r="B14" i="52"/>
  <c r="B10" i="52"/>
  <c r="B43" i="52"/>
  <c r="B36" i="52"/>
  <c r="B8" i="52"/>
  <c r="B35" i="52"/>
  <c r="B18" i="52"/>
  <c r="M55" i="56"/>
  <c r="O55" i="57" s="1"/>
  <c r="S55" i="57" s="1"/>
  <c r="M52" i="56"/>
  <c r="B46" i="52"/>
  <c r="M12" i="55"/>
  <c r="B49" i="61"/>
  <c r="M56" i="55"/>
  <c r="B48" i="61"/>
  <c r="M31" i="1"/>
  <c r="M51" i="1"/>
  <c r="B12" i="55"/>
  <c r="B29" i="55"/>
  <c r="B43" i="55"/>
  <c r="B41" i="55"/>
  <c r="M28" i="55"/>
  <c r="M27" i="55"/>
  <c r="B24" i="61"/>
  <c r="B16" i="61"/>
  <c r="B26" i="61"/>
  <c r="B38" i="61"/>
  <c r="B51" i="61"/>
  <c r="B21" i="61"/>
  <c r="B35" i="61"/>
  <c r="B52" i="61"/>
  <c r="B53" i="61"/>
  <c r="B47" i="61"/>
  <c r="B28" i="61"/>
  <c r="B50" i="61"/>
  <c r="B46" i="61"/>
  <c r="B43" i="61"/>
  <c r="B15" i="61"/>
  <c r="B56" i="61"/>
  <c r="B41" i="61"/>
  <c r="B31" i="61"/>
  <c r="B37" i="61"/>
  <c r="B19" i="61"/>
  <c r="B23" i="61"/>
  <c r="B17" i="61"/>
  <c r="B20" i="61"/>
  <c r="B25" i="61"/>
  <c r="B30" i="61"/>
  <c r="B33" i="61"/>
  <c r="B55" i="61"/>
  <c r="B44" i="61"/>
  <c r="B27" i="61"/>
  <c r="B36" i="61"/>
  <c r="B18" i="61"/>
  <c r="B34" i="61"/>
  <c r="B40" i="61"/>
  <c r="B35" i="55"/>
  <c r="M7" i="1"/>
  <c r="M67" i="1"/>
  <c r="M27" i="1"/>
  <c r="O27" i="52" s="1"/>
  <c r="S27" i="52" s="1"/>
  <c r="M47" i="1"/>
  <c r="O47" i="52" s="1"/>
  <c r="S47" i="52" s="1"/>
  <c r="M45" i="1"/>
  <c r="O45" i="52" s="1"/>
  <c r="S45" i="52" s="1"/>
  <c r="M30" i="1"/>
  <c r="M19" i="1"/>
  <c r="O19" i="52" s="1"/>
  <c r="S19" i="52" s="1"/>
  <c r="M52" i="1"/>
  <c r="M68" i="1"/>
  <c r="M13" i="1"/>
  <c r="O13" i="52" s="1"/>
  <c r="S13" i="52" s="1"/>
  <c r="M10" i="1"/>
  <c r="O10" i="52" s="1"/>
  <c r="S10" i="52" s="1"/>
  <c r="M25" i="1"/>
  <c r="O25" i="52" s="1"/>
  <c r="S25" i="52" s="1"/>
  <c r="M64" i="1"/>
  <c r="O64" i="52" s="1"/>
  <c r="S64" i="52" s="1"/>
  <c r="M16" i="1"/>
  <c r="O16" i="52" s="1"/>
  <c r="S16" i="52" s="1"/>
  <c r="M38" i="1"/>
  <c r="M37" i="1"/>
  <c r="O37" i="52" s="1"/>
  <c r="S37" i="52" s="1"/>
  <c r="M60" i="1"/>
  <c r="O60" i="52" s="1"/>
  <c r="S60" i="52" s="1"/>
  <c r="M14" i="1"/>
  <c r="O14" i="52" s="1"/>
  <c r="S14" i="52" s="1"/>
  <c r="M11" i="1"/>
  <c r="M15" i="1"/>
  <c r="O15" i="52" s="1"/>
  <c r="S15" i="52" s="1"/>
  <c r="M59" i="1"/>
  <c r="M23" i="1"/>
  <c r="O23" i="52" s="1"/>
  <c r="M46" i="1"/>
  <c r="M8" i="1"/>
  <c r="O8" i="52" s="1"/>
  <c r="S8" i="52" s="1"/>
  <c r="M20" i="1"/>
  <c r="O20" i="52" s="1"/>
  <c r="S20" i="52" s="1"/>
  <c r="M35" i="1"/>
  <c r="O35" i="52" s="1"/>
  <c r="S35" i="52" s="1"/>
  <c r="M28" i="1"/>
  <c r="O28" i="52" s="1"/>
  <c r="S28" i="52" s="1"/>
  <c r="M43" i="1"/>
  <c r="O43" i="52" s="1"/>
  <c r="S43" i="52" s="1"/>
  <c r="M36" i="1"/>
  <c r="O36" i="52" s="1"/>
  <c r="S36" i="52" s="1"/>
  <c r="M62" i="1"/>
  <c r="O62" i="52" s="1"/>
  <c r="S62" i="52" s="1"/>
  <c r="B32" i="55"/>
  <c r="B9" i="55"/>
  <c r="B51" i="55"/>
  <c r="B38" i="55"/>
  <c r="B19" i="55"/>
  <c r="B50" i="55"/>
  <c r="B37" i="55"/>
  <c r="B18" i="55"/>
  <c r="B48" i="55"/>
  <c r="B16" i="55"/>
  <c r="B31" i="55"/>
  <c r="B13" i="55"/>
  <c r="B53" i="55"/>
  <c r="B47" i="55"/>
  <c r="B34" i="55"/>
  <c r="B15" i="55"/>
  <c r="B46" i="55"/>
  <c r="B33" i="55"/>
  <c r="B14" i="55"/>
  <c r="B40" i="55"/>
  <c r="B52" i="55"/>
  <c r="B23" i="55"/>
  <c r="B36" i="55"/>
  <c r="B17" i="55"/>
  <c r="B45" i="55"/>
  <c r="B28" i="55"/>
  <c r="B24" i="55"/>
  <c r="B49" i="55"/>
  <c r="B55" i="55"/>
  <c r="B22" i="55"/>
  <c r="B26" i="55"/>
  <c r="B54" i="55"/>
  <c r="B21" i="55"/>
  <c r="B25" i="55"/>
  <c r="B56" i="55"/>
  <c r="B27" i="55"/>
  <c r="B39" i="55"/>
  <c r="B22" i="61"/>
  <c r="B42" i="61"/>
  <c r="O63" i="52"/>
  <c r="S63" i="52" s="1"/>
  <c r="B29" i="61"/>
  <c r="B10" i="55"/>
  <c r="B30" i="55"/>
  <c r="B20" i="55"/>
  <c r="O25" i="54"/>
  <c r="O43" i="58"/>
  <c r="O59" i="58"/>
  <c r="S59" i="58"/>
  <c r="O16" i="58"/>
  <c r="O49" i="58"/>
  <c r="O34" i="60"/>
  <c r="O68" i="59"/>
  <c r="S68" i="59" s="1"/>
  <c r="I8" i="4"/>
  <c r="G2" i="57"/>
  <c r="H29" i="57"/>
  <c r="I5" i="4"/>
  <c r="G2" i="54"/>
  <c r="I4" i="4"/>
  <c r="G2" i="53"/>
  <c r="I2" i="4"/>
  <c r="G2" i="1"/>
  <c r="I11" i="4"/>
  <c r="G2" i="60"/>
  <c r="I7" i="4"/>
  <c r="G2" i="56"/>
  <c r="I3" i="4"/>
  <c r="G2" i="52"/>
  <c r="I12" i="4"/>
  <c r="G2" i="61"/>
  <c r="I10" i="4"/>
  <c r="G2" i="59"/>
  <c r="I9" i="4"/>
  <c r="G2" i="58"/>
  <c r="I6" i="4"/>
  <c r="G2" i="55"/>
  <c r="K8" i="50"/>
  <c r="K9" i="50"/>
  <c r="K7" i="50"/>
  <c r="K10" i="50"/>
  <c r="L37" i="1"/>
  <c r="L50" i="56"/>
  <c r="L31" i="56"/>
  <c r="L25" i="56"/>
  <c r="L22" i="56"/>
  <c r="L37" i="56"/>
  <c r="L15" i="56"/>
  <c r="L10" i="56"/>
  <c r="L47" i="56"/>
  <c r="M55" i="61"/>
  <c r="O55" i="61" s="1"/>
  <c r="S55" i="61" s="1"/>
  <c r="M56" i="61"/>
  <c r="O56" i="61" s="1"/>
  <c r="S56" i="61" s="1"/>
  <c r="M54" i="61"/>
  <c r="M41" i="61"/>
  <c r="O41" i="61" s="1"/>
  <c r="S41" i="61" s="1"/>
  <c r="M58" i="61"/>
  <c r="O58" i="61" s="1"/>
  <c r="S58" i="61" s="1"/>
  <c r="M32" i="61"/>
  <c r="O32" i="61" s="1"/>
  <c r="S32" i="61" s="1"/>
  <c r="M15" i="61"/>
  <c r="O15" i="61" s="1"/>
  <c r="S15" i="61" s="1"/>
  <c r="M47" i="61"/>
  <c r="O47" i="61" s="1"/>
  <c r="S47" i="61" s="1"/>
  <c r="M28" i="61"/>
  <c r="O28" i="61" s="1"/>
  <c r="S28" i="61" s="1"/>
  <c r="M37" i="61"/>
  <c r="O37" i="61" s="1"/>
  <c r="S37" i="61" s="1"/>
  <c r="M25" i="61"/>
  <c r="O25" i="61" s="1"/>
  <c r="S25" i="61" s="1"/>
  <c r="M69" i="61"/>
  <c r="O69" i="61" s="1"/>
  <c r="S69" i="61" s="1"/>
  <c r="M64" i="61"/>
  <c r="O64" i="61"/>
  <c r="S64" i="61" s="1"/>
  <c r="H39" i="52"/>
  <c r="C39" i="52"/>
  <c r="H42" i="53"/>
  <c r="H51" i="52"/>
  <c r="O36" i="53"/>
  <c r="O59" i="54"/>
  <c r="O17" i="59"/>
  <c r="M20" i="57"/>
  <c r="O20" i="58" s="1"/>
  <c r="S20" i="58" s="1"/>
  <c r="B27" i="57"/>
  <c r="B11" i="57"/>
  <c r="B38" i="57"/>
  <c r="M31" i="56"/>
  <c r="M43" i="56"/>
  <c r="M59" i="56"/>
  <c r="M60" i="56"/>
  <c r="M54" i="56"/>
  <c r="M12" i="56"/>
  <c r="M29" i="56"/>
  <c r="M57" i="56"/>
  <c r="M45" i="56"/>
  <c r="M37" i="56"/>
  <c r="M14" i="56"/>
  <c r="M69" i="56"/>
  <c r="M51" i="56"/>
  <c r="M58" i="56"/>
  <c r="M64" i="56"/>
  <c r="M24" i="56"/>
  <c r="M15" i="56"/>
  <c r="M11" i="56"/>
  <c r="M38" i="56"/>
  <c r="M49" i="56"/>
  <c r="M47" i="56"/>
  <c r="M28" i="56"/>
  <c r="M23" i="56"/>
  <c r="M56" i="56"/>
  <c r="M22" i="56"/>
  <c r="M67" i="56"/>
  <c r="M44" i="56"/>
  <c r="M21" i="56"/>
  <c r="M27" i="56"/>
  <c r="M53" i="56"/>
  <c r="M46" i="56"/>
  <c r="M61" i="56"/>
  <c r="M18" i="56"/>
  <c r="M50" i="56"/>
  <c r="M20" i="56"/>
  <c r="M35" i="56"/>
  <c r="M65" i="56"/>
  <c r="M34" i="56"/>
  <c r="M48" i="56"/>
  <c r="M62" i="56"/>
  <c r="M68" i="56"/>
  <c r="M13" i="56"/>
  <c r="M32" i="56"/>
  <c r="M19" i="56"/>
  <c r="O26" i="57"/>
  <c r="B44" i="58"/>
  <c r="B26" i="57"/>
  <c r="B40" i="57"/>
  <c r="B37" i="57"/>
  <c r="B45" i="57"/>
  <c r="B23" i="57"/>
  <c r="B36" i="57"/>
  <c r="B43" i="57"/>
  <c r="B51" i="57"/>
  <c r="B52" i="57"/>
  <c r="B53" i="57"/>
  <c r="B12" i="57"/>
  <c r="B49" i="57"/>
  <c r="B47" i="57"/>
  <c r="B20" i="57"/>
  <c r="B33" i="57"/>
  <c r="B14" i="57"/>
  <c r="B19" i="57"/>
  <c r="B32" i="57"/>
  <c r="B54" i="57"/>
  <c r="B35" i="57"/>
  <c r="B18" i="57"/>
  <c r="B46" i="57"/>
  <c r="B15" i="57"/>
  <c r="B30" i="57"/>
  <c r="B21" i="57"/>
  <c r="B48" i="57"/>
  <c r="B50" i="57"/>
  <c r="B44" i="57"/>
  <c r="B25" i="57"/>
  <c r="B56" i="57"/>
  <c r="B42" i="57"/>
  <c r="B24" i="57"/>
  <c r="B22" i="57"/>
  <c r="B41" i="57"/>
  <c r="B31" i="57"/>
  <c r="M28" i="57"/>
  <c r="O28" i="58" s="1"/>
  <c r="S28" i="58" s="1"/>
  <c r="M66" i="57"/>
  <c r="O66" i="57" s="1"/>
  <c r="S66" i="57" s="1"/>
  <c r="M41" i="57"/>
  <c r="O41" i="58" s="1"/>
  <c r="M22" i="57"/>
  <c r="M25" i="57"/>
  <c r="M34" i="57"/>
  <c r="O34" i="58" s="1"/>
  <c r="S34" i="58" s="1"/>
  <c r="M56" i="57"/>
  <c r="O56" i="58" s="1"/>
  <c r="S56" i="58" s="1"/>
  <c r="M40" i="57"/>
  <c r="O40" i="58" s="1"/>
  <c r="S40" i="58" s="1"/>
  <c r="M58" i="57"/>
  <c r="O58" i="58" s="1"/>
  <c r="S58" i="58" s="1"/>
  <c r="M39" i="57"/>
  <c r="O39" i="58" s="1"/>
  <c r="S39" i="58" s="1"/>
  <c r="M10" i="57"/>
  <c r="M68" i="57"/>
  <c r="O68" i="58" s="1"/>
  <c r="S68" i="58" s="1"/>
  <c r="M65" i="57"/>
  <c r="O65" i="57" s="1"/>
  <c r="S65" i="57" s="1"/>
  <c r="M29" i="57"/>
  <c r="M64" i="57"/>
  <c r="O64" i="58" s="1"/>
  <c r="S64" i="58" s="1"/>
  <c r="M53" i="57"/>
  <c r="O53" i="58" s="1"/>
  <c r="S53" i="58" s="1"/>
  <c r="M61" i="57"/>
  <c r="O61" i="57" s="1"/>
  <c r="S61" i="57" s="1"/>
  <c r="M33" i="57"/>
  <c r="M35" i="57"/>
  <c r="O35" i="58" s="1"/>
  <c r="S35" i="58" s="1"/>
  <c r="M21" i="57"/>
  <c r="O21" i="58" s="1"/>
  <c r="S21" i="58" s="1"/>
  <c r="M37" i="57"/>
  <c r="O37" i="58" s="1"/>
  <c r="S37" i="58" s="1"/>
  <c r="M62" i="57"/>
  <c r="O62" i="58" s="1"/>
  <c r="S62" i="58" s="1"/>
  <c r="M52" i="57"/>
  <c r="O52" i="58" s="1"/>
  <c r="S52" i="58" s="1"/>
  <c r="M69" i="57"/>
  <c r="O69" i="57" s="1"/>
  <c r="S69" i="57" s="1"/>
  <c r="M67" i="57"/>
  <c r="M47" i="57"/>
  <c r="M30" i="57"/>
  <c r="O30" i="57" s="1"/>
  <c r="S30" i="57" s="1"/>
  <c r="M50" i="57"/>
  <c r="O50" i="58"/>
  <c r="M12" i="57"/>
  <c r="O12" i="58" s="1"/>
  <c r="S12" i="58" s="1"/>
  <c r="M45" i="57"/>
  <c r="O45" i="57" s="1"/>
  <c r="S45" i="57" s="1"/>
  <c r="M38" i="57"/>
  <c r="O38" i="58" s="1"/>
  <c r="M14" i="57"/>
  <c r="O14" i="58"/>
  <c r="M23" i="57"/>
  <c r="O23" i="58" s="1"/>
  <c r="S23" i="58" s="1"/>
  <c r="M31" i="57"/>
  <c r="O31" i="57" s="1"/>
  <c r="S31" i="57" s="1"/>
  <c r="M36" i="57"/>
  <c r="O36" i="57" s="1"/>
  <c r="S36" i="57" s="1"/>
  <c r="M13" i="57"/>
  <c r="O13" i="58"/>
  <c r="M32" i="57"/>
  <c r="M60" i="57"/>
  <c r="O60" i="57" s="1"/>
  <c r="S60" i="57" s="1"/>
  <c r="M44" i="57"/>
  <c r="O44" i="58" s="1"/>
  <c r="M51" i="57"/>
  <c r="O51" i="57" s="1"/>
  <c r="S51" i="57" s="1"/>
  <c r="M57" i="57"/>
  <c r="O57" i="58" s="1"/>
  <c r="S57" i="58" s="1"/>
  <c r="M19" i="57"/>
  <c r="O19" i="58" s="1"/>
  <c r="S19" i="58" s="1"/>
  <c r="M24" i="57"/>
  <c r="O24" i="58" s="1"/>
  <c r="S24" i="58" s="1"/>
  <c r="M54" i="57"/>
  <c r="M42" i="57"/>
  <c r="O42" i="58" s="1"/>
  <c r="S42" i="58" s="1"/>
  <c r="M18" i="57"/>
  <c r="L27" i="56"/>
  <c r="L28" i="56"/>
  <c r="L13" i="56"/>
  <c r="L36" i="56"/>
  <c r="L18" i="56"/>
  <c r="L19" i="1"/>
  <c r="L15" i="1"/>
  <c r="O7" i="52"/>
  <c r="H35" i="61"/>
  <c r="L11" i="56"/>
  <c r="L40" i="56"/>
  <c r="L45" i="56"/>
  <c r="N45" i="56"/>
  <c r="O40" i="52"/>
  <c r="O42" i="52"/>
  <c r="L43" i="56"/>
  <c r="L30" i="56"/>
  <c r="N30" i="57"/>
  <c r="L42" i="56"/>
  <c r="L34" i="56"/>
  <c r="L32" i="56"/>
  <c r="L40" i="1"/>
  <c r="O38" i="52"/>
  <c r="O31" i="52"/>
  <c r="L26" i="56"/>
  <c r="L33" i="56"/>
  <c r="N33" i="57"/>
  <c r="O33" i="53"/>
  <c r="L50" i="1"/>
  <c r="O67" i="52"/>
  <c r="S67" i="52"/>
  <c r="L52" i="56"/>
  <c r="L41" i="56"/>
  <c r="C24" i="61"/>
  <c r="L49" i="1"/>
  <c r="L28" i="1"/>
  <c r="L5" i="1"/>
  <c r="L5" i="52"/>
  <c r="N5" i="52"/>
  <c r="L11" i="1"/>
  <c r="L21" i="1"/>
  <c r="L7" i="1"/>
  <c r="C29" i="57"/>
  <c r="D29" i="57"/>
  <c r="E29" i="57"/>
  <c r="F29" i="57"/>
  <c r="O41" i="57"/>
  <c r="L29" i="57"/>
  <c r="H24" i="57"/>
  <c r="L24" i="57"/>
  <c r="C24" i="57"/>
  <c r="D24" i="57"/>
  <c r="C14" i="57"/>
  <c r="D14" i="57"/>
  <c r="L14" i="57"/>
  <c r="H14" i="57"/>
  <c r="O49" i="57"/>
  <c r="H21" i="1"/>
  <c r="H33" i="1"/>
  <c r="H55" i="1"/>
  <c r="H18" i="1"/>
  <c r="H22" i="1"/>
  <c r="H23" i="1"/>
  <c r="H39" i="1"/>
  <c r="H15" i="1"/>
  <c r="H51" i="1"/>
  <c r="H43" i="1"/>
  <c r="H26" i="1"/>
  <c r="H17" i="1"/>
  <c r="H54" i="1"/>
  <c r="H27" i="1"/>
  <c r="H46" i="1"/>
  <c r="H5" i="1"/>
  <c r="H5" i="52"/>
  <c r="H29" i="1"/>
  <c r="H34" i="1"/>
  <c r="H42" i="1"/>
  <c r="H8" i="1"/>
  <c r="H9" i="1"/>
  <c r="H45" i="1"/>
  <c r="H31" i="1"/>
  <c r="H20" i="1"/>
  <c r="H37" i="1"/>
  <c r="H53" i="1"/>
  <c r="H38" i="1"/>
  <c r="H24" i="1"/>
  <c r="H30" i="1"/>
  <c r="H12" i="1"/>
  <c r="H52" i="1"/>
  <c r="H35" i="1"/>
  <c r="H10" i="1"/>
  <c r="H47" i="1"/>
  <c r="H41" i="1"/>
  <c r="H28" i="1"/>
  <c r="H6" i="1"/>
  <c r="H40" i="1"/>
  <c r="H13" i="1"/>
  <c r="H50" i="1"/>
  <c r="H56" i="1"/>
  <c r="H25" i="1"/>
  <c r="H7" i="1"/>
  <c r="H36" i="1"/>
  <c r="H19" i="1"/>
  <c r="H49" i="1"/>
  <c r="H11" i="1"/>
  <c r="H48" i="1"/>
  <c r="H44" i="1"/>
  <c r="H32" i="1"/>
  <c r="H14" i="1"/>
  <c r="L6" i="1"/>
  <c r="H16" i="1"/>
  <c r="O30" i="58"/>
  <c r="C50" i="57"/>
  <c r="D50" i="57"/>
  <c r="L50" i="57"/>
  <c r="N50" i="57"/>
  <c r="H50" i="57"/>
  <c r="L33" i="57"/>
  <c r="C33" i="57"/>
  <c r="D33" i="57"/>
  <c r="H33" i="57"/>
  <c r="O66" i="58"/>
  <c r="S66" i="58" s="1"/>
  <c r="H56" i="57"/>
  <c r="L56" i="57"/>
  <c r="N56" i="57"/>
  <c r="C56" i="57"/>
  <c r="D56" i="57"/>
  <c r="H46" i="57"/>
  <c r="C46" i="57"/>
  <c r="D46" i="57"/>
  <c r="L46" i="57"/>
  <c r="L20" i="57"/>
  <c r="C20" i="57"/>
  <c r="D20" i="57"/>
  <c r="H20" i="57"/>
  <c r="L53" i="57"/>
  <c r="C53" i="57"/>
  <c r="D53" i="57"/>
  <c r="H53" i="57"/>
  <c r="L36" i="57"/>
  <c r="H36" i="57"/>
  <c r="C36" i="57"/>
  <c r="D36" i="57"/>
  <c r="O13" i="57"/>
  <c r="O34" i="57"/>
  <c r="O53" i="57"/>
  <c r="O11" i="57"/>
  <c r="O37" i="57"/>
  <c r="L11" i="57"/>
  <c r="C11" i="57"/>
  <c r="H11" i="57"/>
  <c r="H11" i="58"/>
  <c r="O25" i="57"/>
  <c r="O25" i="58"/>
  <c r="L22" i="57"/>
  <c r="H22" i="57"/>
  <c r="C22" i="57"/>
  <c r="D22" i="57"/>
  <c r="H25" i="57"/>
  <c r="L25" i="57"/>
  <c r="C25" i="57"/>
  <c r="D25" i="57"/>
  <c r="H21" i="57"/>
  <c r="C21" i="57"/>
  <c r="D21" i="57"/>
  <c r="L21" i="57"/>
  <c r="H18" i="57"/>
  <c r="C18" i="57"/>
  <c r="D18" i="57"/>
  <c r="L18" i="57"/>
  <c r="H19" i="57"/>
  <c r="C19" i="57"/>
  <c r="D19" i="57"/>
  <c r="L19" i="57"/>
  <c r="C47" i="57"/>
  <c r="D47" i="57"/>
  <c r="L47" i="57"/>
  <c r="H47" i="57"/>
  <c r="H52" i="57"/>
  <c r="C52" i="57"/>
  <c r="D52" i="57"/>
  <c r="L52" i="57"/>
  <c r="C23" i="57"/>
  <c r="D23" i="57"/>
  <c r="H23" i="57"/>
  <c r="L23" i="57"/>
  <c r="N23" i="57"/>
  <c r="C26" i="57"/>
  <c r="D26" i="57"/>
  <c r="L26" i="57"/>
  <c r="H26" i="57"/>
  <c r="O68" i="57"/>
  <c r="S68" i="57" s="1"/>
  <c r="O27" i="57"/>
  <c r="O27" i="56"/>
  <c r="C27" i="57"/>
  <c r="D27" i="57"/>
  <c r="L27" i="57"/>
  <c r="H27" i="57"/>
  <c r="O40" i="57"/>
  <c r="S40" i="57" s="1"/>
  <c r="L54" i="56"/>
  <c r="L38" i="56"/>
  <c r="L23" i="56"/>
  <c r="L51" i="56"/>
  <c r="N51" i="57"/>
  <c r="L12" i="56"/>
  <c r="L21" i="56"/>
  <c r="L53" i="56"/>
  <c r="L14" i="56"/>
  <c r="N14" i="56"/>
  <c r="L20" i="56"/>
  <c r="L16" i="56"/>
  <c r="L56" i="1"/>
  <c r="L23" i="1"/>
  <c r="L9" i="1"/>
  <c r="L47" i="1"/>
  <c r="L20" i="1"/>
  <c r="L43" i="1"/>
  <c r="N43" i="52"/>
  <c r="L34" i="1"/>
  <c r="L25" i="1"/>
  <c r="L53" i="1"/>
  <c r="L13" i="1"/>
  <c r="L35" i="1"/>
  <c r="L51" i="1"/>
  <c r="L48" i="1"/>
  <c r="H31" i="59"/>
  <c r="H44" i="59"/>
  <c r="H32" i="59"/>
  <c r="H37" i="59"/>
  <c r="H39" i="59"/>
  <c r="H52" i="59"/>
  <c r="H36" i="59"/>
  <c r="H40" i="59"/>
  <c r="H38" i="59"/>
  <c r="H45" i="59"/>
  <c r="H35" i="59"/>
  <c r="H14" i="59"/>
  <c r="H26" i="59"/>
  <c r="H21" i="59"/>
  <c r="C30" i="59"/>
  <c r="C22" i="59"/>
  <c r="C23" i="59"/>
  <c r="C48" i="59"/>
  <c r="C42" i="59"/>
  <c r="C14" i="59"/>
  <c r="C41" i="59"/>
  <c r="C31" i="59"/>
  <c r="D31" i="59"/>
  <c r="C27" i="59"/>
  <c r="C26" i="59"/>
  <c r="C29" i="59"/>
  <c r="C51" i="59"/>
  <c r="C21" i="59"/>
  <c r="C19" i="59"/>
  <c r="C18" i="59"/>
  <c r="C50" i="59"/>
  <c r="C40" i="59"/>
  <c r="C52" i="59"/>
  <c r="C34" i="59"/>
  <c r="C33" i="59"/>
  <c r="H30" i="59"/>
  <c r="H33" i="59"/>
  <c r="H54" i="59"/>
  <c r="H34" i="59"/>
  <c r="H23" i="59"/>
  <c r="H41" i="59"/>
  <c r="H20" i="59"/>
  <c r="C20" i="59"/>
  <c r="L20" i="59"/>
  <c r="C54" i="59"/>
  <c r="C56" i="59"/>
  <c r="C37" i="59"/>
  <c r="C39" i="59"/>
  <c r="C17" i="59"/>
  <c r="C32" i="59"/>
  <c r="H22" i="59"/>
  <c r="H56" i="59"/>
  <c r="H19" i="59"/>
  <c r="H53" i="59"/>
  <c r="L44" i="59"/>
  <c r="H55" i="59"/>
  <c r="H25" i="59"/>
  <c r="C38" i="59"/>
  <c r="C28" i="59"/>
  <c r="C49" i="59"/>
  <c r="C35" i="59"/>
  <c r="C43" i="59"/>
  <c r="H17" i="59"/>
  <c r="H18" i="59"/>
  <c r="H43" i="59"/>
  <c r="H28" i="59"/>
  <c r="H27" i="59"/>
  <c r="H50" i="59"/>
  <c r="H51" i="59"/>
  <c r="H29" i="59"/>
  <c r="H49" i="59"/>
  <c r="C53" i="59"/>
  <c r="C16" i="59"/>
  <c r="C25" i="59"/>
  <c r="C45" i="59"/>
  <c r="C47" i="59"/>
  <c r="C55" i="59"/>
  <c r="H42" i="59"/>
  <c r="C36" i="59"/>
  <c r="C15" i="59"/>
  <c r="H48" i="59"/>
  <c r="H46" i="59"/>
  <c r="C13" i="59"/>
  <c r="H47" i="59"/>
  <c r="C24" i="59"/>
  <c r="H16" i="59"/>
  <c r="H24" i="59"/>
  <c r="C46" i="59"/>
  <c r="H15" i="59"/>
  <c r="H13" i="59"/>
  <c r="H13" i="60"/>
  <c r="C44" i="59"/>
  <c r="C55" i="60"/>
  <c r="D55" i="60"/>
  <c r="C24" i="60"/>
  <c r="D24" i="60"/>
  <c r="C21" i="60"/>
  <c r="D21" i="60"/>
  <c r="C48" i="60"/>
  <c r="D48" i="60"/>
  <c r="C52" i="60"/>
  <c r="D52" i="60"/>
  <c r="C46" i="60"/>
  <c r="D46" i="60"/>
  <c r="C37" i="60"/>
  <c r="D37" i="60"/>
  <c r="C26" i="60"/>
  <c r="D26" i="60"/>
  <c r="C56" i="60"/>
  <c r="D56" i="60"/>
  <c r="C45" i="60"/>
  <c r="D45" i="60"/>
  <c r="C44" i="60"/>
  <c r="D44" i="60"/>
  <c r="C38" i="60"/>
  <c r="D38" i="60"/>
  <c r="C51" i="60"/>
  <c r="D51" i="60"/>
  <c r="C18" i="60"/>
  <c r="D18" i="60"/>
  <c r="C16" i="60"/>
  <c r="D16" i="60"/>
  <c r="C36" i="60"/>
  <c r="D36" i="60"/>
  <c r="C54" i="60"/>
  <c r="D54" i="60"/>
  <c r="C39" i="60"/>
  <c r="D39" i="60"/>
  <c r="C23" i="60"/>
  <c r="D23" i="60"/>
  <c r="C27" i="60"/>
  <c r="D27" i="60"/>
  <c r="C28" i="60"/>
  <c r="D28" i="60"/>
  <c r="C29" i="60"/>
  <c r="D29" i="60"/>
  <c r="C43" i="60"/>
  <c r="D43" i="60"/>
  <c r="C50" i="60"/>
  <c r="D50" i="60"/>
  <c r="C17" i="60"/>
  <c r="D17" i="60"/>
  <c r="C20" i="60"/>
  <c r="D20" i="60"/>
  <c r="C41" i="60"/>
  <c r="D41" i="60"/>
  <c r="C22" i="60"/>
  <c r="D22" i="60"/>
  <c r="C15" i="60"/>
  <c r="D15" i="60"/>
  <c r="C49" i="60"/>
  <c r="D49" i="60"/>
  <c r="C42" i="60"/>
  <c r="D42" i="60"/>
  <c r="C35" i="60"/>
  <c r="D35" i="60"/>
  <c r="C53" i="60"/>
  <c r="D53" i="60"/>
  <c r="C34" i="60"/>
  <c r="D34" i="60"/>
  <c r="C40" i="60"/>
  <c r="D40" i="60"/>
  <c r="C30" i="60"/>
  <c r="D30" i="60"/>
  <c r="C47" i="60"/>
  <c r="D47" i="60"/>
  <c r="C14" i="60"/>
  <c r="C19" i="60"/>
  <c r="D19" i="60"/>
  <c r="C31" i="60"/>
  <c r="D31" i="60"/>
  <c r="C25" i="60"/>
  <c r="D25" i="60"/>
  <c r="C33" i="60"/>
  <c r="D33" i="60"/>
  <c r="C32" i="60"/>
  <c r="D32" i="60"/>
  <c r="L39" i="57"/>
  <c r="H34" i="57"/>
  <c r="L34" i="57"/>
  <c r="C13" i="57"/>
  <c r="D13" i="57"/>
  <c r="H55" i="57"/>
  <c r="H28" i="57"/>
  <c r="L13" i="57"/>
  <c r="L28" i="57"/>
  <c r="H16" i="57"/>
  <c r="H13" i="57"/>
  <c r="L16" i="57"/>
  <c r="C16" i="57"/>
  <c r="D16" i="57"/>
  <c r="C28" i="57"/>
  <c r="D28" i="57"/>
  <c r="C17" i="57"/>
  <c r="D17" i="57"/>
  <c r="C34" i="57"/>
  <c r="D34" i="57"/>
  <c r="C55" i="57"/>
  <c r="D55" i="57"/>
  <c r="H17" i="57"/>
  <c r="C39" i="57"/>
  <c r="D39" i="57"/>
  <c r="L55" i="57"/>
  <c r="H39" i="57"/>
  <c r="L17" i="57"/>
  <c r="N17" i="57"/>
  <c r="H44" i="57"/>
  <c r="C44" i="57"/>
  <c r="D44" i="57"/>
  <c r="L44" i="57"/>
  <c r="H35" i="57"/>
  <c r="C35" i="57"/>
  <c r="D35" i="57"/>
  <c r="L35" i="57"/>
  <c r="H51" i="57"/>
  <c r="C51" i="57"/>
  <c r="D51" i="57"/>
  <c r="L51" i="57"/>
  <c r="H45" i="57"/>
  <c r="C45" i="57"/>
  <c r="D45" i="57"/>
  <c r="L45" i="57"/>
  <c r="H44" i="58"/>
  <c r="L44" i="58"/>
  <c r="C44" i="58"/>
  <c r="D44" i="58"/>
  <c r="O56" i="57"/>
  <c r="O56" i="56"/>
  <c r="O69" i="56"/>
  <c r="H16" i="61"/>
  <c r="H25" i="61"/>
  <c r="H32" i="61"/>
  <c r="H56" i="61"/>
  <c r="H23" i="61"/>
  <c r="C36" i="61"/>
  <c r="C49" i="61"/>
  <c r="H18" i="61"/>
  <c r="C48" i="61"/>
  <c r="C33" i="61"/>
  <c r="H20" i="61"/>
  <c r="C22" i="61"/>
  <c r="C43" i="61"/>
  <c r="H49" i="61"/>
  <c r="H31" i="61"/>
  <c r="C19" i="61"/>
  <c r="H36" i="61"/>
  <c r="H22" i="61"/>
  <c r="C47" i="61"/>
  <c r="C51" i="61"/>
  <c r="C38" i="61"/>
  <c r="C30" i="61"/>
  <c r="C21" i="61"/>
  <c r="C55" i="61"/>
  <c r="C17" i="61"/>
  <c r="C46" i="61"/>
  <c r="H38" i="61"/>
  <c r="C29" i="61"/>
  <c r="C16" i="61"/>
  <c r="H40" i="61"/>
  <c r="H44" i="61"/>
  <c r="H28" i="61"/>
  <c r="C23" i="61"/>
  <c r="H47" i="61"/>
  <c r="C18" i="61"/>
  <c r="H48" i="61"/>
  <c r="C39" i="61"/>
  <c r="C42" i="61"/>
  <c r="C54" i="61"/>
  <c r="C45" i="61"/>
  <c r="H39" i="61"/>
  <c r="H43" i="61"/>
  <c r="H15" i="61"/>
  <c r="L26" i="61"/>
  <c r="C50" i="61"/>
  <c r="C53" i="61"/>
  <c r="C41" i="61"/>
  <c r="C44" i="61"/>
  <c r="C34" i="61"/>
  <c r="C26" i="61"/>
  <c r="C32" i="61"/>
  <c r="H46" i="61"/>
  <c r="H37" i="61"/>
  <c r="H51" i="61"/>
  <c r="C31" i="61"/>
  <c r="H41" i="61"/>
  <c r="H45" i="61"/>
  <c r="H19" i="61"/>
  <c r="C56" i="61"/>
  <c r="H33" i="61"/>
  <c r="H21" i="61"/>
  <c r="C28" i="61"/>
  <c r="H26" i="61"/>
  <c r="H30" i="61"/>
  <c r="H29" i="61"/>
  <c r="C52" i="61"/>
  <c r="C27" i="61"/>
  <c r="H42" i="61"/>
  <c r="C40" i="61"/>
  <c r="H55" i="61"/>
  <c r="C25" i="61"/>
  <c r="C20" i="61"/>
  <c r="H50" i="61"/>
  <c r="H27" i="61"/>
  <c r="C35" i="61"/>
  <c r="H53" i="61"/>
  <c r="H52" i="61"/>
  <c r="H17" i="61"/>
  <c r="H54" i="61"/>
  <c r="L36" i="61"/>
  <c r="C15" i="61"/>
  <c r="H34" i="61"/>
  <c r="C37" i="61"/>
  <c r="L31" i="57"/>
  <c r="C31" i="57"/>
  <c r="D31" i="57"/>
  <c r="H31" i="57"/>
  <c r="L15" i="57"/>
  <c r="H15" i="57"/>
  <c r="C15" i="57"/>
  <c r="D15" i="57"/>
  <c r="L12" i="57"/>
  <c r="C12" i="57"/>
  <c r="D12" i="57"/>
  <c r="H12" i="57"/>
  <c r="H37" i="57"/>
  <c r="C37" i="57"/>
  <c r="D37" i="57"/>
  <c r="L37" i="57"/>
  <c r="O44" i="57"/>
  <c r="O38" i="57"/>
  <c r="O14" i="57"/>
  <c r="O59" i="57"/>
  <c r="S59" i="57" s="1"/>
  <c r="L38" i="57"/>
  <c r="C38" i="57"/>
  <c r="D38" i="57"/>
  <c r="H38" i="57"/>
  <c r="O39" i="57"/>
  <c r="L22" i="1"/>
  <c r="L27" i="1"/>
  <c r="L29" i="1"/>
  <c r="L36" i="1"/>
  <c r="N36" i="52"/>
  <c r="L32" i="1"/>
  <c r="L18" i="1"/>
  <c r="L54" i="1"/>
  <c r="L24" i="1"/>
  <c r="L41" i="1"/>
  <c r="L12" i="1"/>
  <c r="L45" i="1"/>
  <c r="N45" i="52"/>
  <c r="L39" i="1"/>
  <c r="L54" i="55"/>
  <c r="L13" i="55"/>
  <c r="N13" i="55"/>
  <c r="L45" i="55"/>
  <c r="L12" i="55"/>
  <c r="L17" i="55"/>
  <c r="N17" i="55"/>
  <c r="L35" i="55"/>
  <c r="L42" i="55"/>
  <c r="L33" i="55"/>
  <c r="N33" i="56"/>
  <c r="L19" i="55"/>
  <c r="L11" i="55"/>
  <c r="L16" i="55"/>
  <c r="L34" i="55"/>
  <c r="L32" i="55"/>
  <c r="H55" i="55"/>
  <c r="H23" i="55"/>
  <c r="H37" i="55"/>
  <c r="H39" i="55"/>
  <c r="H33" i="55"/>
  <c r="H48" i="55"/>
  <c r="H17" i="55"/>
  <c r="H11" i="55"/>
  <c r="H20" i="55"/>
  <c r="H24" i="55"/>
  <c r="H31" i="55"/>
  <c r="L9" i="55"/>
  <c r="H32" i="55"/>
  <c r="L27" i="55"/>
  <c r="N27" i="56"/>
  <c r="L14" i="55"/>
  <c r="L31" i="55"/>
  <c r="L41" i="55"/>
  <c r="N41" i="55"/>
  <c r="L56" i="55"/>
  <c r="L39" i="55"/>
  <c r="H49" i="55"/>
  <c r="H15" i="55"/>
  <c r="H18" i="55"/>
  <c r="H40" i="55"/>
  <c r="H52" i="55"/>
  <c r="H56" i="55"/>
  <c r="H53" i="55"/>
  <c r="H36" i="55"/>
  <c r="H9" i="55"/>
  <c r="H9" i="56"/>
  <c r="L22" i="55"/>
  <c r="L37" i="55"/>
  <c r="H10" i="55"/>
  <c r="L15" i="55"/>
  <c r="L21" i="55"/>
  <c r="L55" i="55"/>
  <c r="L50" i="55"/>
  <c r="N50" i="56"/>
  <c r="L26" i="55"/>
  <c r="L23" i="55"/>
  <c r="L18" i="55"/>
  <c r="N18" i="56"/>
  <c r="H43" i="55"/>
  <c r="H34" i="55"/>
  <c r="H45" i="55"/>
  <c r="H47" i="55"/>
  <c r="H16" i="55"/>
  <c r="H27" i="55"/>
  <c r="H12" i="55"/>
  <c r="H29" i="55"/>
  <c r="H41" i="55"/>
  <c r="L24" i="55"/>
  <c r="L29" i="55"/>
  <c r="N29" i="55"/>
  <c r="L52" i="55"/>
  <c r="L36" i="55"/>
  <c r="N36" i="56"/>
  <c r="L53" i="55"/>
  <c r="N53" i="55"/>
  <c r="L48" i="55"/>
  <c r="L10" i="55"/>
  <c r="L30" i="55"/>
  <c r="L20" i="55"/>
  <c r="L49" i="55"/>
  <c r="N49" i="56"/>
  <c r="L46" i="55"/>
  <c r="N46" i="55"/>
  <c r="H21" i="55"/>
  <c r="H46" i="55"/>
  <c r="H26" i="55"/>
  <c r="H50" i="55"/>
  <c r="H35" i="55"/>
  <c r="H22" i="55"/>
  <c r="H30" i="55"/>
  <c r="H38" i="55"/>
  <c r="H14" i="55"/>
  <c r="H13" i="55"/>
  <c r="H25" i="55"/>
  <c r="L51" i="55"/>
  <c r="N51" i="55"/>
  <c r="L43" i="55"/>
  <c r="L28" i="55"/>
  <c r="L44" i="55"/>
  <c r="H19" i="55"/>
  <c r="H28" i="55"/>
  <c r="L38" i="55"/>
  <c r="H54" i="55"/>
  <c r="H51" i="55"/>
  <c r="L25" i="55"/>
  <c r="L47" i="55"/>
  <c r="N47" i="56"/>
  <c r="H42" i="55"/>
  <c r="L40" i="55"/>
  <c r="H44" i="55"/>
  <c r="L28" i="52"/>
  <c r="L12" i="52"/>
  <c r="N12" i="53"/>
  <c r="H11" i="52"/>
  <c r="L56" i="52"/>
  <c r="C31" i="52"/>
  <c r="C50" i="52"/>
  <c r="L45" i="52"/>
  <c r="H25" i="52"/>
  <c r="C34" i="52"/>
  <c r="H20" i="52"/>
  <c r="L9" i="52"/>
  <c r="H17" i="52"/>
  <c r="H37" i="52"/>
  <c r="H6" i="52"/>
  <c r="H6" i="53"/>
  <c r="L36" i="52"/>
  <c r="L19" i="52"/>
  <c r="H41" i="52"/>
  <c r="H44" i="52"/>
  <c r="L41" i="52"/>
  <c r="H34" i="52"/>
  <c r="L22" i="52"/>
  <c r="C41" i="52"/>
  <c r="L32" i="52"/>
  <c r="H9" i="52"/>
  <c r="L37" i="52"/>
  <c r="C56" i="52"/>
  <c r="C52" i="52"/>
  <c r="C49" i="52"/>
  <c r="C11" i="52"/>
  <c r="C36" i="52"/>
  <c r="C24" i="52"/>
  <c r="C33" i="52"/>
  <c r="L52" i="52"/>
  <c r="N52" i="52"/>
  <c r="L8" i="52"/>
  <c r="H45" i="52"/>
  <c r="H21" i="52"/>
  <c r="L50" i="52"/>
  <c r="L38" i="52"/>
  <c r="L16" i="52"/>
  <c r="H38" i="52"/>
  <c r="H54" i="52"/>
  <c r="H56" i="52"/>
  <c r="H43" i="52"/>
  <c r="C23" i="52"/>
  <c r="C18" i="52"/>
  <c r="C51" i="52"/>
  <c r="L46" i="52"/>
  <c r="C37" i="52"/>
  <c r="C30" i="52"/>
  <c r="H35" i="52"/>
  <c r="C46" i="52"/>
  <c r="C13" i="52"/>
  <c r="H53" i="52"/>
  <c r="C35" i="52"/>
  <c r="L42" i="52"/>
  <c r="L18" i="52"/>
  <c r="H28" i="52"/>
  <c r="C43" i="52"/>
  <c r="C20" i="52"/>
  <c r="C48" i="52"/>
  <c r="L29" i="52"/>
  <c r="L30" i="52"/>
  <c r="N30" i="52"/>
  <c r="H52" i="52"/>
  <c r="H23" i="52"/>
  <c r="C47" i="52"/>
  <c r="C26" i="52"/>
  <c r="H22" i="52"/>
  <c r="H7" i="52"/>
  <c r="H46" i="52"/>
  <c r="C54" i="52"/>
  <c r="C15" i="52"/>
  <c r="L39" i="52"/>
  <c r="H33" i="52"/>
  <c r="C53" i="52"/>
  <c r="C29" i="52"/>
  <c r="L49" i="52"/>
  <c r="L51" i="52"/>
  <c r="H36" i="52"/>
  <c r="H13" i="52"/>
  <c r="C28" i="52"/>
  <c r="L48" i="52"/>
  <c r="L27" i="52"/>
  <c r="L53" i="52"/>
  <c r="H12" i="52"/>
  <c r="H15" i="52"/>
  <c r="L26" i="52"/>
  <c r="N26" i="53"/>
  <c r="C25" i="52"/>
  <c r="H29" i="52"/>
  <c r="C21" i="52"/>
  <c r="L55" i="52"/>
  <c r="C10" i="52"/>
  <c r="L43" i="52"/>
  <c r="C44" i="52"/>
  <c r="L6" i="52"/>
  <c r="C14" i="52"/>
  <c r="C7" i="52"/>
  <c r="L11" i="52"/>
  <c r="N11" i="53"/>
  <c r="S11" i="53"/>
  <c r="H16" i="52"/>
  <c r="C55" i="52"/>
  <c r="H26" i="52"/>
  <c r="C22" i="52"/>
  <c r="L20" i="52"/>
  <c r="L44" i="52"/>
  <c r="H10" i="52"/>
  <c r="H27" i="52"/>
  <c r="L40" i="52"/>
  <c r="N40" i="52"/>
  <c r="L23" i="52"/>
  <c r="H32" i="52"/>
  <c r="L24" i="52"/>
  <c r="L17" i="52"/>
  <c r="N17" i="52"/>
  <c r="H14" i="52"/>
  <c r="H47" i="52"/>
  <c r="C8" i="52"/>
  <c r="C9" i="52"/>
  <c r="L33" i="52"/>
  <c r="L34" i="52"/>
  <c r="L7" i="52"/>
  <c r="C17" i="52"/>
  <c r="L35" i="52"/>
  <c r="L10" i="52"/>
  <c r="H31" i="52"/>
  <c r="C27" i="52"/>
  <c r="C6" i="52"/>
  <c r="L47" i="52"/>
  <c r="H19" i="52"/>
  <c r="L31" i="52"/>
  <c r="C12" i="52"/>
  <c r="C16" i="52"/>
  <c r="L14" i="52"/>
  <c r="H49" i="52"/>
  <c r="H55" i="52"/>
  <c r="H40" i="52"/>
  <c r="C32" i="52"/>
  <c r="L21" i="52"/>
  <c r="C45" i="52"/>
  <c r="H30" i="52"/>
  <c r="C40" i="52"/>
  <c r="L54" i="52"/>
  <c r="L15" i="52"/>
  <c r="H18" i="52"/>
  <c r="H50" i="52"/>
  <c r="L25" i="52"/>
  <c r="L13" i="52"/>
  <c r="H48" i="52"/>
  <c r="H8" i="52"/>
  <c r="H24" i="52"/>
  <c r="C42" i="52"/>
  <c r="H42" i="52"/>
  <c r="C38" i="52"/>
  <c r="C19" i="52"/>
  <c r="L26" i="53"/>
  <c r="L49" i="53"/>
  <c r="N49" i="53"/>
  <c r="C49" i="53"/>
  <c r="D49" i="53"/>
  <c r="L14" i="53"/>
  <c r="N14" i="54"/>
  <c r="C18" i="53"/>
  <c r="D18" i="53"/>
  <c r="H41" i="53"/>
  <c r="H28" i="53"/>
  <c r="L11" i="53"/>
  <c r="C44" i="53"/>
  <c r="D44" i="53"/>
  <c r="C12" i="53"/>
  <c r="D12" i="53"/>
  <c r="L12" i="53"/>
  <c r="P12" i="53"/>
  <c r="H17" i="53"/>
  <c r="H9" i="53"/>
  <c r="H36" i="53"/>
  <c r="L41" i="53"/>
  <c r="L36" i="53"/>
  <c r="L42" i="53"/>
  <c r="H34" i="53"/>
  <c r="H12" i="53"/>
  <c r="H18" i="53"/>
  <c r="L25" i="53"/>
  <c r="N25" i="53"/>
  <c r="L20" i="53"/>
  <c r="N20" i="53"/>
  <c r="H44" i="53"/>
  <c r="H49" i="53"/>
  <c r="C20" i="53"/>
  <c r="D20" i="53"/>
  <c r="C9" i="53"/>
  <c r="D9" i="53"/>
  <c r="H11" i="53"/>
  <c r="L8" i="53"/>
  <c r="N8" i="53"/>
  <c r="C17" i="53"/>
  <c r="D17" i="53"/>
  <c r="H25" i="53"/>
  <c r="H33" i="53"/>
  <c r="C41" i="53"/>
  <c r="D41" i="53"/>
  <c r="C52" i="53"/>
  <c r="D52" i="53"/>
  <c r="C11" i="53"/>
  <c r="D11" i="53"/>
  <c r="C25" i="53"/>
  <c r="D25" i="53"/>
  <c r="L18" i="53"/>
  <c r="C36" i="53"/>
  <c r="D36" i="53"/>
  <c r="L50" i="53"/>
  <c r="N50" i="53"/>
  <c r="C42" i="53"/>
  <c r="D42" i="53"/>
  <c r="H14" i="53"/>
  <c r="L34" i="53"/>
  <c r="L44" i="53"/>
  <c r="C50" i="53"/>
  <c r="D50" i="53"/>
  <c r="H52" i="53"/>
  <c r="C26" i="53"/>
  <c r="D26" i="53"/>
  <c r="C33" i="53"/>
  <c r="D33" i="53"/>
  <c r="C38" i="53"/>
  <c r="D38" i="53"/>
  <c r="C40" i="53"/>
  <c r="D40" i="53"/>
  <c r="L43" i="53"/>
  <c r="C22" i="53"/>
  <c r="D22" i="53"/>
  <c r="C19" i="53"/>
  <c r="D19" i="53"/>
  <c r="C34" i="53"/>
  <c r="D34" i="53"/>
  <c r="C28" i="53"/>
  <c r="D28" i="53"/>
  <c r="C14" i="53"/>
  <c r="D14" i="53"/>
  <c r="L33" i="53"/>
  <c r="L38" i="53"/>
  <c r="C43" i="53"/>
  <c r="D43" i="53"/>
  <c r="H46" i="53"/>
  <c r="C47" i="53"/>
  <c r="D47" i="53"/>
  <c r="H22" i="53"/>
  <c r="H51" i="53"/>
  <c r="C30" i="53"/>
  <c r="D30" i="53"/>
  <c r="H23" i="53"/>
  <c r="C55" i="53"/>
  <c r="D55" i="53"/>
  <c r="L17" i="53"/>
  <c r="H8" i="53"/>
  <c r="C8" i="53"/>
  <c r="D8" i="53"/>
  <c r="L29" i="53"/>
  <c r="C46" i="53"/>
  <c r="D46" i="53"/>
  <c r="H19" i="53"/>
  <c r="C45" i="53"/>
  <c r="D45" i="53"/>
  <c r="H30" i="53"/>
  <c r="L23" i="53"/>
  <c r="L9" i="53"/>
  <c r="L52" i="53"/>
  <c r="L40" i="53"/>
  <c r="N40" i="53"/>
  <c r="H29" i="53"/>
  <c r="L46" i="53"/>
  <c r="L47" i="53"/>
  <c r="L19" i="53"/>
  <c r="N19" i="53"/>
  <c r="L51" i="53"/>
  <c r="L45" i="53"/>
  <c r="C23" i="53"/>
  <c r="D23" i="53"/>
  <c r="L55" i="53"/>
  <c r="P55" i="53"/>
  <c r="H13" i="53"/>
  <c r="H32" i="53"/>
  <c r="L15" i="53"/>
  <c r="H24" i="53"/>
  <c r="H37" i="53"/>
  <c r="C16" i="53"/>
  <c r="D16" i="53"/>
  <c r="L7" i="53"/>
  <c r="H53" i="53"/>
  <c r="H48" i="53"/>
  <c r="L10" i="53"/>
  <c r="H20" i="53"/>
  <c r="H43" i="53"/>
  <c r="H45" i="53"/>
  <c r="H35" i="53"/>
  <c r="L32" i="53"/>
  <c r="C15" i="53"/>
  <c r="D15" i="53"/>
  <c r="L37" i="53"/>
  <c r="C7" i="53"/>
  <c r="L56" i="53"/>
  <c r="H27" i="53"/>
  <c r="L53" i="53"/>
  <c r="C48" i="53"/>
  <c r="D48" i="53"/>
  <c r="L31" i="53"/>
  <c r="N31" i="53"/>
  <c r="L28" i="53"/>
  <c r="H38" i="53"/>
  <c r="H40" i="53"/>
  <c r="H47" i="53"/>
  <c r="L30" i="53"/>
  <c r="L54" i="53"/>
  <c r="L35" i="53"/>
  <c r="L13" i="53"/>
  <c r="L39" i="53"/>
  <c r="N39" i="53"/>
  <c r="L24" i="53"/>
  <c r="H7" i="53"/>
  <c r="H7" i="54"/>
  <c r="H56" i="53"/>
  <c r="C21" i="53"/>
  <c r="D21" i="53"/>
  <c r="C53" i="53"/>
  <c r="D53" i="53"/>
  <c r="H10" i="53"/>
  <c r="H50" i="53"/>
  <c r="C51" i="53"/>
  <c r="D51" i="53"/>
  <c r="C54" i="53"/>
  <c r="D54" i="53"/>
  <c r="C13" i="53"/>
  <c r="D13" i="53"/>
  <c r="E13" i="53"/>
  <c r="F13" i="53"/>
  <c r="C39" i="53"/>
  <c r="D39" i="53"/>
  <c r="C24" i="53"/>
  <c r="D24" i="53"/>
  <c r="L16" i="53"/>
  <c r="C56" i="53"/>
  <c r="D56" i="53"/>
  <c r="L27" i="53"/>
  <c r="L21" i="53"/>
  <c r="L48" i="53"/>
  <c r="N48" i="53"/>
  <c r="H31" i="53"/>
  <c r="H39" i="53"/>
  <c r="H21" i="53"/>
  <c r="C29" i="53"/>
  <c r="D29" i="53"/>
  <c r="L22" i="53"/>
  <c r="H15" i="53"/>
  <c r="H16" i="53"/>
  <c r="C27" i="53"/>
  <c r="D27" i="53"/>
  <c r="C35" i="53"/>
  <c r="D35" i="53"/>
  <c r="C10" i="53"/>
  <c r="D10" i="53"/>
  <c r="H55" i="53"/>
  <c r="C32" i="53"/>
  <c r="D32" i="53"/>
  <c r="C37" i="53"/>
  <c r="D37" i="53"/>
  <c r="E37" i="53"/>
  <c r="H26" i="53"/>
  <c r="H54" i="53"/>
  <c r="C31" i="53"/>
  <c r="D31" i="53"/>
  <c r="C30" i="57"/>
  <c r="D30" i="57"/>
  <c r="H30" i="57"/>
  <c r="L30" i="57"/>
  <c r="L49" i="57"/>
  <c r="C49" i="57"/>
  <c r="D49" i="57"/>
  <c r="H49" i="57"/>
  <c r="O62" i="57"/>
  <c r="S62" i="57" s="1"/>
  <c r="O35" i="57"/>
  <c r="O21" i="57"/>
  <c r="O57" i="57"/>
  <c r="S57" i="57" s="1"/>
  <c r="L10" i="57"/>
  <c r="N10" i="57"/>
  <c r="N40" i="56"/>
  <c r="L42" i="57"/>
  <c r="N42" i="58"/>
  <c r="H42" i="57"/>
  <c r="C42" i="57"/>
  <c r="D42" i="57"/>
  <c r="L54" i="57"/>
  <c r="N54" i="57"/>
  <c r="H54" i="57"/>
  <c r="C54" i="57"/>
  <c r="D54" i="57"/>
  <c r="H43" i="57"/>
  <c r="L43" i="57"/>
  <c r="C43" i="57"/>
  <c r="D43" i="57"/>
  <c r="O33" i="58"/>
  <c r="O33" i="57"/>
  <c r="S33" i="57" s="1"/>
  <c r="H41" i="57"/>
  <c r="C41" i="57"/>
  <c r="D41" i="57"/>
  <c r="L41" i="57"/>
  <c r="L48" i="57"/>
  <c r="H48" i="57"/>
  <c r="C48" i="57"/>
  <c r="D48" i="57"/>
  <c r="E48" i="57"/>
  <c r="F48" i="57"/>
  <c r="J48" i="57"/>
  <c r="H32" i="57"/>
  <c r="L32" i="57"/>
  <c r="P32" i="57"/>
  <c r="C32" i="57"/>
  <c r="D32" i="57"/>
  <c r="L40" i="57"/>
  <c r="N40" i="57"/>
  <c r="H40" i="57"/>
  <c r="C40" i="57"/>
  <c r="D40" i="57"/>
  <c r="O28" i="57"/>
  <c r="O28" i="56"/>
  <c r="O58" i="57"/>
  <c r="S58" i="57" s="1"/>
  <c r="O12" i="57"/>
  <c r="S12" i="57" s="1"/>
  <c r="O12" i="56"/>
  <c r="O43" i="57"/>
  <c r="H24" i="61"/>
  <c r="N37" i="56"/>
  <c r="L16" i="1"/>
  <c r="L14" i="1"/>
  <c r="L17" i="1"/>
  <c r="L55" i="1"/>
  <c r="L52" i="1"/>
  <c r="L26" i="1"/>
  <c r="L10" i="1"/>
  <c r="N10" i="52"/>
  <c r="L44" i="1"/>
  <c r="N44" i="52"/>
  <c r="L38" i="1"/>
  <c r="L46" i="1"/>
  <c r="N46" i="52"/>
  <c r="L8" i="1"/>
  <c r="L30" i="1"/>
  <c r="L42" i="1"/>
  <c r="N42" i="52"/>
  <c r="L51" i="58"/>
  <c r="L17" i="58"/>
  <c r="H16" i="58"/>
  <c r="C40" i="58"/>
  <c r="D40" i="58"/>
  <c r="L19" i="58"/>
  <c r="C30" i="58"/>
  <c r="D30" i="58"/>
  <c r="L31" i="58"/>
  <c r="L27" i="58"/>
  <c r="N27" i="58"/>
  <c r="L47" i="58"/>
  <c r="N47" i="58"/>
  <c r="C46" i="58"/>
  <c r="D46" i="58"/>
  <c r="H23" i="58"/>
  <c r="H43" i="58"/>
  <c r="H56" i="58"/>
  <c r="H48" i="58"/>
  <c r="C16" i="58"/>
  <c r="D16" i="58"/>
  <c r="E16" i="58"/>
  <c r="F16" i="58"/>
  <c r="H21" i="58"/>
  <c r="H28" i="58"/>
  <c r="H30" i="58"/>
  <c r="C27" i="58"/>
  <c r="D27" i="58"/>
  <c r="H46" i="58"/>
  <c r="C23" i="58"/>
  <c r="D23" i="58"/>
  <c r="C43" i="58"/>
  <c r="D43" i="58"/>
  <c r="C56" i="58"/>
  <c r="D56" i="58"/>
  <c r="E56" i="58"/>
  <c r="H20" i="58"/>
  <c r="C39" i="58"/>
  <c r="D39" i="58"/>
  <c r="H40" i="58"/>
  <c r="H19" i="58"/>
  <c r="H31" i="58"/>
  <c r="H47" i="58"/>
  <c r="L33" i="58"/>
  <c r="C48" i="58"/>
  <c r="D48" i="58"/>
  <c r="L53" i="58"/>
  <c r="N53" i="58"/>
  <c r="C17" i="58"/>
  <c r="D17" i="58"/>
  <c r="L16" i="58"/>
  <c r="L21" i="58"/>
  <c r="L40" i="58"/>
  <c r="N40" i="58"/>
  <c r="L28" i="58"/>
  <c r="C19" i="58"/>
  <c r="D19" i="58"/>
  <c r="L30" i="58"/>
  <c r="N30" i="58"/>
  <c r="C47" i="58"/>
  <c r="D47" i="58"/>
  <c r="E47" i="58"/>
  <c r="F47" i="58"/>
  <c r="J47" i="58"/>
  <c r="L46" i="58"/>
  <c r="P46" i="58"/>
  <c r="H33" i="58"/>
  <c r="L56" i="58"/>
  <c r="P56" i="58"/>
  <c r="L48" i="58"/>
  <c r="N48" i="58"/>
  <c r="C53" i="58"/>
  <c r="D53" i="58"/>
  <c r="L20" i="58"/>
  <c r="N20" i="58"/>
  <c r="L39" i="58"/>
  <c r="H55" i="58"/>
  <c r="H54" i="58"/>
  <c r="H52" i="58"/>
  <c r="H29" i="58"/>
  <c r="H25" i="58"/>
  <c r="H45" i="58"/>
  <c r="H36" i="58"/>
  <c r="H35" i="58"/>
  <c r="H18" i="58"/>
  <c r="H14" i="58"/>
  <c r="H32" i="58"/>
  <c r="H24" i="58"/>
  <c r="H50" i="58"/>
  <c r="L22" i="58"/>
  <c r="C13" i="58"/>
  <c r="D13" i="58"/>
  <c r="H12" i="58"/>
  <c r="H12" i="59"/>
  <c r="L15" i="58"/>
  <c r="N15" i="58"/>
  <c r="L26" i="58"/>
  <c r="C20" i="58"/>
  <c r="D20" i="58"/>
  <c r="C55" i="58"/>
  <c r="D55" i="58"/>
  <c r="C29" i="58"/>
  <c r="D29" i="58"/>
  <c r="C25" i="58"/>
  <c r="D25" i="58"/>
  <c r="L45" i="58"/>
  <c r="L35" i="58"/>
  <c r="C14" i="58"/>
  <c r="D14" i="58"/>
  <c r="E14" i="58"/>
  <c r="F14" i="58"/>
  <c r="J14" i="58"/>
  <c r="L38" i="58"/>
  <c r="C22" i="58"/>
  <c r="D22" i="58"/>
  <c r="H38" i="58"/>
  <c r="L37" i="58"/>
  <c r="C42" i="58"/>
  <c r="D42" i="58"/>
  <c r="L13" i="58"/>
  <c r="C41" i="58"/>
  <c r="D41" i="58"/>
  <c r="L34" i="58"/>
  <c r="C28" i="58"/>
  <c r="D28" i="58"/>
  <c r="C33" i="58"/>
  <c r="D33" i="58"/>
  <c r="L43" i="58"/>
  <c r="L54" i="58"/>
  <c r="L52" i="58"/>
  <c r="N52" i="58"/>
  <c r="C36" i="58"/>
  <c r="D36" i="58"/>
  <c r="C35" i="58"/>
  <c r="D35" i="58"/>
  <c r="E35" i="58"/>
  <c r="F35" i="58"/>
  <c r="J35" i="58"/>
  <c r="C18" i="58"/>
  <c r="D18" i="58"/>
  <c r="E18" i="58"/>
  <c r="F18" i="58"/>
  <c r="L32" i="58"/>
  <c r="C50" i="58"/>
  <c r="D50" i="58"/>
  <c r="C51" i="58"/>
  <c r="D51" i="58"/>
  <c r="H51" i="58"/>
  <c r="H37" i="58"/>
  <c r="C49" i="58"/>
  <c r="D49" i="58"/>
  <c r="H42" i="58"/>
  <c r="H13" i="58"/>
  <c r="H41" i="58"/>
  <c r="C15" i="58"/>
  <c r="D15" i="58"/>
  <c r="C34" i="58"/>
  <c r="D34" i="58"/>
  <c r="H26" i="58"/>
  <c r="H27" i="58"/>
  <c r="L23" i="58"/>
  <c r="H39" i="58"/>
  <c r="C54" i="58"/>
  <c r="D54" i="58"/>
  <c r="E54" i="58"/>
  <c r="F54" i="58"/>
  <c r="L25" i="58"/>
  <c r="L36" i="58"/>
  <c r="L18" i="58"/>
  <c r="C32" i="58"/>
  <c r="D32" i="58"/>
  <c r="E32" i="58"/>
  <c r="C24" i="58"/>
  <c r="D24" i="58"/>
  <c r="L50" i="58"/>
  <c r="H22" i="58"/>
  <c r="H17" i="58"/>
  <c r="C37" i="58"/>
  <c r="D37" i="58"/>
  <c r="H49" i="58"/>
  <c r="L42" i="58"/>
  <c r="L41" i="58"/>
  <c r="C12" i="58"/>
  <c r="H15" i="58"/>
  <c r="C26" i="58"/>
  <c r="D26" i="58"/>
  <c r="C31" i="58"/>
  <c r="D31" i="58"/>
  <c r="E31" i="58"/>
  <c r="L14" i="58"/>
  <c r="N14" i="58"/>
  <c r="L12" i="58"/>
  <c r="C45" i="58"/>
  <c r="D45" i="58"/>
  <c r="L55" i="58"/>
  <c r="L24" i="58"/>
  <c r="N24" i="58"/>
  <c r="C52" i="58"/>
  <c r="D52" i="58"/>
  <c r="L49" i="58"/>
  <c r="N49" i="58"/>
  <c r="S49" i="58"/>
  <c r="H34" i="58"/>
  <c r="H53" i="58"/>
  <c r="L29" i="58"/>
  <c r="C21" i="58"/>
  <c r="D21" i="58"/>
  <c r="C38" i="58"/>
  <c r="D38" i="58"/>
  <c r="E38" i="58"/>
  <c r="H30" i="56"/>
  <c r="H16" i="56"/>
  <c r="H32" i="56"/>
  <c r="H36" i="56"/>
  <c r="H51" i="56"/>
  <c r="H10" i="56"/>
  <c r="H10" i="57"/>
  <c r="H22" i="56"/>
  <c r="H20" i="56"/>
  <c r="H31" i="56"/>
  <c r="H14" i="56"/>
  <c r="H42" i="56"/>
  <c r="H46" i="56"/>
  <c r="H21" i="56"/>
  <c r="H55" i="56"/>
  <c r="H40" i="56"/>
  <c r="H18" i="56"/>
  <c r="H25" i="56"/>
  <c r="H38" i="56"/>
  <c r="H34" i="56"/>
  <c r="H19" i="56"/>
  <c r="H15" i="56"/>
  <c r="H50" i="56"/>
  <c r="H53" i="56"/>
  <c r="H33" i="56"/>
  <c r="H41" i="56"/>
  <c r="H11" i="56"/>
  <c r="H12" i="56"/>
  <c r="H52" i="56"/>
  <c r="H47" i="56"/>
  <c r="H35" i="56"/>
  <c r="H44" i="56"/>
  <c r="H28" i="56"/>
  <c r="H56" i="56"/>
  <c r="H48" i="56"/>
  <c r="H49" i="56"/>
  <c r="H17" i="56"/>
  <c r="H26" i="56"/>
  <c r="H39" i="56"/>
  <c r="H37" i="56"/>
  <c r="H29" i="56"/>
  <c r="H45" i="56"/>
  <c r="L19" i="56"/>
  <c r="N19" i="57"/>
  <c r="H27" i="56"/>
  <c r="L39" i="56"/>
  <c r="H13" i="56"/>
  <c r="L17" i="56"/>
  <c r="N17" i="56"/>
  <c r="L48" i="56"/>
  <c r="H23" i="56"/>
  <c r="L44" i="56"/>
  <c r="N44" i="57"/>
  <c r="L56" i="56"/>
  <c r="L29" i="56"/>
  <c r="H54" i="56"/>
  <c r="H43" i="56"/>
  <c r="H24" i="56"/>
  <c r="L53" i="54"/>
  <c r="N53" i="54"/>
  <c r="H15" i="54"/>
  <c r="L37" i="54"/>
  <c r="H31" i="54"/>
  <c r="H53" i="54"/>
  <c r="H37" i="54"/>
  <c r="L26" i="54"/>
  <c r="H14" i="54"/>
  <c r="L21" i="54"/>
  <c r="N21" i="54"/>
  <c r="L29" i="54"/>
  <c r="L20" i="54"/>
  <c r="N20" i="54"/>
  <c r="C10" i="54"/>
  <c r="D10" i="54"/>
  <c r="E10" i="54"/>
  <c r="F10" i="54"/>
  <c r="J10" i="54"/>
  <c r="H28" i="54"/>
  <c r="L36" i="54"/>
  <c r="L14" i="54"/>
  <c r="L22" i="54"/>
  <c r="N22" i="54"/>
  <c r="L41" i="54"/>
  <c r="L43" i="54"/>
  <c r="L28" i="54"/>
  <c r="H34" i="54"/>
  <c r="L49" i="54"/>
  <c r="L38" i="54"/>
  <c r="N38" i="54"/>
  <c r="H21" i="54"/>
  <c r="L51" i="54"/>
  <c r="L10" i="54"/>
  <c r="L25" i="54"/>
  <c r="L34" i="54"/>
  <c r="L44" i="54"/>
  <c r="L31" i="54"/>
  <c r="H26" i="54"/>
  <c r="H29" i="54"/>
  <c r="H22" i="54"/>
  <c r="H20" i="54"/>
  <c r="H43" i="54"/>
  <c r="H49" i="54"/>
  <c r="L24" i="54"/>
  <c r="N24" i="55"/>
  <c r="L19" i="54"/>
  <c r="N19" i="55"/>
  <c r="L47" i="54"/>
  <c r="L18" i="54"/>
  <c r="H35" i="54"/>
  <c r="L56" i="54"/>
  <c r="N56" i="55"/>
  <c r="L32" i="54"/>
  <c r="H50" i="54"/>
  <c r="H12" i="54"/>
  <c r="L30" i="54"/>
  <c r="H16" i="54"/>
  <c r="H45" i="54"/>
  <c r="L33" i="54"/>
  <c r="H46" i="54"/>
  <c r="L15" i="54"/>
  <c r="H36" i="54"/>
  <c r="H51" i="54"/>
  <c r="H41" i="54"/>
  <c r="L54" i="54"/>
  <c r="H8" i="54"/>
  <c r="H8" i="55"/>
  <c r="H56" i="54"/>
  <c r="L23" i="54"/>
  <c r="H55" i="54"/>
  <c r="L45" i="54"/>
  <c r="L39" i="54"/>
  <c r="N39" i="55"/>
  <c r="L40" i="54"/>
  <c r="L27" i="54"/>
  <c r="L48" i="54"/>
  <c r="H44" i="54"/>
  <c r="H19" i="54"/>
  <c r="H54" i="54"/>
  <c r="H18" i="54"/>
  <c r="H30" i="54"/>
  <c r="L11" i="54"/>
  <c r="L55" i="54"/>
  <c r="L17" i="54"/>
  <c r="C39" i="54"/>
  <c r="D39" i="54"/>
  <c r="E39" i="54"/>
  <c r="F39" i="54"/>
  <c r="J39" i="54"/>
  <c r="P39" i="54"/>
  <c r="L52" i="54"/>
  <c r="H48" i="54"/>
  <c r="L46" i="54"/>
  <c r="N46" i="54"/>
  <c r="H10" i="54"/>
  <c r="L13" i="54"/>
  <c r="L42" i="54"/>
  <c r="H47" i="54"/>
  <c r="L35" i="54"/>
  <c r="N35" i="54"/>
  <c r="H32" i="54"/>
  <c r="L9" i="54"/>
  <c r="N9" i="55"/>
  <c r="H23" i="54"/>
  <c r="L16" i="54"/>
  <c r="N16" i="54"/>
  <c r="H17" i="54"/>
  <c r="H33" i="54"/>
  <c r="H40" i="54"/>
  <c r="H52" i="54"/>
  <c r="H13" i="54"/>
  <c r="H42" i="54"/>
  <c r="H11" i="54"/>
  <c r="H27" i="54"/>
  <c r="H38" i="54"/>
  <c r="L12" i="54"/>
  <c r="N12" i="54"/>
  <c r="L8" i="54"/>
  <c r="L8" i="55"/>
  <c r="N8" i="55"/>
  <c r="H25" i="54"/>
  <c r="H9" i="54"/>
  <c r="H39" i="54"/>
  <c r="H24" i="54"/>
  <c r="L50" i="54"/>
  <c r="N50" i="54"/>
  <c r="J29" i="57"/>
  <c r="P29" i="57"/>
  <c r="G29" i="57"/>
  <c r="I29" i="57"/>
  <c r="N9" i="54"/>
  <c r="E21" i="58"/>
  <c r="F21" i="58"/>
  <c r="J21" i="58"/>
  <c r="N18" i="58"/>
  <c r="N39" i="58"/>
  <c r="F56" i="58"/>
  <c r="J56" i="58"/>
  <c r="J16" i="58"/>
  <c r="E31" i="53"/>
  <c r="F31" i="53"/>
  <c r="J31" i="53"/>
  <c r="E29" i="53"/>
  <c r="F29" i="53"/>
  <c r="J29" i="53"/>
  <c r="N16" i="53"/>
  <c r="N24" i="53"/>
  <c r="E43" i="53"/>
  <c r="F43" i="53"/>
  <c r="J43" i="53"/>
  <c r="E36" i="53"/>
  <c r="F36" i="53"/>
  <c r="J36" i="53"/>
  <c r="E20" i="53"/>
  <c r="F20" i="53"/>
  <c r="J20" i="53"/>
  <c r="P20" i="53"/>
  <c r="N42" i="53"/>
  <c r="N13" i="52"/>
  <c r="N15" i="52"/>
  <c r="N35" i="52"/>
  <c r="N16" i="52"/>
  <c r="N32" i="52"/>
  <c r="E37" i="57"/>
  <c r="F37" i="57"/>
  <c r="J37" i="57"/>
  <c r="E45" i="57"/>
  <c r="F45" i="57"/>
  <c r="J45" i="57"/>
  <c r="P45" i="57"/>
  <c r="E42" i="60"/>
  <c r="F42" i="60"/>
  <c r="E56" i="60"/>
  <c r="F56" i="60"/>
  <c r="E24" i="60"/>
  <c r="F24" i="60"/>
  <c r="N47" i="54"/>
  <c r="N34" i="54"/>
  <c r="N44" i="56"/>
  <c r="F38" i="58"/>
  <c r="J38" i="58"/>
  <c r="N55" i="58"/>
  <c r="F31" i="58"/>
  <c r="J31" i="58"/>
  <c r="F32" i="58"/>
  <c r="J32" i="58"/>
  <c r="J54" i="58"/>
  <c r="P54" i="58"/>
  <c r="J18" i="58"/>
  <c r="P18" i="58"/>
  <c r="E29" i="58"/>
  <c r="F29" i="58"/>
  <c r="J29" i="58"/>
  <c r="E40" i="58"/>
  <c r="F40" i="58"/>
  <c r="J40" i="58"/>
  <c r="N41" i="57"/>
  <c r="S41" i="57"/>
  <c r="E54" i="57"/>
  <c r="F54" i="57"/>
  <c r="J54" i="57"/>
  <c r="F37" i="53"/>
  <c r="J37" i="53"/>
  <c r="P37" i="53"/>
  <c r="E35" i="53"/>
  <c r="F35" i="53"/>
  <c r="J35" i="53"/>
  <c r="P35" i="53"/>
  <c r="E56" i="53"/>
  <c r="F56" i="53"/>
  <c r="J56" i="53"/>
  <c r="J13" i="53"/>
  <c r="N35" i="53"/>
  <c r="E48" i="53"/>
  <c r="F48" i="53"/>
  <c r="J48" i="53"/>
  <c r="C7" i="54"/>
  <c r="D7" i="54"/>
  <c r="D7" i="53"/>
  <c r="N10" i="53"/>
  <c r="E16" i="53"/>
  <c r="F16" i="53"/>
  <c r="J16" i="53"/>
  <c r="P16" i="53"/>
  <c r="N45" i="53"/>
  <c r="N9" i="53"/>
  <c r="E30" i="53"/>
  <c r="F30" i="53"/>
  <c r="J30" i="53"/>
  <c r="E14" i="53"/>
  <c r="F14" i="53"/>
  <c r="J14" i="53"/>
  <c r="E22" i="53"/>
  <c r="F22" i="53"/>
  <c r="J22" i="53"/>
  <c r="P22" i="53"/>
  <c r="E33" i="53"/>
  <c r="F33" i="53"/>
  <c r="J33" i="53"/>
  <c r="E11" i="53"/>
  <c r="F11" i="53"/>
  <c r="J11" i="53"/>
  <c r="P11" i="53"/>
  <c r="E9" i="53"/>
  <c r="F9" i="53"/>
  <c r="J9" i="53"/>
  <c r="P9" i="53"/>
  <c r="E12" i="53"/>
  <c r="F12" i="53"/>
  <c r="J12" i="53"/>
  <c r="N47" i="52"/>
  <c r="N34" i="52"/>
  <c r="N49" i="52"/>
  <c r="N39" i="52"/>
  <c r="N19" i="52"/>
  <c r="N56" i="52"/>
  <c r="N25" i="55"/>
  <c r="N38" i="55"/>
  <c r="N28" i="55"/>
  <c r="N26" i="55"/>
  <c r="N37" i="55"/>
  <c r="N12" i="55"/>
  <c r="N25" i="56"/>
  <c r="N26" i="56"/>
  <c r="N28" i="56"/>
  <c r="E38" i="57"/>
  <c r="F38" i="57"/>
  <c r="J38" i="57"/>
  <c r="E12" i="57"/>
  <c r="F12" i="57"/>
  <c r="J12" i="57"/>
  <c r="N15" i="57"/>
  <c r="E51" i="57"/>
  <c r="F51" i="57"/>
  <c r="J51" i="57"/>
  <c r="E39" i="57"/>
  <c r="F39" i="57"/>
  <c r="J39" i="57"/>
  <c r="P39" i="57"/>
  <c r="E17" i="57"/>
  <c r="F17" i="57"/>
  <c r="J17" i="57"/>
  <c r="E33" i="60"/>
  <c r="F33" i="60"/>
  <c r="E25" i="60"/>
  <c r="F25" i="60"/>
  <c r="E47" i="60"/>
  <c r="F47" i="60"/>
  <c r="E35" i="60"/>
  <c r="F35" i="60"/>
  <c r="E15" i="60"/>
  <c r="F15" i="60"/>
  <c r="E41" i="60"/>
  <c r="F41" i="60"/>
  <c r="E17" i="60"/>
  <c r="F17" i="60"/>
  <c r="E50" i="60"/>
  <c r="F50" i="60"/>
  <c r="E28" i="60"/>
  <c r="F28" i="60"/>
  <c r="E27" i="60"/>
  <c r="F27" i="60"/>
  <c r="E16" i="60"/>
  <c r="F16" i="60"/>
  <c r="E45" i="60"/>
  <c r="F45" i="60"/>
  <c r="E46" i="60"/>
  <c r="F46" i="60"/>
  <c r="N27" i="57"/>
  <c r="S27" i="57"/>
  <c r="E18" i="57"/>
  <c r="F18" i="57"/>
  <c r="J18" i="57"/>
  <c r="E22" i="57"/>
  <c r="F22" i="57"/>
  <c r="J22" i="57"/>
  <c r="P22" i="57"/>
  <c r="N53" i="57"/>
  <c r="N23" i="54"/>
  <c r="N41" i="54"/>
  <c r="E26" i="58"/>
  <c r="F26" i="58"/>
  <c r="J26" i="58"/>
  <c r="E51" i="58"/>
  <c r="F51" i="58"/>
  <c r="J51" i="58"/>
  <c r="E55" i="58"/>
  <c r="F55" i="58"/>
  <c r="J55" i="58"/>
  <c r="P55" i="58"/>
  <c r="N21" i="58"/>
  <c r="E43" i="57"/>
  <c r="F43" i="57"/>
  <c r="J43" i="57"/>
  <c r="E30" i="57"/>
  <c r="F30" i="57"/>
  <c r="J30" i="57"/>
  <c r="P30" i="57"/>
  <c r="E27" i="53"/>
  <c r="F27" i="53"/>
  <c r="J27" i="53"/>
  <c r="E53" i="53"/>
  <c r="F53" i="53"/>
  <c r="J53" i="53"/>
  <c r="P53" i="53"/>
  <c r="E46" i="53"/>
  <c r="F46" i="53"/>
  <c r="J46" i="53"/>
  <c r="E28" i="53"/>
  <c r="F28" i="53"/>
  <c r="J28" i="53"/>
  <c r="N34" i="53"/>
  <c r="E17" i="53"/>
  <c r="F17" i="53"/>
  <c r="E44" i="53"/>
  <c r="F44" i="53"/>
  <c r="J44" i="53"/>
  <c r="N48" i="55"/>
  <c r="N14" i="55"/>
  <c r="N42" i="55"/>
  <c r="E44" i="58"/>
  <c r="F44" i="58"/>
  <c r="J44" i="58"/>
  <c r="E38" i="60"/>
  <c r="F38" i="60"/>
  <c r="E52" i="60"/>
  <c r="F52" i="60"/>
  <c r="N53" i="56"/>
  <c r="N23" i="56"/>
  <c r="E27" i="57"/>
  <c r="F27" i="57"/>
  <c r="N26" i="57"/>
  <c r="S26" i="57"/>
  <c r="E23" i="57"/>
  <c r="F23" i="57"/>
  <c r="J23" i="57"/>
  <c r="E19" i="57"/>
  <c r="F19" i="57"/>
  <c r="J19" i="57"/>
  <c r="P19" i="57"/>
  <c r="E25" i="57"/>
  <c r="F25" i="57"/>
  <c r="N36" i="57"/>
  <c r="E46" i="57"/>
  <c r="F46" i="57"/>
  <c r="J46" i="57"/>
  <c r="P46" i="57"/>
  <c r="N8" i="54"/>
  <c r="N13" i="54"/>
  <c r="N27" i="54"/>
  <c r="N24" i="54"/>
  <c r="N37" i="54"/>
  <c r="N19" i="56"/>
  <c r="N29" i="58"/>
  <c r="P29" i="58"/>
  <c r="E52" i="58"/>
  <c r="F52" i="58"/>
  <c r="J52" i="58"/>
  <c r="N12" i="58"/>
  <c r="L12" i="59"/>
  <c r="N12" i="59"/>
  <c r="S12" i="59"/>
  <c r="N50" i="58"/>
  <c r="N36" i="58"/>
  <c r="N23" i="58"/>
  <c r="E15" i="58"/>
  <c r="F15" i="58"/>
  <c r="E49" i="58"/>
  <c r="F49" i="58"/>
  <c r="J49" i="58"/>
  <c r="P49" i="58"/>
  <c r="E50" i="58"/>
  <c r="F50" i="58"/>
  <c r="E36" i="58"/>
  <c r="F36" i="58"/>
  <c r="J36" i="58"/>
  <c r="P36" i="58"/>
  <c r="E33" i="58"/>
  <c r="F33" i="58"/>
  <c r="N13" i="58"/>
  <c r="E22" i="58"/>
  <c r="F22" i="58"/>
  <c r="E20" i="58"/>
  <c r="F20" i="58"/>
  <c r="E13" i="58"/>
  <c r="F13" i="58"/>
  <c r="E19" i="58"/>
  <c r="F19" i="58"/>
  <c r="J19" i="58"/>
  <c r="P19" i="58"/>
  <c r="P16" i="58"/>
  <c r="N16" i="58"/>
  <c r="N33" i="58"/>
  <c r="S33" i="58"/>
  <c r="E43" i="58"/>
  <c r="F43" i="58"/>
  <c r="E46" i="58"/>
  <c r="F46" i="58"/>
  <c r="J46" i="58"/>
  <c r="E30" i="58"/>
  <c r="F30" i="58"/>
  <c r="N17" i="58"/>
  <c r="E32" i="57"/>
  <c r="F32" i="57"/>
  <c r="J32" i="57"/>
  <c r="N43" i="57"/>
  <c r="E24" i="53"/>
  <c r="F24" i="53"/>
  <c r="J24" i="53"/>
  <c r="P24" i="53"/>
  <c r="E51" i="53"/>
  <c r="F51" i="53"/>
  <c r="G51" i="53"/>
  <c r="I51" i="53"/>
  <c r="E21" i="53"/>
  <c r="F21" i="53"/>
  <c r="J21" i="53"/>
  <c r="P21" i="53"/>
  <c r="N30" i="53"/>
  <c r="E15" i="53"/>
  <c r="F15" i="53"/>
  <c r="J15" i="53"/>
  <c r="P15" i="53"/>
  <c r="N29" i="53"/>
  <c r="P29" i="53"/>
  <c r="E55" i="53"/>
  <c r="F55" i="53"/>
  <c r="J55" i="53"/>
  <c r="E34" i="53"/>
  <c r="F34" i="53"/>
  <c r="E40" i="53"/>
  <c r="F40" i="53"/>
  <c r="J40" i="53"/>
  <c r="E41" i="53"/>
  <c r="F41" i="53"/>
  <c r="J41" i="53"/>
  <c r="P41" i="53"/>
  <c r="P14" i="53"/>
  <c r="N25" i="52"/>
  <c r="N20" i="52"/>
  <c r="N6" i="52"/>
  <c r="L6" i="53"/>
  <c r="N6" i="53"/>
  <c r="S6" i="53"/>
  <c r="N26" i="52"/>
  <c r="N27" i="52"/>
  <c r="N38" i="52"/>
  <c r="N12" i="52"/>
  <c r="N52" i="55"/>
  <c r="N18" i="55"/>
  <c r="N55" i="55"/>
  <c r="N27" i="55"/>
  <c r="L9" i="56"/>
  <c r="N9" i="56"/>
  <c r="N32" i="55"/>
  <c r="N35" i="55"/>
  <c r="N54" i="55"/>
  <c r="N42" i="56"/>
  <c r="N52" i="56"/>
  <c r="E15" i="57"/>
  <c r="F15" i="57"/>
  <c r="E31" i="57"/>
  <c r="F31" i="57"/>
  <c r="E44" i="57"/>
  <c r="F44" i="57"/>
  <c r="E55" i="57"/>
  <c r="F55" i="57"/>
  <c r="E16" i="57"/>
  <c r="F16" i="57"/>
  <c r="N28" i="57"/>
  <c r="S28" i="57"/>
  <c r="E13" i="57"/>
  <c r="F13" i="57"/>
  <c r="E32" i="60"/>
  <c r="F32" i="60"/>
  <c r="E19" i="60"/>
  <c r="F19" i="60"/>
  <c r="E30" i="60"/>
  <c r="F30" i="60"/>
  <c r="E34" i="60"/>
  <c r="F34" i="60"/>
  <c r="E49" i="60"/>
  <c r="F49" i="60"/>
  <c r="E22" i="60"/>
  <c r="F22" i="60"/>
  <c r="E20" i="60"/>
  <c r="F20" i="60"/>
  <c r="E29" i="60"/>
  <c r="F29" i="60"/>
  <c r="E54" i="60"/>
  <c r="F54" i="60"/>
  <c r="E51" i="60"/>
  <c r="F51" i="60"/>
  <c r="E26" i="60"/>
  <c r="F26" i="60"/>
  <c r="E48" i="60"/>
  <c r="F48" i="60"/>
  <c r="E55" i="60"/>
  <c r="F55" i="60"/>
  <c r="N16" i="56"/>
  <c r="N21" i="56"/>
  <c r="N38" i="56"/>
  <c r="E26" i="57"/>
  <c r="F26" i="57"/>
  <c r="N52" i="57"/>
  <c r="N47" i="57"/>
  <c r="N21" i="57"/>
  <c r="N25" i="57"/>
  <c r="E20" i="57"/>
  <c r="F20" i="57"/>
  <c r="N31" i="56"/>
  <c r="E14" i="57"/>
  <c r="F14" i="57"/>
  <c r="G14" i="57"/>
  <c r="J14" i="57"/>
  <c r="N45" i="54"/>
  <c r="N15" i="54"/>
  <c r="N19" i="54"/>
  <c r="N25" i="54"/>
  <c r="E45" i="58"/>
  <c r="F45" i="58"/>
  <c r="E34" i="58"/>
  <c r="F34" i="58"/>
  <c r="E41" i="58"/>
  <c r="F41" i="58"/>
  <c r="E48" i="58"/>
  <c r="F48" i="58"/>
  <c r="E27" i="58"/>
  <c r="F27" i="58"/>
  <c r="N31" i="58"/>
  <c r="P31" i="58"/>
  <c r="E41" i="57"/>
  <c r="F41" i="57"/>
  <c r="E49" i="57"/>
  <c r="F49" i="57"/>
  <c r="G49" i="57"/>
  <c r="J49" i="57"/>
  <c r="P49" i="57"/>
  <c r="E32" i="53"/>
  <c r="F32" i="53"/>
  <c r="G32" i="53"/>
  <c r="J32" i="53"/>
  <c r="I32" i="53"/>
  <c r="E54" i="53"/>
  <c r="F54" i="53"/>
  <c r="N17" i="53"/>
  <c r="E26" i="53"/>
  <c r="F26" i="53"/>
  <c r="E52" i="53"/>
  <c r="F52" i="53"/>
  <c r="E18" i="53"/>
  <c r="F18" i="53"/>
  <c r="D6" i="52"/>
  <c r="C6" i="53"/>
  <c r="D6" i="53"/>
  <c r="N41" i="52"/>
  <c r="N9" i="52"/>
  <c r="N43" i="55"/>
  <c r="N36" i="55"/>
  <c r="P12" i="57"/>
  <c r="N12" i="57"/>
  <c r="E28" i="57"/>
  <c r="F28" i="57"/>
  <c r="E43" i="60"/>
  <c r="F43" i="60"/>
  <c r="E18" i="60"/>
  <c r="F18" i="60"/>
  <c r="N42" i="54"/>
  <c r="N17" i="54"/>
  <c r="N54" i="54"/>
  <c r="N18" i="54"/>
  <c r="N29" i="54"/>
  <c r="N26" i="54"/>
  <c r="N56" i="56"/>
  <c r="D12" i="58"/>
  <c r="C12" i="59"/>
  <c r="D12" i="59"/>
  <c r="E37" i="58"/>
  <c r="F37" i="58"/>
  <c r="E24" i="58"/>
  <c r="F24" i="58"/>
  <c r="N25" i="58"/>
  <c r="P32" i="58"/>
  <c r="E28" i="58"/>
  <c r="F28" i="58"/>
  <c r="E42" i="58"/>
  <c r="F42" i="58"/>
  <c r="P38" i="58"/>
  <c r="E25" i="58"/>
  <c r="F25" i="58"/>
  <c r="N26" i="58"/>
  <c r="E53" i="58"/>
  <c r="F53" i="58"/>
  <c r="N46" i="58"/>
  <c r="N28" i="58"/>
  <c r="E17" i="58"/>
  <c r="F17" i="58"/>
  <c r="G17" i="58"/>
  <c r="J17" i="58"/>
  <c r="P17" i="58"/>
  <c r="E39" i="58"/>
  <c r="F39" i="58"/>
  <c r="J39" i="58"/>
  <c r="P39" i="58"/>
  <c r="E23" i="58"/>
  <c r="F23" i="58"/>
  <c r="G23" i="58"/>
  <c r="J23" i="58"/>
  <c r="P23" i="58"/>
  <c r="P47" i="58"/>
  <c r="N19" i="58"/>
  <c r="N51" i="58"/>
  <c r="P51" i="58"/>
  <c r="N43" i="56"/>
  <c r="E40" i="57"/>
  <c r="F40" i="57"/>
  <c r="E42" i="57"/>
  <c r="F42" i="57"/>
  <c r="N10" i="56"/>
  <c r="E10" i="53"/>
  <c r="F10" i="53"/>
  <c r="N27" i="53"/>
  <c r="P27" i="53"/>
  <c r="E39" i="53"/>
  <c r="F39" i="53"/>
  <c r="N13" i="53"/>
  <c r="P13" i="53"/>
  <c r="N56" i="53"/>
  <c r="P56" i="53"/>
  <c r="N15" i="53"/>
  <c r="E23" i="53"/>
  <c r="F23" i="53"/>
  <c r="N47" i="53"/>
  <c r="E45" i="53"/>
  <c r="F45" i="53"/>
  <c r="E8" i="53"/>
  <c r="F8" i="53"/>
  <c r="E47" i="53"/>
  <c r="F47" i="53"/>
  <c r="E19" i="53"/>
  <c r="F19" i="53"/>
  <c r="E38" i="53"/>
  <c r="F38" i="53"/>
  <c r="E50" i="53"/>
  <c r="F50" i="53"/>
  <c r="E42" i="53"/>
  <c r="F42" i="53"/>
  <c r="E25" i="53"/>
  <c r="F25" i="53"/>
  <c r="N41" i="53"/>
  <c r="E49" i="53"/>
  <c r="F49" i="53"/>
  <c r="N14" i="52"/>
  <c r="N7" i="52"/>
  <c r="N24" i="52"/>
  <c r="N11" i="52"/>
  <c r="N48" i="52"/>
  <c r="N51" i="52"/>
  <c r="N29" i="52"/>
  <c r="N50" i="52"/>
  <c r="N28" i="52"/>
  <c r="N47" i="55"/>
  <c r="N44" i="55"/>
  <c r="N49" i="55"/>
  <c r="N23" i="55"/>
  <c r="N45" i="55"/>
  <c r="N11" i="56"/>
  <c r="N31" i="57"/>
  <c r="P51" i="57"/>
  <c r="E35" i="57"/>
  <c r="F35" i="57"/>
  <c r="J35" i="57"/>
  <c r="P35" i="57"/>
  <c r="E34" i="57"/>
  <c r="F34" i="57"/>
  <c r="N16" i="57"/>
  <c r="N13" i="57"/>
  <c r="S13" i="57"/>
  <c r="E31" i="60"/>
  <c r="F31" i="60"/>
  <c r="C14" i="61"/>
  <c r="D14" i="61"/>
  <c r="D14" i="60"/>
  <c r="E40" i="60"/>
  <c r="F40" i="60"/>
  <c r="G40" i="60"/>
  <c r="E53" i="60"/>
  <c r="F53" i="60"/>
  <c r="G53" i="60"/>
  <c r="E23" i="60"/>
  <c r="F23" i="60"/>
  <c r="E39" i="60"/>
  <c r="F39" i="60"/>
  <c r="G39" i="60"/>
  <c r="E36" i="60"/>
  <c r="F36" i="60"/>
  <c r="E44" i="60"/>
  <c r="F44" i="60"/>
  <c r="E37" i="60"/>
  <c r="F37" i="60"/>
  <c r="G37" i="60"/>
  <c r="E21" i="60"/>
  <c r="F21" i="60"/>
  <c r="C13" i="60"/>
  <c r="D13" i="60"/>
  <c r="D13" i="59"/>
  <c r="N12" i="56"/>
  <c r="N54" i="56"/>
  <c r="E52" i="57"/>
  <c r="F52" i="57"/>
  <c r="E47" i="57"/>
  <c r="F47" i="57"/>
  <c r="P18" i="57"/>
  <c r="N18" i="57"/>
  <c r="E21" i="57"/>
  <c r="F21" i="57"/>
  <c r="C11" i="58"/>
  <c r="D11" i="58"/>
  <c r="D11" i="57"/>
  <c r="E36" i="57"/>
  <c r="F36" i="57"/>
  <c r="E53" i="57"/>
  <c r="F53" i="57"/>
  <c r="N20" i="57"/>
  <c r="E56" i="57"/>
  <c r="F56" i="57"/>
  <c r="E33" i="57"/>
  <c r="F33" i="57"/>
  <c r="J33" i="57"/>
  <c r="P33" i="57"/>
  <c r="E50" i="57"/>
  <c r="F50" i="57"/>
  <c r="G50" i="57"/>
  <c r="J50" i="57"/>
  <c r="P50" i="57"/>
  <c r="N13" i="56"/>
  <c r="E24" i="57"/>
  <c r="F24" i="57"/>
  <c r="G39" i="58"/>
  <c r="I39" i="58"/>
  <c r="I23" i="58"/>
  <c r="I17" i="58"/>
  <c r="G40" i="53"/>
  <c r="I40" i="53"/>
  <c r="G21" i="53"/>
  <c r="I21" i="53"/>
  <c r="G24" i="53"/>
  <c r="I24" i="53"/>
  <c r="I49" i="57"/>
  <c r="I14" i="57"/>
  <c r="G28" i="53"/>
  <c r="I28" i="53"/>
  <c r="G27" i="53"/>
  <c r="I27" i="53"/>
  <c r="G46" i="57"/>
  <c r="I46" i="57"/>
  <c r="G46" i="53"/>
  <c r="I46" i="53"/>
  <c r="G53" i="53"/>
  <c r="I53" i="53"/>
  <c r="G30" i="57"/>
  <c r="I30" i="57"/>
  <c r="G18" i="57"/>
  <c r="I18" i="57"/>
  <c r="G44" i="60"/>
  <c r="G36" i="60"/>
  <c r="G23" i="60"/>
  <c r="J26" i="57"/>
  <c r="P26" i="57"/>
  <c r="G26" i="57"/>
  <c r="I26" i="57"/>
  <c r="I50" i="57"/>
  <c r="J18" i="53"/>
  <c r="P18" i="53"/>
  <c r="G18" i="53"/>
  <c r="I18" i="53"/>
  <c r="J20" i="57"/>
  <c r="P20" i="57"/>
  <c r="G20" i="57"/>
  <c r="I20" i="57"/>
  <c r="J31" i="57"/>
  <c r="P31" i="57"/>
  <c r="G31" i="57"/>
  <c r="I31" i="57"/>
  <c r="J15" i="57"/>
  <c r="P15" i="57"/>
  <c r="G15" i="57"/>
  <c r="I15" i="57"/>
  <c r="G41" i="53"/>
  <c r="I41" i="53"/>
  <c r="G55" i="53"/>
  <c r="I55" i="53"/>
  <c r="G23" i="57"/>
  <c r="I23" i="57"/>
  <c r="G33" i="60"/>
  <c r="G39" i="57"/>
  <c r="I39" i="57"/>
  <c r="G48" i="57"/>
  <c r="I48" i="57"/>
  <c r="G32" i="57"/>
  <c r="I32" i="57"/>
  <c r="G19" i="57"/>
  <c r="I19" i="57"/>
  <c r="G44" i="53"/>
  <c r="I44" i="53"/>
  <c r="G50" i="60"/>
  <c r="G47" i="60"/>
  <c r="G25" i="60"/>
  <c r="G17" i="57"/>
  <c r="I17" i="57"/>
  <c r="G51" i="57"/>
  <c r="I51" i="57"/>
  <c r="G38" i="57"/>
  <c r="I38" i="57"/>
  <c r="G56" i="60"/>
  <c r="G37" i="57"/>
  <c r="I37" i="57"/>
  <c r="G26" i="60"/>
  <c r="G29" i="60"/>
  <c r="G22" i="60"/>
  <c r="G19" i="60"/>
  <c r="J30" i="58"/>
  <c r="G30" i="58"/>
  <c r="I30" i="58"/>
  <c r="J33" i="58"/>
  <c r="P33" i="58"/>
  <c r="G33" i="58"/>
  <c r="I33" i="58"/>
  <c r="J15" i="58"/>
  <c r="G15" i="58"/>
  <c r="I15" i="58"/>
  <c r="E11" i="58"/>
  <c r="F11" i="58"/>
  <c r="J11" i="58"/>
  <c r="J42" i="57"/>
  <c r="G42" i="57"/>
  <c r="I42" i="57"/>
  <c r="J25" i="58"/>
  <c r="P25" i="58"/>
  <c r="S25" i="58"/>
  <c r="G25" i="58"/>
  <c r="I25" i="58"/>
  <c r="G18" i="60"/>
  <c r="J53" i="57"/>
  <c r="P53" i="57"/>
  <c r="G53" i="57"/>
  <c r="I53" i="57"/>
  <c r="J52" i="57"/>
  <c r="P52" i="57"/>
  <c r="G52" i="57"/>
  <c r="I52" i="57"/>
  <c r="J34" i="57"/>
  <c r="G34" i="57"/>
  <c r="I34" i="57"/>
  <c r="J42" i="53"/>
  <c r="P42" i="53"/>
  <c r="G42" i="53"/>
  <c r="I42" i="53"/>
  <c r="J8" i="53"/>
  <c r="P8" i="53"/>
  <c r="G8" i="53"/>
  <c r="I8" i="53"/>
  <c r="J40" i="57"/>
  <c r="G40" i="57"/>
  <c r="I40" i="57"/>
  <c r="E12" i="58"/>
  <c r="F12" i="58"/>
  <c r="J12" i="58"/>
  <c r="P12" i="58"/>
  <c r="G43" i="60"/>
  <c r="J28" i="57"/>
  <c r="P28" i="57"/>
  <c r="G28" i="57"/>
  <c r="I28" i="57"/>
  <c r="J41" i="57"/>
  <c r="P41" i="57"/>
  <c r="G41" i="57"/>
  <c r="I41" i="57"/>
  <c r="J41" i="58"/>
  <c r="G41" i="58"/>
  <c r="I41" i="58"/>
  <c r="G48" i="60"/>
  <c r="G51" i="60"/>
  <c r="G49" i="60"/>
  <c r="G32" i="60"/>
  <c r="J16" i="57"/>
  <c r="P16" i="57"/>
  <c r="G16" i="57"/>
  <c r="I16" i="57"/>
  <c r="G52" i="60"/>
  <c r="J47" i="57"/>
  <c r="P47" i="57"/>
  <c r="G47" i="57"/>
  <c r="I47" i="57"/>
  <c r="E13" i="59"/>
  <c r="F13" i="59"/>
  <c r="J13" i="59"/>
  <c r="J19" i="53"/>
  <c r="P19" i="53"/>
  <c r="G19" i="53"/>
  <c r="I19" i="53"/>
  <c r="J53" i="58"/>
  <c r="P53" i="58"/>
  <c r="G53" i="58"/>
  <c r="I53" i="58"/>
  <c r="J21" i="57"/>
  <c r="P21" i="57"/>
  <c r="S21" i="57"/>
  <c r="G21" i="57"/>
  <c r="I21" i="57"/>
  <c r="J56" i="57"/>
  <c r="P56" i="57"/>
  <c r="G56" i="57"/>
  <c r="I56" i="57"/>
  <c r="J50" i="53"/>
  <c r="P50" i="53"/>
  <c r="G50" i="53"/>
  <c r="I50" i="53"/>
  <c r="J45" i="53"/>
  <c r="P45" i="53"/>
  <c r="G45" i="53"/>
  <c r="I45" i="53"/>
  <c r="J23" i="53"/>
  <c r="P23" i="53"/>
  <c r="G23" i="53"/>
  <c r="I23" i="53"/>
  <c r="J10" i="53"/>
  <c r="P10" i="53"/>
  <c r="G10" i="53"/>
  <c r="I10" i="53"/>
  <c r="J24" i="58"/>
  <c r="G24" i="58"/>
  <c r="I24" i="58"/>
  <c r="J34" i="58"/>
  <c r="P34" i="58"/>
  <c r="G34" i="58"/>
  <c r="I34" i="58"/>
  <c r="G55" i="60"/>
  <c r="G54" i="60"/>
  <c r="G34" i="60"/>
  <c r="J13" i="57"/>
  <c r="P13" i="57"/>
  <c r="G13" i="57"/>
  <c r="I13" i="57"/>
  <c r="J55" i="57"/>
  <c r="P55" i="57"/>
  <c r="G55" i="57"/>
  <c r="I55" i="57"/>
  <c r="J43" i="58"/>
  <c r="P43" i="58"/>
  <c r="G43" i="58"/>
  <c r="I43" i="58"/>
  <c r="J50" i="58"/>
  <c r="P50" i="58"/>
  <c r="G50" i="58"/>
  <c r="I50" i="58"/>
  <c r="J25" i="53"/>
  <c r="P25" i="53"/>
  <c r="G25" i="53"/>
  <c r="I25" i="53"/>
  <c r="J28" i="58"/>
  <c r="P28" i="58"/>
  <c r="G28" i="58"/>
  <c r="I28" i="58"/>
  <c r="J48" i="58"/>
  <c r="P48" i="58"/>
  <c r="G48" i="58"/>
  <c r="I48" i="58"/>
  <c r="J24" i="57"/>
  <c r="P24" i="57"/>
  <c r="G24" i="57"/>
  <c r="I24" i="57"/>
  <c r="J36" i="57"/>
  <c r="P36" i="57"/>
  <c r="G36" i="57"/>
  <c r="I36" i="57"/>
  <c r="G33" i="57"/>
  <c r="I33" i="57"/>
  <c r="E14" i="60"/>
  <c r="F14" i="60"/>
  <c r="J49" i="53"/>
  <c r="G49" i="53"/>
  <c r="I49" i="53"/>
  <c r="J38" i="53"/>
  <c r="P38" i="53"/>
  <c r="G38" i="53"/>
  <c r="I38" i="53"/>
  <c r="J42" i="58"/>
  <c r="P42" i="58"/>
  <c r="G42" i="58"/>
  <c r="I42" i="58"/>
  <c r="J37" i="58"/>
  <c r="P37" i="58"/>
  <c r="G37" i="58"/>
  <c r="I37" i="58"/>
  <c r="E6" i="53"/>
  <c r="F6" i="53"/>
  <c r="J6" i="53"/>
  <c r="J27" i="58"/>
  <c r="P27" i="58"/>
  <c r="G27" i="58"/>
  <c r="I27" i="58"/>
  <c r="J45" i="58"/>
  <c r="P45" i="58"/>
  <c r="G45" i="58"/>
  <c r="I45" i="58"/>
  <c r="G20" i="60"/>
  <c r="G30" i="60"/>
  <c r="J44" i="57"/>
  <c r="P44" i="57"/>
  <c r="G44" i="57"/>
  <c r="I44" i="57"/>
  <c r="J20" i="58"/>
  <c r="G20" i="58"/>
  <c r="I20" i="58"/>
  <c r="J27" i="57"/>
  <c r="P27" i="57"/>
  <c r="G27" i="57"/>
  <c r="I27" i="57"/>
  <c r="E11" i="57"/>
  <c r="F11" i="57"/>
  <c r="J11" i="57"/>
  <c r="P11" i="57"/>
  <c r="E12" i="59"/>
  <c r="F12" i="59"/>
  <c r="J12" i="59"/>
  <c r="G15" i="53"/>
  <c r="I15" i="53"/>
  <c r="S16" i="58"/>
  <c r="G52" i="58"/>
  <c r="I52" i="58"/>
  <c r="G55" i="58"/>
  <c r="I55" i="58"/>
  <c r="G26" i="58"/>
  <c r="I26" i="58"/>
  <c r="G39" i="54"/>
  <c r="I39" i="54"/>
  <c r="G22" i="57"/>
  <c r="I22" i="57"/>
  <c r="G46" i="60"/>
  <c r="G45" i="60"/>
  <c r="G28" i="60"/>
  <c r="G17" i="60"/>
  <c r="G15" i="60"/>
  <c r="G11" i="53"/>
  <c r="I11" i="53"/>
  <c r="G22" i="53"/>
  <c r="I22" i="53"/>
  <c r="G30" i="53"/>
  <c r="I30" i="53"/>
  <c r="G16" i="53"/>
  <c r="I16" i="53"/>
  <c r="E7" i="53"/>
  <c r="F7" i="53"/>
  <c r="J7" i="53"/>
  <c r="G56" i="53"/>
  <c r="I56" i="53"/>
  <c r="G35" i="53"/>
  <c r="I35" i="53"/>
  <c r="G40" i="58"/>
  <c r="I40" i="58"/>
  <c r="G47" i="58"/>
  <c r="I47" i="58"/>
  <c r="G14" i="58"/>
  <c r="I14" i="58"/>
  <c r="G18" i="58"/>
  <c r="I18" i="58"/>
  <c r="G32" i="58"/>
  <c r="I32" i="58"/>
  <c r="G31" i="58"/>
  <c r="I31" i="58"/>
  <c r="G38" i="58"/>
  <c r="I38" i="58"/>
  <c r="G10" i="54"/>
  <c r="I10" i="54"/>
  <c r="G45" i="57"/>
  <c r="I45" i="57"/>
  <c r="G20" i="53"/>
  <c r="I20" i="53"/>
  <c r="G43" i="53"/>
  <c r="I43" i="53"/>
  <c r="G31" i="53"/>
  <c r="I31" i="53"/>
  <c r="G56" i="58"/>
  <c r="I56" i="58"/>
  <c r="G35" i="58"/>
  <c r="I35" i="58"/>
  <c r="G21" i="58"/>
  <c r="I21" i="58"/>
  <c r="E7" i="54"/>
  <c r="F7" i="54"/>
  <c r="E13" i="60"/>
  <c r="F13" i="60"/>
  <c r="J13" i="60"/>
  <c r="E14" i="61"/>
  <c r="F14" i="61"/>
  <c r="E6" i="52"/>
  <c r="F6" i="52"/>
  <c r="J6" i="52"/>
  <c r="G46" i="58"/>
  <c r="I46" i="58"/>
  <c r="G19" i="58"/>
  <c r="I19" i="58"/>
  <c r="G36" i="58"/>
  <c r="I36" i="58"/>
  <c r="G49" i="58"/>
  <c r="I49" i="58"/>
  <c r="G38" i="60"/>
  <c r="G44" i="58"/>
  <c r="I44" i="58"/>
  <c r="G43" i="57"/>
  <c r="I43" i="57"/>
  <c r="G51" i="58"/>
  <c r="I51" i="58"/>
  <c r="G16" i="60"/>
  <c r="G27" i="60"/>
  <c r="G41" i="60"/>
  <c r="G35" i="60"/>
  <c r="G12" i="57"/>
  <c r="I12" i="57"/>
  <c r="G12" i="53"/>
  <c r="I12" i="53"/>
  <c r="G9" i="53"/>
  <c r="I9" i="53"/>
  <c r="G33" i="53"/>
  <c r="I33" i="53"/>
  <c r="G14" i="53"/>
  <c r="I14" i="53"/>
  <c r="G48" i="53"/>
  <c r="I48" i="53"/>
  <c r="G13" i="53"/>
  <c r="I13" i="53"/>
  <c r="G37" i="53"/>
  <c r="I37" i="53"/>
  <c r="G54" i="57"/>
  <c r="I54" i="57"/>
  <c r="G29" i="58"/>
  <c r="I29" i="58"/>
  <c r="G54" i="58"/>
  <c r="I54" i="58"/>
  <c r="G24" i="60"/>
  <c r="G42" i="60"/>
  <c r="G36" i="53"/>
  <c r="I36" i="53"/>
  <c r="G29" i="53"/>
  <c r="I29" i="53"/>
  <c r="G16" i="58"/>
  <c r="I16" i="58"/>
  <c r="G12" i="58"/>
  <c r="Q12" i="59"/>
  <c r="G7" i="53"/>
  <c r="I7" i="53"/>
  <c r="G13" i="59"/>
  <c r="G14" i="61"/>
  <c r="G6" i="53"/>
  <c r="I6" i="53"/>
  <c r="G14" i="60"/>
  <c r="G6" i="52"/>
  <c r="Q6" i="53"/>
  <c r="G12" i="59"/>
  <c r="I12" i="59"/>
  <c r="G11" i="58"/>
  <c r="I11" i="58"/>
  <c r="I13" i="59"/>
  <c r="Q13" i="60"/>
  <c r="Q14" i="61"/>
  <c r="I6" i="52"/>
  <c r="N30" i="55"/>
  <c r="N31" i="55"/>
  <c r="N31" i="54"/>
  <c r="L24" i="61"/>
  <c r="L31" i="61"/>
  <c r="N31" i="61"/>
  <c r="L34" i="61"/>
  <c r="L23" i="61"/>
  <c r="L51" i="61"/>
  <c r="L27" i="61"/>
  <c r="L46" i="61"/>
  <c r="L39" i="61"/>
  <c r="L33" i="61"/>
  <c r="L15" i="61"/>
  <c r="L42" i="61"/>
  <c r="L56" i="61"/>
  <c r="L50" i="61"/>
  <c r="L43" i="61"/>
  <c r="L25" i="61"/>
  <c r="L17" i="61"/>
  <c r="L41" i="61"/>
  <c r="L16" i="61"/>
  <c r="L37" i="61"/>
  <c r="L54" i="61"/>
  <c r="L53" i="61"/>
  <c r="L19" i="61"/>
  <c r="L52" i="61"/>
  <c r="L29" i="61"/>
  <c r="L38" i="61"/>
  <c r="L35" i="61"/>
  <c r="L47" i="61"/>
  <c r="L49" i="61"/>
  <c r="L32" i="61"/>
  <c r="L40" i="61"/>
  <c r="L22" i="61"/>
  <c r="L18" i="61"/>
  <c r="P6" i="52"/>
  <c r="S6" i="52"/>
  <c r="S50" i="58"/>
  <c r="N16" i="55"/>
  <c r="P31" i="53"/>
  <c r="N8" i="52"/>
  <c r="N14" i="53"/>
  <c r="S14" i="53"/>
  <c r="P40" i="53"/>
  <c r="N38" i="53"/>
  <c r="N49" i="57"/>
  <c r="N39" i="54"/>
  <c r="L48" i="61"/>
  <c r="L44" i="61"/>
  <c r="L45" i="59"/>
  <c r="N45" i="59"/>
  <c r="L13" i="59"/>
  <c r="L37" i="59"/>
  <c r="N37" i="59"/>
  <c r="N32" i="56"/>
  <c r="N22" i="56"/>
  <c r="L52" i="59"/>
  <c r="N52" i="59"/>
  <c r="L40" i="59"/>
  <c r="L19" i="59"/>
  <c r="N19" i="59"/>
  <c r="L18" i="59"/>
  <c r="N18" i="59"/>
  <c r="L46" i="59"/>
  <c r="N46" i="59"/>
  <c r="L53" i="59"/>
  <c r="N53" i="59"/>
  <c r="L35" i="59"/>
  <c r="L54" i="59"/>
  <c r="N54" i="59"/>
  <c r="L21" i="59"/>
  <c r="N21" i="59"/>
  <c r="L49" i="59"/>
  <c r="N49" i="59"/>
  <c r="L24" i="59"/>
  <c r="N24" i="59"/>
  <c r="L36" i="59"/>
  <c r="N36" i="59"/>
  <c r="L15" i="59"/>
  <c r="N15" i="59"/>
  <c r="L14" i="59"/>
  <c r="N14" i="59"/>
  <c r="L25" i="59"/>
  <c r="N25" i="59"/>
  <c r="L27" i="59"/>
  <c r="N27" i="59"/>
  <c r="L50" i="59"/>
  <c r="L56" i="59"/>
  <c r="N56" i="59"/>
  <c r="L41" i="59"/>
  <c r="L55" i="59"/>
  <c r="N55" i="59"/>
  <c r="L32" i="59"/>
  <c r="N32" i="59"/>
  <c r="L28" i="59"/>
  <c r="N28" i="59"/>
  <c r="L26" i="59"/>
  <c r="N26" i="59"/>
  <c r="L23" i="59"/>
  <c r="N23" i="59"/>
  <c r="L51" i="59"/>
  <c r="N51" i="59"/>
  <c r="L47" i="59"/>
  <c r="N47" i="59"/>
  <c r="L38" i="59"/>
  <c r="N38" i="59"/>
  <c r="L43" i="59"/>
  <c r="L42" i="59"/>
  <c r="N42" i="59"/>
  <c r="L34" i="59"/>
  <c r="N34" i="59"/>
  <c r="L33" i="59"/>
  <c r="N33" i="59"/>
  <c r="L31" i="59"/>
  <c r="N31" i="59"/>
  <c r="L48" i="59"/>
  <c r="N48" i="59"/>
  <c r="L39" i="59"/>
  <c r="N39" i="59"/>
  <c r="L22" i="59"/>
  <c r="N22" i="59"/>
  <c r="L55" i="60"/>
  <c r="L25" i="60"/>
  <c r="N25" i="60"/>
  <c r="L24" i="60"/>
  <c r="N24" i="60"/>
  <c r="L21" i="60"/>
  <c r="N21" i="60"/>
  <c r="L56" i="60"/>
  <c r="N56" i="60"/>
  <c r="L19" i="60"/>
  <c r="N19" i="60"/>
  <c r="L37" i="60"/>
  <c r="N37" i="60"/>
  <c r="L43" i="60"/>
  <c r="L41" i="60"/>
  <c r="N41" i="60"/>
  <c r="L29" i="60"/>
  <c r="L27" i="60"/>
  <c r="N27" i="60"/>
  <c r="L26" i="60"/>
  <c r="L40" i="60"/>
  <c r="N40" i="60"/>
  <c r="L50" i="60"/>
  <c r="L32" i="60"/>
  <c r="N32" i="60"/>
  <c r="L52" i="60"/>
  <c r="L18" i="60"/>
  <c r="N18" i="60"/>
  <c r="L35" i="60"/>
  <c r="N35" i="60"/>
  <c r="L36" i="60"/>
  <c r="N36" i="60"/>
  <c r="L42" i="60"/>
  <c r="L34" i="60"/>
  <c r="N34" i="60"/>
  <c r="L39" i="60"/>
  <c r="L28" i="60"/>
  <c r="N28" i="60"/>
  <c r="L46" i="60"/>
  <c r="L47" i="60"/>
  <c r="N47" i="60"/>
  <c r="L17" i="60"/>
  <c r="L30" i="60"/>
  <c r="L33" i="60"/>
  <c r="N33" i="60"/>
  <c r="S33" i="60"/>
  <c r="L16" i="60"/>
  <c r="L14" i="60"/>
  <c r="L15" i="60"/>
  <c r="N15" i="60"/>
  <c r="L48" i="60"/>
  <c r="N48" i="60"/>
  <c r="L51" i="60"/>
  <c r="N51" i="60"/>
  <c r="L38" i="60"/>
  <c r="N38" i="60"/>
  <c r="L49" i="60"/>
  <c r="N49" i="60"/>
  <c r="L20" i="60"/>
  <c r="N20" i="60"/>
  <c r="L23" i="60"/>
  <c r="N23" i="60"/>
  <c r="P13" i="59"/>
  <c r="P48" i="57"/>
  <c r="N50" i="55"/>
  <c r="N48" i="54"/>
  <c r="N44" i="54"/>
  <c r="N54" i="58"/>
  <c r="N51" i="56"/>
  <c r="L28" i="61"/>
  <c r="N28" i="61"/>
  <c r="L21" i="61"/>
  <c r="L20" i="61"/>
  <c r="N20" i="61"/>
  <c r="L45" i="60"/>
  <c r="L16" i="59"/>
  <c r="N16" i="59"/>
  <c r="L17" i="59"/>
  <c r="N10" i="55"/>
  <c r="N10" i="54"/>
  <c r="N29" i="57"/>
  <c r="N29" i="56"/>
  <c r="N20" i="59"/>
  <c r="P20" i="58"/>
  <c r="P24" i="58"/>
  <c r="P40" i="57"/>
  <c r="P30" i="58"/>
  <c r="S30" i="58"/>
  <c r="N21" i="55"/>
  <c r="N56" i="58"/>
  <c r="P26" i="58"/>
  <c r="N56" i="54"/>
  <c r="N43" i="58"/>
  <c r="S43" i="58"/>
  <c r="N55" i="54"/>
  <c r="N55" i="53"/>
  <c r="N43" i="53"/>
  <c r="N43" i="54"/>
  <c r="N54" i="52"/>
  <c r="N54" i="53"/>
  <c r="N15" i="55"/>
  <c r="N15" i="56"/>
  <c r="L30" i="61"/>
  <c r="N30" i="61"/>
  <c r="L45" i="61"/>
  <c r="N45" i="61"/>
  <c r="L55" i="61"/>
  <c r="N55" i="61"/>
  <c r="N45" i="57"/>
  <c r="N45" i="58"/>
  <c r="L22" i="60"/>
  <c r="N22" i="60"/>
  <c r="L53" i="60"/>
  <c r="L44" i="60"/>
  <c r="N44" i="60"/>
  <c r="S44" i="60"/>
  <c r="L54" i="60"/>
  <c r="L30" i="59"/>
  <c r="N30" i="59"/>
  <c r="N11" i="57"/>
  <c r="S11" i="57"/>
  <c r="L11" i="58"/>
  <c r="N11" i="58"/>
  <c r="S11" i="58"/>
  <c r="P14" i="57"/>
  <c r="P23" i="57"/>
  <c r="P54" i="57"/>
  <c r="P21" i="58"/>
  <c r="P14" i="58"/>
  <c r="O20" i="57"/>
  <c r="S20" i="57"/>
  <c r="O32" i="58"/>
  <c r="O46" i="52"/>
  <c r="O16" i="54"/>
  <c r="O54" i="52"/>
  <c r="O39" i="52"/>
  <c r="O48" i="52"/>
  <c r="P17" i="57"/>
  <c r="P40" i="58"/>
  <c r="P43" i="53"/>
  <c r="P10" i="54"/>
  <c r="O22" i="58"/>
  <c r="O22" i="57"/>
  <c r="O12" i="55"/>
  <c r="O12" i="54"/>
  <c r="P52" i="58"/>
  <c r="P43" i="57"/>
  <c r="S43" i="57"/>
  <c r="P48" i="53"/>
  <c r="O33" i="54"/>
  <c r="L35" i="56"/>
  <c r="L46" i="56"/>
  <c r="L33" i="1"/>
  <c r="N33" i="52"/>
  <c r="O30" i="60"/>
  <c r="M42" i="55"/>
  <c r="O42" i="56" s="1"/>
  <c r="S42" i="56" s="1"/>
  <c r="M41" i="55"/>
  <c r="O41" i="56" s="1"/>
  <c r="S41" i="56" s="1"/>
  <c r="M22" i="55"/>
  <c r="M66" i="55"/>
  <c r="O66" i="56" s="1"/>
  <c r="S66" i="56" s="1"/>
  <c r="M29" i="54"/>
  <c r="M13" i="54"/>
  <c r="O13" i="54" s="1"/>
  <c r="S13" i="54" s="1"/>
  <c r="M51" i="54"/>
  <c r="M36" i="54"/>
  <c r="M48" i="54"/>
  <c r="O21" i="59"/>
  <c r="O61" i="54"/>
  <c r="S61" i="54"/>
  <c r="O44" i="52"/>
  <c r="M42" i="54"/>
  <c r="M43" i="54"/>
  <c r="M69" i="54"/>
  <c r="M7" i="54"/>
  <c r="M9" i="54"/>
  <c r="M38" i="54"/>
  <c r="M8" i="54"/>
  <c r="M60" i="54"/>
  <c r="O60" i="54" s="1"/>
  <c r="S60" i="54" s="1"/>
  <c r="M68" i="54"/>
  <c r="M26" i="54"/>
  <c r="M47" i="54"/>
  <c r="M57" i="54"/>
  <c r="O57" i="54" s="1"/>
  <c r="S57" i="54" s="1"/>
  <c r="M32" i="54"/>
  <c r="M39" i="54"/>
  <c r="M30" i="54"/>
  <c r="M18" i="54"/>
  <c r="M35" i="54"/>
  <c r="M50" i="54"/>
  <c r="M53" i="54"/>
  <c r="M10" i="54"/>
  <c r="M34" i="54"/>
  <c r="M44" i="54"/>
  <c r="M21" i="54"/>
  <c r="M49" i="54"/>
  <c r="M22" i="54"/>
  <c r="M27" i="54"/>
  <c r="M65" i="54"/>
  <c r="M62" i="54"/>
  <c r="M55" i="54"/>
  <c r="M17" i="54"/>
  <c r="M66" i="54"/>
  <c r="O66" i="55" s="1"/>
  <c r="S66" i="55" s="1"/>
  <c r="M41" i="54"/>
  <c r="M14" i="54"/>
  <c r="O14" i="54" s="1"/>
  <c r="S14" i="54" s="1"/>
  <c r="M23" i="54"/>
  <c r="M37" i="54"/>
  <c r="M31" i="54"/>
  <c r="M46" i="54"/>
  <c r="M64" i="54"/>
  <c r="M24" i="54"/>
  <c r="M11" i="54"/>
  <c r="M58" i="54"/>
  <c r="O58" i="54" s="1"/>
  <c r="S58" i="54" s="1"/>
  <c r="M45" i="54"/>
  <c r="M63" i="54"/>
  <c r="M67" i="54"/>
  <c r="M15" i="54"/>
  <c r="M60" i="55"/>
  <c r="O60" i="56" s="1"/>
  <c r="S60" i="56" s="1"/>
  <c r="M18" i="55"/>
  <c r="O18" i="56" s="1"/>
  <c r="S18" i="56" s="1"/>
  <c r="M9" i="55"/>
  <c r="M36" i="55"/>
  <c r="O36" i="56" s="1"/>
  <c r="S36" i="56" s="1"/>
  <c r="M37" i="55"/>
  <c r="M55" i="55"/>
  <c r="O55" i="56"/>
  <c r="M57" i="55"/>
  <c r="O57" i="56" s="1"/>
  <c r="S57" i="56" s="1"/>
  <c r="M31" i="55"/>
  <c r="M54" i="55"/>
  <c r="O54" i="56"/>
  <c r="M20" i="55"/>
  <c r="O20" i="56" s="1"/>
  <c r="S20" i="56" s="1"/>
  <c r="M21" i="55"/>
  <c r="O21" i="56" s="1"/>
  <c r="S21" i="56" s="1"/>
  <c r="M16" i="55"/>
  <c r="M61" i="55"/>
  <c r="M29" i="55"/>
  <c r="M65" i="55"/>
  <c r="O65" i="56" s="1"/>
  <c r="S65" i="56" s="1"/>
  <c r="M14" i="55"/>
  <c r="O14" i="56" s="1"/>
  <c r="S14" i="56" s="1"/>
  <c r="M30" i="55"/>
  <c r="M13" i="55"/>
  <c r="M43" i="55"/>
  <c r="O43" i="56" s="1"/>
  <c r="S43" i="56" s="1"/>
  <c r="M44" i="55"/>
  <c r="O44" i="56" s="1"/>
  <c r="S44" i="56" s="1"/>
  <c r="M45" i="55"/>
  <c r="O45" i="55" s="1"/>
  <c r="S45" i="55" s="1"/>
  <c r="M62" i="55"/>
  <c r="O62" i="56" s="1"/>
  <c r="S62" i="56" s="1"/>
  <c r="M26" i="55"/>
  <c r="M10" i="55"/>
  <c r="M53" i="55"/>
  <c r="O53" i="56" s="1"/>
  <c r="S53" i="56" s="1"/>
  <c r="M17" i="55"/>
  <c r="O17" i="56" s="1"/>
  <c r="S17" i="56" s="1"/>
  <c r="M15" i="55"/>
  <c r="M64" i="55"/>
  <c r="M39" i="55"/>
  <c r="O39" i="56" s="1"/>
  <c r="M47" i="55"/>
  <c r="M59" i="55"/>
  <c r="O59" i="56" s="1"/>
  <c r="S59" i="56" s="1"/>
  <c r="M23" i="55"/>
  <c r="M38" i="55"/>
  <c r="O38" i="56"/>
  <c r="M51" i="55"/>
  <c r="O51" i="56" s="1"/>
  <c r="S51" i="56" s="1"/>
  <c r="M35" i="55"/>
  <c r="O35" i="56" s="1"/>
  <c r="S35" i="56" s="1"/>
  <c r="M40" i="55"/>
  <c r="M34" i="55"/>
  <c r="O34" i="56" s="1"/>
  <c r="S34" i="56" s="1"/>
  <c r="M25" i="55"/>
  <c r="M33" i="55"/>
  <c r="M58" i="55"/>
  <c r="M48" i="55"/>
  <c r="M46" i="55"/>
  <c r="O46" i="55" s="1"/>
  <c r="S46" i="55" s="1"/>
  <c r="M49" i="55"/>
  <c r="O49" i="56" s="1"/>
  <c r="S49" i="56" s="1"/>
  <c r="M11" i="55"/>
  <c r="M32" i="55"/>
  <c r="O32" i="56"/>
  <c r="M19" i="55"/>
  <c r="M67" i="55"/>
  <c r="O67" i="56" s="1"/>
  <c r="S67" i="56" s="1"/>
  <c r="M24" i="55"/>
  <c r="L55" i="56"/>
  <c r="L24" i="56"/>
  <c r="O30" i="56"/>
  <c r="O46" i="60"/>
  <c r="O30" i="52"/>
  <c r="O49" i="52"/>
  <c r="O50" i="52"/>
  <c r="S50" i="52" s="1"/>
  <c r="O53" i="52"/>
  <c r="O55" i="52"/>
  <c r="O41" i="52"/>
  <c r="O58" i="52"/>
  <c r="S58" i="52"/>
  <c r="O55" i="58"/>
  <c r="S55" i="58" s="1"/>
  <c r="O19" i="61"/>
  <c r="O11" i="52"/>
  <c r="O20" i="53"/>
  <c r="S20" i="53" s="1"/>
  <c r="O57" i="53"/>
  <c r="S57" i="53" s="1"/>
  <c r="O26" i="54"/>
  <c r="O67" i="54"/>
  <c r="S67" i="54" s="1"/>
  <c r="O37" i="54"/>
  <c r="O69" i="53"/>
  <c r="S69" i="53"/>
  <c r="O60" i="59"/>
  <c r="S60" i="59" s="1"/>
  <c r="O20" i="60"/>
  <c r="S20" i="60" s="1"/>
  <c r="O48" i="60"/>
  <c r="O56" i="60"/>
  <c r="S56" i="60" s="1"/>
  <c r="J7" i="54"/>
  <c r="G7" i="54"/>
  <c r="I7" i="54"/>
  <c r="Q7" i="54"/>
  <c r="G11" i="57"/>
  <c r="I12" i="58"/>
  <c r="G13" i="60"/>
  <c r="I13" i="60"/>
  <c r="G21" i="60"/>
  <c r="G31" i="60"/>
  <c r="J34" i="53"/>
  <c r="P34" i="53"/>
  <c r="G34" i="53"/>
  <c r="I34" i="53"/>
  <c r="G35" i="57"/>
  <c r="I35" i="57"/>
  <c r="G47" i="53"/>
  <c r="I47" i="53"/>
  <c r="J47" i="53"/>
  <c r="P47" i="53"/>
  <c r="J17" i="53"/>
  <c r="P17" i="53"/>
  <c r="G17" i="53"/>
  <c r="I17" i="53"/>
  <c r="G54" i="53"/>
  <c r="I54" i="53"/>
  <c r="J54" i="53"/>
  <c r="P54" i="53"/>
  <c r="J51" i="53"/>
  <c r="P51" i="53"/>
  <c r="G13" i="58"/>
  <c r="I13" i="58"/>
  <c r="J13" i="58"/>
  <c r="P13" i="58"/>
  <c r="S13" i="58"/>
  <c r="E31" i="59"/>
  <c r="F31" i="59"/>
  <c r="J31" i="59"/>
  <c r="P31" i="59"/>
  <c r="N6" i="50"/>
  <c r="N4" i="50"/>
  <c r="K4" i="50"/>
  <c r="N5" i="50"/>
  <c r="K5" i="50"/>
  <c r="K6" i="50"/>
  <c r="C16" i="1"/>
  <c r="D16" i="1"/>
  <c r="C8" i="1"/>
  <c r="D8" i="1"/>
  <c r="C12" i="1"/>
  <c r="D12" i="1"/>
  <c r="C25" i="1"/>
  <c r="D25" i="1"/>
  <c r="C44" i="1"/>
  <c r="D44" i="1"/>
  <c r="C29" i="1"/>
  <c r="D29" i="1"/>
  <c r="C47" i="1"/>
  <c r="D47" i="1"/>
  <c r="C11" i="1"/>
  <c r="D11" i="1"/>
  <c r="C10" i="1"/>
  <c r="D10" i="1"/>
  <c r="C27" i="1"/>
  <c r="D27" i="1"/>
  <c r="C6" i="1"/>
  <c r="D6" i="1"/>
  <c r="C31" i="1"/>
  <c r="D31" i="1"/>
  <c r="C28" i="1"/>
  <c r="D28" i="1"/>
  <c r="C24" i="1"/>
  <c r="D24" i="1"/>
  <c r="C22" i="1"/>
  <c r="D22" i="1"/>
  <c r="C40" i="1"/>
  <c r="D40" i="1"/>
  <c r="C20" i="1"/>
  <c r="D20" i="1"/>
  <c r="C5" i="1"/>
  <c r="C13" i="1"/>
  <c r="D13" i="1"/>
  <c r="C37" i="1"/>
  <c r="D37" i="1"/>
  <c r="C36" i="1"/>
  <c r="D36" i="1"/>
  <c r="C42" i="1"/>
  <c r="D42" i="1"/>
  <c r="C23" i="1"/>
  <c r="D23" i="1"/>
  <c r="C19" i="1"/>
  <c r="D19" i="1"/>
  <c r="C39" i="1"/>
  <c r="D39" i="1"/>
  <c r="C53" i="1"/>
  <c r="D53" i="1"/>
  <c r="C32" i="1"/>
  <c r="D32" i="1"/>
  <c r="C56" i="1"/>
  <c r="D56" i="1"/>
  <c r="C9" i="1"/>
  <c r="D9" i="1"/>
  <c r="C30" i="1"/>
  <c r="D30" i="1"/>
  <c r="C46" i="1"/>
  <c r="D46" i="1"/>
  <c r="C15" i="1"/>
  <c r="D15" i="1"/>
  <c r="C34" i="1"/>
  <c r="D34" i="1"/>
  <c r="C21" i="1"/>
  <c r="D21" i="1"/>
  <c r="C45" i="1"/>
  <c r="D45" i="1"/>
  <c r="C55" i="1"/>
  <c r="D55" i="1"/>
  <c r="C14" i="1"/>
  <c r="D14" i="1"/>
  <c r="C51" i="1"/>
  <c r="D51" i="1"/>
  <c r="C49" i="1"/>
  <c r="D49" i="1"/>
  <c r="C48" i="1"/>
  <c r="D48" i="1"/>
  <c r="C50" i="1"/>
  <c r="D50" i="1"/>
  <c r="C43" i="1"/>
  <c r="D43" i="1"/>
  <c r="C18" i="1"/>
  <c r="D18" i="1"/>
  <c r="C52" i="1"/>
  <c r="D52" i="1"/>
  <c r="C33" i="1"/>
  <c r="D33" i="1"/>
  <c r="C54" i="1"/>
  <c r="D54" i="1"/>
  <c r="C17" i="1"/>
  <c r="D17" i="1"/>
  <c r="C41" i="1"/>
  <c r="D41" i="1"/>
  <c r="C7" i="1"/>
  <c r="D7" i="1"/>
  <c r="C26" i="1"/>
  <c r="D26" i="1"/>
  <c r="C35" i="1"/>
  <c r="D35" i="1"/>
  <c r="C38" i="1"/>
  <c r="D38" i="1"/>
  <c r="D39" i="52"/>
  <c r="D43" i="52"/>
  <c r="D48" i="52"/>
  <c r="D26" i="52"/>
  <c r="D21" i="52"/>
  <c r="D17" i="52"/>
  <c r="D23" i="52"/>
  <c r="D51" i="52"/>
  <c r="D13" i="52"/>
  <c r="D44" i="52"/>
  <c r="D18" i="52"/>
  <c r="D46" i="52"/>
  <c r="D42" i="52"/>
  <c r="D41" i="52"/>
  <c r="D47" i="52"/>
  <c r="D45" i="52"/>
  <c r="D22" i="52"/>
  <c r="D20" i="52"/>
  <c r="C37" i="54"/>
  <c r="D37" i="54"/>
  <c r="C51" i="54"/>
  <c r="D51" i="54"/>
  <c r="C25" i="54"/>
  <c r="D25" i="54"/>
  <c r="C48" i="54"/>
  <c r="D48" i="54"/>
  <c r="C28" i="54"/>
  <c r="D28" i="54"/>
  <c r="C47" i="54"/>
  <c r="D47" i="54"/>
  <c r="C35" i="54"/>
  <c r="D35" i="54"/>
  <c r="C23" i="54"/>
  <c r="D23" i="54"/>
  <c r="C16" i="54"/>
  <c r="D16" i="54"/>
  <c r="C33" i="54"/>
  <c r="D33" i="54"/>
  <c r="C27" i="54"/>
  <c r="D27" i="54"/>
  <c r="C54" i="54"/>
  <c r="D54" i="54"/>
  <c r="C29" i="54"/>
  <c r="D29" i="54"/>
  <c r="C43" i="54"/>
  <c r="D43" i="54"/>
  <c r="C49" i="54"/>
  <c r="D49" i="54"/>
  <c r="C41" i="54"/>
  <c r="D41" i="54"/>
  <c r="C13" i="54"/>
  <c r="D13" i="54"/>
  <c r="C42" i="54"/>
  <c r="D42" i="54"/>
  <c r="C9" i="54"/>
  <c r="D9" i="54"/>
  <c r="C17" i="54"/>
  <c r="D17" i="54"/>
  <c r="C38" i="54"/>
  <c r="D38" i="54"/>
  <c r="C8" i="54"/>
  <c r="C52" i="54"/>
  <c r="D52" i="54"/>
  <c r="C31" i="54"/>
  <c r="D31" i="54"/>
  <c r="C36" i="54"/>
  <c r="D36" i="54"/>
  <c r="C22" i="54"/>
  <c r="D22" i="54"/>
  <c r="C44" i="54"/>
  <c r="D44" i="54"/>
  <c r="C24" i="54"/>
  <c r="D24" i="54"/>
  <c r="C32" i="54"/>
  <c r="D32" i="54"/>
  <c r="C50" i="54"/>
  <c r="D50" i="54"/>
  <c r="C21" i="54"/>
  <c r="D21" i="54"/>
  <c r="C19" i="54"/>
  <c r="D19" i="54"/>
  <c r="C18" i="54"/>
  <c r="D18" i="54"/>
  <c r="C46" i="54"/>
  <c r="D46" i="54"/>
  <c r="C30" i="54"/>
  <c r="D30" i="54"/>
  <c r="C14" i="54"/>
  <c r="D14" i="54"/>
  <c r="C40" i="54"/>
  <c r="D40" i="54"/>
  <c r="C12" i="54"/>
  <c r="D12" i="54"/>
  <c r="C53" i="54"/>
  <c r="D53" i="54"/>
  <c r="C26" i="54"/>
  <c r="D26" i="54"/>
  <c r="C55" i="54"/>
  <c r="D55" i="54"/>
  <c r="C11" i="54"/>
  <c r="D11" i="54"/>
  <c r="C56" i="54"/>
  <c r="D56" i="54"/>
  <c r="C45" i="54"/>
  <c r="D45" i="54"/>
  <c r="C15" i="54"/>
  <c r="D15" i="54"/>
  <c r="C34" i="54"/>
  <c r="D34" i="54"/>
  <c r="C20" i="54"/>
  <c r="D20" i="54"/>
  <c r="C46" i="55"/>
  <c r="D46" i="55"/>
  <c r="C19" i="55"/>
  <c r="D19" i="55"/>
  <c r="C20" i="55"/>
  <c r="D20" i="55"/>
  <c r="C42" i="55"/>
  <c r="D42" i="55"/>
  <c r="C24" i="55"/>
  <c r="D24" i="55"/>
  <c r="C15" i="55"/>
  <c r="D15" i="55"/>
  <c r="C44" i="55"/>
  <c r="D44" i="55"/>
  <c r="C18" i="55"/>
  <c r="D18" i="55"/>
  <c r="C33" i="55"/>
  <c r="D33" i="55"/>
  <c r="C12" i="55"/>
  <c r="D12" i="55"/>
  <c r="C49" i="55"/>
  <c r="D49" i="55"/>
  <c r="C50" i="55"/>
  <c r="D50" i="55"/>
  <c r="C38" i="55"/>
  <c r="D38" i="55"/>
  <c r="C51" i="55"/>
  <c r="D51" i="55"/>
  <c r="C39" i="55"/>
  <c r="D39" i="55"/>
  <c r="C47" i="55"/>
  <c r="D47" i="55"/>
  <c r="C41" i="55"/>
  <c r="D41" i="55"/>
  <c r="C36" i="55"/>
  <c r="D36" i="55"/>
  <c r="C25" i="55"/>
  <c r="D25" i="55"/>
  <c r="C26" i="55"/>
  <c r="D26" i="55"/>
  <c r="C28" i="55"/>
  <c r="D28" i="55"/>
  <c r="C23" i="55"/>
  <c r="D23" i="55"/>
  <c r="C16" i="55"/>
  <c r="D16" i="55"/>
  <c r="C32" i="55"/>
  <c r="D32" i="55"/>
  <c r="C9" i="55"/>
  <c r="C45" i="55"/>
  <c r="D45" i="55"/>
  <c r="C13" i="55"/>
  <c r="D13" i="55"/>
  <c r="C17" i="55"/>
  <c r="D17" i="55"/>
  <c r="C56" i="55"/>
  <c r="D56" i="55"/>
  <c r="C55" i="55"/>
  <c r="D55" i="55"/>
  <c r="C10" i="55"/>
  <c r="D10" i="55"/>
  <c r="C48" i="55"/>
  <c r="D48" i="55"/>
  <c r="C22" i="55"/>
  <c r="D22" i="55"/>
  <c r="C37" i="55"/>
  <c r="D37" i="55"/>
  <c r="C31" i="55"/>
  <c r="D31" i="55"/>
  <c r="C35" i="55"/>
  <c r="D35" i="55"/>
  <c r="C27" i="55"/>
  <c r="D27" i="55"/>
  <c r="C34" i="55"/>
  <c r="D34" i="55"/>
  <c r="C43" i="55"/>
  <c r="D43" i="55"/>
  <c r="C14" i="55"/>
  <c r="D14" i="55"/>
  <c r="C21" i="55"/>
  <c r="D21" i="55"/>
  <c r="C53" i="55"/>
  <c r="D53" i="55"/>
  <c r="C54" i="55"/>
  <c r="D54" i="55"/>
  <c r="C30" i="55"/>
  <c r="D30" i="55"/>
  <c r="C40" i="55"/>
  <c r="D40" i="55"/>
  <c r="C29" i="55"/>
  <c r="D29" i="55"/>
  <c r="C11" i="55"/>
  <c r="D11" i="55"/>
  <c r="C52" i="55"/>
  <c r="D52" i="55"/>
  <c r="C12" i="56"/>
  <c r="D12" i="56"/>
  <c r="C39" i="56"/>
  <c r="D39" i="56"/>
  <c r="C14" i="56"/>
  <c r="D14" i="56"/>
  <c r="C16" i="56"/>
  <c r="D16" i="56"/>
  <c r="C32" i="56"/>
  <c r="D32" i="56"/>
  <c r="C19" i="56"/>
  <c r="D19" i="56"/>
  <c r="C49" i="56"/>
  <c r="D49" i="56"/>
  <c r="C47" i="56"/>
  <c r="D47" i="56"/>
  <c r="C21" i="56"/>
  <c r="D21" i="56"/>
  <c r="C11" i="56"/>
  <c r="D11" i="56"/>
  <c r="C29" i="56"/>
  <c r="D29" i="56"/>
  <c r="C30" i="56"/>
  <c r="D30" i="56"/>
  <c r="C56" i="56"/>
  <c r="D56" i="56"/>
  <c r="C13" i="56"/>
  <c r="D13" i="56"/>
  <c r="C18" i="56"/>
  <c r="D18" i="56"/>
  <c r="C22" i="56"/>
  <c r="D22" i="56"/>
  <c r="C54" i="56"/>
  <c r="D54" i="56"/>
  <c r="C41" i="56"/>
  <c r="D41" i="56"/>
  <c r="C40" i="56"/>
  <c r="D40" i="56"/>
  <c r="C23" i="56"/>
  <c r="D23" i="56"/>
  <c r="C17" i="56"/>
  <c r="D17" i="56"/>
  <c r="C34" i="56"/>
  <c r="D34" i="56"/>
  <c r="C37" i="56"/>
  <c r="D37" i="56"/>
  <c r="C27" i="56"/>
  <c r="D27" i="56"/>
  <c r="C45" i="56"/>
  <c r="D45" i="56"/>
  <c r="C26" i="56"/>
  <c r="D26" i="56"/>
  <c r="C52" i="56"/>
  <c r="D52" i="56"/>
  <c r="C46" i="56"/>
  <c r="D46" i="56"/>
  <c r="C25" i="56"/>
  <c r="D25" i="56"/>
  <c r="C42" i="56"/>
  <c r="D42" i="56"/>
  <c r="C36" i="56"/>
  <c r="D36" i="56"/>
  <c r="C24" i="56"/>
  <c r="D24" i="56"/>
  <c r="C10" i="56"/>
  <c r="C48" i="56"/>
  <c r="D48" i="56"/>
  <c r="C51" i="56"/>
  <c r="D51" i="56"/>
  <c r="C38" i="56"/>
  <c r="D38" i="56"/>
  <c r="C31" i="56"/>
  <c r="D31" i="56"/>
  <c r="C44" i="56"/>
  <c r="D44" i="56"/>
  <c r="C20" i="56"/>
  <c r="D20" i="56"/>
  <c r="C43" i="56"/>
  <c r="D43" i="56"/>
  <c r="C35" i="56"/>
  <c r="D35" i="56"/>
  <c r="C53" i="56"/>
  <c r="D53" i="56"/>
  <c r="C33" i="56"/>
  <c r="D33" i="56"/>
  <c r="C55" i="56"/>
  <c r="D55" i="56"/>
  <c r="C28" i="56"/>
  <c r="D28" i="56"/>
  <c r="C15" i="56"/>
  <c r="D15" i="56"/>
  <c r="C50" i="56"/>
  <c r="D50" i="56"/>
  <c r="D30" i="59"/>
  <c r="D23" i="59"/>
  <c r="D42" i="59"/>
  <c r="D41" i="59"/>
  <c r="D27" i="59"/>
  <c r="D29" i="59"/>
  <c r="D21" i="59"/>
  <c r="D18" i="59"/>
  <c r="D40" i="59"/>
  <c r="D34" i="59"/>
  <c r="D20" i="59"/>
  <c r="D48" i="59"/>
  <c r="D51" i="59"/>
  <c r="D33" i="59"/>
  <c r="D24" i="59"/>
  <c r="D22" i="59"/>
  <c r="D26" i="59"/>
  <c r="D52" i="59"/>
  <c r="D14" i="59"/>
  <c r="D19" i="59"/>
  <c r="D44" i="59"/>
  <c r="D50" i="59"/>
  <c r="H55" i="60"/>
  <c r="J55" i="60"/>
  <c r="P55" i="60"/>
  <c r="H54" i="60"/>
  <c r="J54" i="60"/>
  <c r="H46" i="60"/>
  <c r="I46" i="60"/>
  <c r="H29" i="60"/>
  <c r="J29" i="60"/>
  <c r="H31" i="60"/>
  <c r="J31" i="60"/>
  <c r="P31" i="60"/>
  <c r="H17" i="60"/>
  <c r="I17" i="60"/>
  <c r="H18" i="60"/>
  <c r="H15" i="60"/>
  <c r="I15" i="60"/>
  <c r="H45" i="60"/>
  <c r="I45" i="60"/>
  <c r="H28" i="60"/>
  <c r="I28" i="60"/>
  <c r="H34" i="60"/>
  <c r="H47" i="60"/>
  <c r="I47" i="60"/>
  <c r="H53" i="60"/>
  <c r="J53" i="60"/>
  <c r="H26" i="60"/>
  <c r="J26" i="60"/>
  <c r="H48" i="60"/>
  <c r="H14" i="60"/>
  <c r="H23" i="60"/>
  <c r="I23" i="60"/>
  <c r="H40" i="60"/>
  <c r="I40" i="60"/>
  <c r="H33" i="60"/>
  <c r="I33" i="60"/>
  <c r="H30" i="60"/>
  <c r="H35" i="60"/>
  <c r="I35" i="60"/>
  <c r="H37" i="60"/>
  <c r="I37" i="60"/>
  <c r="H51" i="60"/>
  <c r="H25" i="60"/>
  <c r="I25" i="60"/>
  <c r="H50" i="60"/>
  <c r="I50" i="60"/>
  <c r="H39" i="60"/>
  <c r="J39" i="60"/>
  <c r="H56" i="60"/>
  <c r="I56" i="60"/>
  <c r="H49" i="60"/>
  <c r="H27" i="60"/>
  <c r="I27" i="60"/>
  <c r="H32" i="60"/>
  <c r="H52" i="60"/>
  <c r="H20" i="60"/>
  <c r="J20" i="60"/>
  <c r="P20" i="60"/>
  <c r="H44" i="60"/>
  <c r="I44" i="60"/>
  <c r="H24" i="60"/>
  <c r="I24" i="60"/>
  <c r="H41" i="60"/>
  <c r="I41" i="60"/>
  <c r="H21" i="60"/>
  <c r="J21" i="60"/>
  <c r="P21" i="60"/>
  <c r="H42" i="60"/>
  <c r="I42" i="60"/>
  <c r="H38" i="60"/>
  <c r="I38" i="60"/>
  <c r="H36" i="60"/>
  <c r="J36" i="60"/>
  <c r="P36" i="60"/>
  <c r="S36" i="60"/>
  <c r="H22" i="60"/>
  <c r="H16" i="60"/>
  <c r="I16" i="60"/>
  <c r="H19" i="60"/>
  <c r="H43" i="60"/>
  <c r="D48" i="61"/>
  <c r="D51" i="61"/>
  <c r="D30" i="61"/>
  <c r="D55" i="61"/>
  <c r="D42" i="61"/>
  <c r="D45" i="61"/>
  <c r="D53" i="61"/>
  <c r="D16" i="61"/>
  <c r="D27" i="61"/>
  <c r="D29" i="61"/>
  <c r="D23" i="61"/>
  <c r="D52" i="61"/>
  <c r="D21" i="61"/>
  <c r="D39" i="61"/>
  <c r="D38" i="61"/>
  <c r="D41" i="61"/>
  <c r="D34" i="61"/>
  <c r="D32" i="61"/>
  <c r="D25" i="61"/>
  <c r="D35" i="61"/>
  <c r="D37" i="61"/>
  <c r="D17" i="61"/>
  <c r="D54" i="61"/>
  <c r="D44" i="61"/>
  <c r="D26" i="61"/>
  <c r="D31" i="61"/>
  <c r="D56" i="61"/>
  <c r="D20" i="61"/>
  <c r="D15" i="61"/>
  <c r="D33" i="61"/>
  <c r="D50" i="61"/>
  <c r="J26" i="53"/>
  <c r="P26" i="53"/>
  <c r="G26" i="53"/>
  <c r="I26" i="53"/>
  <c r="G22" i="58"/>
  <c r="I22" i="58"/>
  <c r="J22" i="58"/>
  <c r="P22" i="58"/>
  <c r="J25" i="57"/>
  <c r="P25" i="57"/>
  <c r="S25" i="57"/>
  <c r="G25" i="57"/>
  <c r="I25" i="57"/>
  <c r="J46" i="60"/>
  <c r="J17" i="60"/>
  <c r="P17" i="60"/>
  <c r="J47" i="60"/>
  <c r="P47" i="60"/>
  <c r="J33" i="60"/>
  <c r="P33" i="60"/>
  <c r="G39" i="53"/>
  <c r="I39" i="53"/>
  <c r="J39" i="53"/>
  <c r="P39" i="53"/>
  <c r="J52" i="53"/>
  <c r="G52" i="53"/>
  <c r="I52" i="53"/>
  <c r="J41" i="60"/>
  <c r="P41" i="60"/>
  <c r="J45" i="60"/>
  <c r="J27" i="60"/>
  <c r="P27" i="60"/>
  <c r="J50" i="60"/>
  <c r="J24" i="60"/>
  <c r="P24" i="60"/>
  <c r="J28" i="60"/>
  <c r="P28" i="60"/>
  <c r="D8" i="52"/>
  <c r="J56" i="60"/>
  <c r="P56" i="60"/>
  <c r="D10" i="52"/>
  <c r="D16" i="52"/>
  <c r="J42" i="60"/>
  <c r="D19" i="52"/>
  <c r="D28" i="52"/>
  <c r="D36" i="52"/>
  <c r="D56" i="52"/>
  <c r="D32" i="52"/>
  <c r="D9" i="52"/>
  <c r="D55" i="52"/>
  <c r="D14" i="52"/>
  <c r="D35" i="52"/>
  <c r="D37" i="52"/>
  <c r="D24" i="52"/>
  <c r="D52" i="52"/>
  <c r="D28" i="61"/>
  <c r="D36" i="61"/>
  <c r="D38" i="52"/>
  <c r="D12" i="52"/>
  <c r="D25" i="52"/>
  <c r="D29" i="52"/>
  <c r="D15" i="52"/>
  <c r="D11" i="52"/>
  <c r="D50" i="52"/>
  <c r="D36" i="59"/>
  <c r="D25" i="59"/>
  <c r="D35" i="59"/>
  <c r="D32" i="59"/>
  <c r="D56" i="59"/>
  <c r="D40" i="52"/>
  <c r="D27" i="52"/>
  <c r="D7" i="52"/>
  <c r="D53" i="52"/>
  <c r="D54" i="52"/>
  <c r="D30" i="52"/>
  <c r="D33" i="52"/>
  <c r="D49" i="52"/>
  <c r="D34" i="52"/>
  <c r="D31" i="52"/>
  <c r="D40" i="61"/>
  <c r="D18" i="61"/>
  <c r="D49" i="61"/>
  <c r="D15" i="59"/>
  <c r="D45" i="59"/>
  <c r="D43" i="59"/>
  <c r="D38" i="59"/>
  <c r="D37" i="59"/>
  <c r="D47" i="61"/>
  <c r="D43" i="61"/>
  <c r="D55" i="59"/>
  <c r="D16" i="59"/>
  <c r="D49" i="59"/>
  <c r="D17" i="59"/>
  <c r="D54" i="59"/>
  <c r="D24" i="61"/>
  <c r="D46" i="61"/>
  <c r="D19" i="61"/>
  <c r="D22" i="61"/>
  <c r="D46" i="59"/>
  <c r="D47" i="59"/>
  <c r="D53" i="59"/>
  <c r="D28" i="59"/>
  <c r="D39" i="59"/>
  <c r="S69" i="56"/>
  <c r="S44" i="57"/>
  <c r="S56" i="57"/>
  <c r="S53" i="57"/>
  <c r="K12" i="50"/>
  <c r="K11" i="50"/>
  <c r="S59" i="54"/>
  <c r="S14" i="58"/>
  <c r="O55" i="54"/>
  <c r="O55" i="55"/>
  <c r="O62" i="55"/>
  <c r="S62" i="55" s="1"/>
  <c r="O65" i="55"/>
  <c r="S65" i="55"/>
  <c r="O27" i="55"/>
  <c r="O44" i="55"/>
  <c r="O34" i="52"/>
  <c r="O27" i="58"/>
  <c r="S27" i="58" s="1"/>
  <c r="O27" i="59"/>
  <c r="S27" i="59" s="1"/>
  <c r="O61" i="59"/>
  <c r="S61" i="59" s="1"/>
  <c r="O61" i="58"/>
  <c r="S61" i="58" s="1"/>
  <c r="O36" i="58"/>
  <c r="S36" i="58" s="1"/>
  <c r="O36" i="59"/>
  <c r="O29" i="58"/>
  <c r="S29" i="58" s="1"/>
  <c r="O29" i="57"/>
  <c r="S29" i="57" s="1"/>
  <c r="O54" i="58"/>
  <c r="S54" i="58" s="1"/>
  <c r="O54" i="57"/>
  <c r="S54" i="57" s="1"/>
  <c r="O47" i="58"/>
  <c r="S47" i="58" s="1"/>
  <c r="O47" i="57"/>
  <c r="S47" i="57"/>
  <c r="O17" i="58"/>
  <c r="S17" i="58" s="1"/>
  <c r="O17" i="57"/>
  <c r="S17" i="57"/>
  <c r="O15" i="58"/>
  <c r="O15" i="57"/>
  <c r="S15" i="57" s="1"/>
  <c r="O16" i="59"/>
  <c r="O16" i="60"/>
  <c r="O18" i="58"/>
  <c r="S18" i="58" s="1"/>
  <c r="O18" i="57"/>
  <c r="S18" i="57" s="1"/>
  <c r="O19" i="57"/>
  <c r="S19" i="57" s="1"/>
  <c r="O26" i="55"/>
  <c r="O26" i="56"/>
  <c r="O32" i="57"/>
  <c r="O48" i="57"/>
  <c r="O48" i="56"/>
  <c r="O46" i="57"/>
  <c r="O46" i="56"/>
  <c r="O23" i="57"/>
  <c r="S23" i="57"/>
  <c r="O24" i="57"/>
  <c r="O24" i="56"/>
  <c r="O42" i="57"/>
  <c r="O68" i="52"/>
  <c r="S68" i="52" s="1"/>
  <c r="O51" i="52"/>
  <c r="O38" i="55"/>
  <c r="S38" i="55" s="1"/>
  <c r="O66" i="53"/>
  <c r="S66" i="53" s="1"/>
  <c r="O66" i="52"/>
  <c r="S66" i="52" s="1"/>
  <c r="O56" i="59"/>
  <c r="O48" i="59"/>
  <c r="O20" i="55"/>
  <c r="O20" i="54"/>
  <c r="O18" i="54"/>
  <c r="O69" i="59"/>
  <c r="S69" i="59" s="1"/>
  <c r="O29" i="52"/>
  <c r="O25" i="59"/>
  <c r="O25" i="60"/>
  <c r="O54" i="61"/>
  <c r="O54" i="60"/>
  <c r="O12" i="52"/>
  <c r="O12" i="53"/>
  <c r="S12" i="53" s="1"/>
  <c r="O52" i="59"/>
  <c r="O52" i="60"/>
  <c r="N24" i="56"/>
  <c r="N24" i="57"/>
  <c r="O25" i="55"/>
  <c r="O25" i="56"/>
  <c r="O29" i="56"/>
  <c r="O63" i="54"/>
  <c r="S63" i="54"/>
  <c r="O24" i="55"/>
  <c r="O66" i="54"/>
  <c r="S66" i="54" s="1"/>
  <c r="O53" i="54"/>
  <c r="O30" i="55"/>
  <c r="O47" i="54"/>
  <c r="S47" i="54" s="1"/>
  <c r="O69" i="55"/>
  <c r="S69" i="55" s="1"/>
  <c r="O69" i="54"/>
  <c r="S69" i="54" s="1"/>
  <c r="O36" i="55"/>
  <c r="O36" i="54"/>
  <c r="N48" i="61"/>
  <c r="N18" i="61"/>
  <c r="N49" i="61"/>
  <c r="N17" i="61"/>
  <c r="N56" i="61"/>
  <c r="N23" i="61"/>
  <c r="N36" i="61"/>
  <c r="O45" i="56"/>
  <c r="O17" i="55"/>
  <c r="O39" i="55"/>
  <c r="O51" i="55"/>
  <c r="N30" i="60"/>
  <c r="L13" i="60"/>
  <c r="N13" i="60"/>
  <c r="S13" i="60"/>
  <c r="N13" i="59"/>
  <c r="S13" i="59"/>
  <c r="N22" i="61"/>
  <c r="N47" i="61"/>
  <c r="N37" i="61"/>
  <c r="N25" i="61"/>
  <c r="N34" i="61"/>
  <c r="N26" i="61"/>
  <c r="N31" i="60"/>
  <c r="O58" i="55"/>
  <c r="S58" i="55" s="1"/>
  <c r="O58" i="56"/>
  <c r="S58" i="56" s="1"/>
  <c r="O64" i="55"/>
  <c r="S64" i="55" s="1"/>
  <c r="O64" i="56"/>
  <c r="S64" i="56" s="1"/>
  <c r="O31" i="55"/>
  <c r="S31" i="55" s="1"/>
  <c r="O31" i="56"/>
  <c r="O14" i="55"/>
  <c r="O22" i="54"/>
  <c r="O34" i="55"/>
  <c r="O35" i="55"/>
  <c r="O35" i="54"/>
  <c r="O32" i="55"/>
  <c r="O32" i="54"/>
  <c r="O68" i="54"/>
  <c r="S68" i="54"/>
  <c r="O9" i="55"/>
  <c r="O42" i="55"/>
  <c r="O16" i="55"/>
  <c r="S16" i="55" s="1"/>
  <c r="L14" i="61"/>
  <c r="N14" i="61"/>
  <c r="S14" i="61"/>
  <c r="N14" i="60"/>
  <c r="N40" i="61"/>
  <c r="N35" i="61"/>
  <c r="N19" i="61"/>
  <c r="N43" i="61"/>
  <c r="N15" i="61"/>
  <c r="N27" i="61"/>
  <c r="O67" i="55"/>
  <c r="S67" i="55" s="1"/>
  <c r="O11" i="54"/>
  <c r="O41" i="54"/>
  <c r="O41" i="55"/>
  <c r="O49" i="55"/>
  <c r="O10" i="55"/>
  <c r="S10" i="55" s="1"/>
  <c r="O57" i="55"/>
  <c r="S57" i="55" s="1"/>
  <c r="O60" i="55"/>
  <c r="S60" i="55" s="1"/>
  <c r="O48" i="55"/>
  <c r="N35" i="57"/>
  <c r="S35" i="57"/>
  <c r="N35" i="56"/>
  <c r="O59" i="55"/>
  <c r="S59" i="55" s="1"/>
  <c r="N44" i="61"/>
  <c r="N32" i="61"/>
  <c r="N38" i="61"/>
  <c r="N41" i="61"/>
  <c r="N33" i="61"/>
  <c r="N51" i="61"/>
  <c r="N24" i="61"/>
  <c r="E47" i="59"/>
  <c r="F47" i="59"/>
  <c r="J47" i="59"/>
  <c r="P47" i="59"/>
  <c r="G47" i="59"/>
  <c r="I47" i="59"/>
  <c r="E46" i="61"/>
  <c r="F46" i="61"/>
  <c r="J46" i="61"/>
  <c r="P46" i="61"/>
  <c r="E17" i="59"/>
  <c r="F17" i="59"/>
  <c r="J17" i="59"/>
  <c r="G17" i="59"/>
  <c r="I17" i="59"/>
  <c r="E43" i="61"/>
  <c r="F43" i="61"/>
  <c r="J43" i="61"/>
  <c r="P43" i="61"/>
  <c r="E43" i="59"/>
  <c r="F43" i="59"/>
  <c r="J43" i="59"/>
  <c r="E18" i="61"/>
  <c r="F18" i="61"/>
  <c r="J18" i="61"/>
  <c r="P18" i="61"/>
  <c r="E34" i="52"/>
  <c r="F34" i="52"/>
  <c r="J34" i="52"/>
  <c r="P34" i="52"/>
  <c r="E54" i="52"/>
  <c r="F54" i="52"/>
  <c r="J54" i="52"/>
  <c r="P54" i="52"/>
  <c r="S54" i="52"/>
  <c r="E40" i="52"/>
  <c r="F40" i="52"/>
  <c r="J40" i="52"/>
  <c r="P40" i="52"/>
  <c r="S40" i="52"/>
  <c r="G35" i="59"/>
  <c r="I35" i="59"/>
  <c r="E35" i="59"/>
  <c r="F35" i="59"/>
  <c r="J35" i="59"/>
  <c r="P35" i="59"/>
  <c r="E11" i="52"/>
  <c r="F11" i="52"/>
  <c r="J11" i="52"/>
  <c r="P11" i="52"/>
  <c r="E12" i="52"/>
  <c r="F12" i="52"/>
  <c r="J12" i="52"/>
  <c r="P12" i="52"/>
  <c r="S12" i="52"/>
  <c r="E36" i="61"/>
  <c r="F36" i="61"/>
  <c r="J36" i="61"/>
  <c r="P36" i="61"/>
  <c r="E37" i="52"/>
  <c r="F37" i="52"/>
  <c r="J37" i="52"/>
  <c r="P37" i="52"/>
  <c r="E9" i="52"/>
  <c r="F9" i="52"/>
  <c r="J9" i="52"/>
  <c r="P9" i="52"/>
  <c r="E28" i="52"/>
  <c r="F28" i="52"/>
  <c r="J28" i="52"/>
  <c r="P28" i="52"/>
  <c r="E10" i="52"/>
  <c r="F10" i="52"/>
  <c r="J10" i="52"/>
  <c r="P10" i="52"/>
  <c r="E33" i="61"/>
  <c r="F33" i="61"/>
  <c r="J33" i="61"/>
  <c r="P33" i="61"/>
  <c r="E31" i="61"/>
  <c r="F31" i="61"/>
  <c r="J31" i="61"/>
  <c r="P31" i="61"/>
  <c r="E17" i="61"/>
  <c r="F17" i="61"/>
  <c r="J17" i="61"/>
  <c r="P17" i="61"/>
  <c r="E32" i="61"/>
  <c r="F32" i="61"/>
  <c r="J32" i="61"/>
  <c r="P32" i="61"/>
  <c r="G39" i="61"/>
  <c r="I39" i="61"/>
  <c r="E39" i="61"/>
  <c r="F39" i="61"/>
  <c r="J39" i="61"/>
  <c r="P39" i="61"/>
  <c r="E29" i="61"/>
  <c r="F29" i="61"/>
  <c r="J29" i="61"/>
  <c r="P29" i="61"/>
  <c r="E45" i="61"/>
  <c r="F45" i="61"/>
  <c r="J45" i="61"/>
  <c r="P45" i="61"/>
  <c r="E51" i="61"/>
  <c r="F51" i="61"/>
  <c r="J51" i="61"/>
  <c r="P51" i="61"/>
  <c r="E14" i="59"/>
  <c r="F14" i="59"/>
  <c r="J14" i="59"/>
  <c r="P14" i="59"/>
  <c r="E24" i="59"/>
  <c r="F24" i="59"/>
  <c r="J24" i="59"/>
  <c r="P24" i="59"/>
  <c r="E20" i="59"/>
  <c r="F20" i="59"/>
  <c r="J20" i="59"/>
  <c r="P20" i="59"/>
  <c r="E21" i="59"/>
  <c r="F21" i="59"/>
  <c r="J21" i="59"/>
  <c r="P21" i="59"/>
  <c r="S21" i="59"/>
  <c r="E42" i="59"/>
  <c r="F42" i="59"/>
  <c r="J42" i="59"/>
  <c r="P42" i="59"/>
  <c r="E55" i="56"/>
  <c r="F55" i="56"/>
  <c r="J55" i="56"/>
  <c r="G43" i="56"/>
  <c r="I43" i="56"/>
  <c r="E43" i="56"/>
  <c r="F43" i="56"/>
  <c r="J43" i="56"/>
  <c r="P43" i="56"/>
  <c r="G38" i="56"/>
  <c r="I38" i="56"/>
  <c r="E38" i="56"/>
  <c r="F38" i="56"/>
  <c r="J38" i="56"/>
  <c r="P38" i="56"/>
  <c r="S38" i="56"/>
  <c r="G24" i="56"/>
  <c r="I24" i="56"/>
  <c r="E24" i="56"/>
  <c r="F24" i="56"/>
  <c r="J24" i="56"/>
  <c r="P24" i="56"/>
  <c r="E46" i="56"/>
  <c r="F46" i="56"/>
  <c r="J46" i="56"/>
  <c r="P46" i="56"/>
  <c r="G27" i="56"/>
  <c r="I27" i="56"/>
  <c r="E27" i="56"/>
  <c r="F27" i="56"/>
  <c r="J27" i="56"/>
  <c r="P27" i="56"/>
  <c r="S27" i="56"/>
  <c r="E23" i="56"/>
  <c r="F23" i="56"/>
  <c r="J23" i="56"/>
  <c r="P23" i="56"/>
  <c r="G22" i="56"/>
  <c r="I22" i="56"/>
  <c r="E22" i="56"/>
  <c r="F22" i="56"/>
  <c r="J22" i="56"/>
  <c r="P22" i="56"/>
  <c r="G30" i="56"/>
  <c r="I30" i="56"/>
  <c r="E30" i="56"/>
  <c r="F30" i="56"/>
  <c r="J30" i="56"/>
  <c r="P30" i="56"/>
  <c r="E47" i="56"/>
  <c r="F47" i="56"/>
  <c r="J47" i="56"/>
  <c r="P47" i="56"/>
  <c r="G16" i="56"/>
  <c r="I16" i="56"/>
  <c r="E16" i="56"/>
  <c r="F16" i="56"/>
  <c r="J16" i="56"/>
  <c r="P16" i="56"/>
  <c r="E11" i="55"/>
  <c r="F11" i="55"/>
  <c r="J11" i="55"/>
  <c r="P11" i="55"/>
  <c r="E54" i="55"/>
  <c r="F54" i="55"/>
  <c r="J54" i="55"/>
  <c r="P54" i="55"/>
  <c r="E43" i="55"/>
  <c r="F43" i="55"/>
  <c r="J43" i="55"/>
  <c r="P43" i="55"/>
  <c r="G31" i="55"/>
  <c r="I31" i="55"/>
  <c r="E31" i="55"/>
  <c r="F31" i="55"/>
  <c r="J31" i="55"/>
  <c r="P31" i="55"/>
  <c r="E10" i="55"/>
  <c r="F10" i="55"/>
  <c r="J10" i="55"/>
  <c r="P10" i="55"/>
  <c r="E13" i="55"/>
  <c r="F13" i="55"/>
  <c r="J13" i="55"/>
  <c r="P13" i="55"/>
  <c r="E16" i="55"/>
  <c r="F16" i="55"/>
  <c r="J16" i="55"/>
  <c r="P16" i="55"/>
  <c r="E25" i="55"/>
  <c r="F25" i="55"/>
  <c r="J25" i="55"/>
  <c r="P25" i="55"/>
  <c r="S25" i="55"/>
  <c r="E39" i="55"/>
  <c r="F39" i="55"/>
  <c r="J39" i="55"/>
  <c r="P39" i="55"/>
  <c r="E49" i="55"/>
  <c r="F49" i="55"/>
  <c r="J49" i="55"/>
  <c r="P49" i="55"/>
  <c r="S49" i="55"/>
  <c r="E44" i="55"/>
  <c r="F44" i="55"/>
  <c r="J44" i="55"/>
  <c r="P44" i="55"/>
  <c r="E20" i="55"/>
  <c r="F20" i="55"/>
  <c r="J20" i="55"/>
  <c r="P20" i="55"/>
  <c r="E15" i="54"/>
  <c r="F15" i="54"/>
  <c r="J15" i="54"/>
  <c r="P15" i="54"/>
  <c r="E55" i="54"/>
  <c r="F55" i="54"/>
  <c r="J55" i="54"/>
  <c r="P55" i="54"/>
  <c r="E40" i="54"/>
  <c r="F40" i="54"/>
  <c r="J40" i="54"/>
  <c r="E18" i="54"/>
  <c r="F18" i="54"/>
  <c r="J18" i="54"/>
  <c r="P18" i="54"/>
  <c r="S18" i="54"/>
  <c r="E32" i="54"/>
  <c r="F32" i="54"/>
  <c r="J32" i="54"/>
  <c r="P32" i="54"/>
  <c r="E36" i="54"/>
  <c r="F36" i="54"/>
  <c r="J36" i="54"/>
  <c r="P36" i="54"/>
  <c r="E38" i="54"/>
  <c r="F38" i="54"/>
  <c r="J38" i="54"/>
  <c r="P38" i="54"/>
  <c r="E13" i="54"/>
  <c r="F13" i="54"/>
  <c r="J13" i="54"/>
  <c r="P13" i="54"/>
  <c r="E29" i="54"/>
  <c r="F29" i="54"/>
  <c r="J29" i="54"/>
  <c r="P29" i="54"/>
  <c r="E16" i="54"/>
  <c r="F16" i="54"/>
  <c r="J16" i="54"/>
  <c r="P16" i="54"/>
  <c r="S16" i="54"/>
  <c r="E28" i="54"/>
  <c r="F28" i="54"/>
  <c r="J28" i="54"/>
  <c r="P28" i="54"/>
  <c r="E37" i="54"/>
  <c r="F37" i="54"/>
  <c r="J37" i="54"/>
  <c r="P37" i="54"/>
  <c r="S37" i="54"/>
  <c r="E47" i="52"/>
  <c r="F47" i="52"/>
  <c r="J47" i="52"/>
  <c r="P47" i="52"/>
  <c r="E18" i="52"/>
  <c r="F18" i="52"/>
  <c r="J18" i="52"/>
  <c r="P18" i="52"/>
  <c r="E23" i="52"/>
  <c r="F23" i="52"/>
  <c r="J23" i="52"/>
  <c r="P23" i="52"/>
  <c r="E48" i="52"/>
  <c r="F48" i="52"/>
  <c r="J48" i="52"/>
  <c r="P48" i="52"/>
  <c r="S48" i="52"/>
  <c r="E35" i="1"/>
  <c r="F35" i="1"/>
  <c r="J35" i="1"/>
  <c r="E17" i="1"/>
  <c r="F17" i="1"/>
  <c r="J17" i="1"/>
  <c r="E18" i="1"/>
  <c r="F18" i="1"/>
  <c r="J18" i="1"/>
  <c r="E49" i="1"/>
  <c r="F49" i="1"/>
  <c r="J49" i="1"/>
  <c r="E45" i="1"/>
  <c r="F45" i="1"/>
  <c r="J45" i="1"/>
  <c r="E46" i="1"/>
  <c r="F46" i="1"/>
  <c r="J46" i="1"/>
  <c r="E32" i="1"/>
  <c r="F32" i="1"/>
  <c r="J32" i="1"/>
  <c r="E23" i="1"/>
  <c r="F23" i="1"/>
  <c r="J23" i="1"/>
  <c r="E13" i="1"/>
  <c r="F13" i="1"/>
  <c r="J13" i="1"/>
  <c r="E22" i="1"/>
  <c r="F22" i="1"/>
  <c r="J22" i="1"/>
  <c r="E6" i="1"/>
  <c r="F6" i="1"/>
  <c r="J6" i="1"/>
  <c r="E47" i="1"/>
  <c r="F47" i="1"/>
  <c r="J47" i="1"/>
  <c r="E12" i="1"/>
  <c r="F12" i="1"/>
  <c r="J12" i="1"/>
  <c r="J35" i="60"/>
  <c r="P35" i="60"/>
  <c r="J16" i="60"/>
  <c r="P16" i="60"/>
  <c r="I53" i="60"/>
  <c r="I39" i="60"/>
  <c r="I26" i="60"/>
  <c r="I55" i="60"/>
  <c r="I11" i="57"/>
  <c r="Q11" i="58"/>
  <c r="S24" i="56"/>
  <c r="G39" i="59"/>
  <c r="I39" i="59"/>
  <c r="E39" i="59"/>
  <c r="F39" i="59"/>
  <c r="J39" i="59"/>
  <c r="P39" i="59"/>
  <c r="E46" i="59"/>
  <c r="F46" i="59"/>
  <c r="J46" i="59"/>
  <c r="P46" i="59"/>
  <c r="E49" i="59"/>
  <c r="F49" i="59"/>
  <c r="J49" i="59"/>
  <c r="P49" i="59"/>
  <c r="E47" i="61"/>
  <c r="F47" i="61"/>
  <c r="J47" i="61"/>
  <c r="P47" i="61"/>
  <c r="E45" i="59"/>
  <c r="F45" i="59"/>
  <c r="J45" i="59"/>
  <c r="P45" i="59"/>
  <c r="E40" i="61"/>
  <c r="F40" i="61"/>
  <c r="J40" i="61"/>
  <c r="P40" i="61"/>
  <c r="E49" i="52"/>
  <c r="F49" i="52"/>
  <c r="J49" i="52"/>
  <c r="P49" i="52"/>
  <c r="S49" i="52"/>
  <c r="E53" i="52"/>
  <c r="F53" i="52"/>
  <c r="J53" i="52"/>
  <c r="P53" i="52"/>
  <c r="E25" i="59"/>
  <c r="F25" i="59"/>
  <c r="J25" i="59"/>
  <c r="P25" i="59"/>
  <c r="E15" i="52"/>
  <c r="F15" i="52"/>
  <c r="J15" i="52"/>
  <c r="P15" i="52"/>
  <c r="E38" i="52"/>
  <c r="F38" i="52"/>
  <c r="J38" i="52"/>
  <c r="P38" i="52"/>
  <c r="S38" i="52"/>
  <c r="E28" i="61"/>
  <c r="F28" i="61"/>
  <c r="J28" i="61"/>
  <c r="P28" i="61"/>
  <c r="E35" i="52"/>
  <c r="F35" i="52"/>
  <c r="J35" i="52"/>
  <c r="P35" i="52"/>
  <c r="E32" i="52"/>
  <c r="F32" i="52"/>
  <c r="J32" i="52"/>
  <c r="P32" i="52"/>
  <c r="E19" i="52"/>
  <c r="F19" i="52"/>
  <c r="J19" i="52"/>
  <c r="P19" i="52"/>
  <c r="E15" i="61"/>
  <c r="F15" i="61"/>
  <c r="J15" i="61"/>
  <c r="P15" i="61"/>
  <c r="E26" i="61"/>
  <c r="F26" i="61"/>
  <c r="J26" i="61"/>
  <c r="P26" i="61"/>
  <c r="E37" i="61"/>
  <c r="F37" i="61"/>
  <c r="J37" i="61"/>
  <c r="P37" i="61"/>
  <c r="G34" i="61"/>
  <c r="I34" i="61"/>
  <c r="E34" i="61"/>
  <c r="F34" i="61"/>
  <c r="J34" i="61"/>
  <c r="P34" i="61"/>
  <c r="E21" i="61"/>
  <c r="F21" i="61"/>
  <c r="J21" i="61"/>
  <c r="E27" i="61"/>
  <c r="F27" i="61"/>
  <c r="J27" i="61"/>
  <c r="P27" i="61"/>
  <c r="E42" i="61"/>
  <c r="F42" i="61"/>
  <c r="J42" i="61"/>
  <c r="P42" i="61"/>
  <c r="E48" i="61"/>
  <c r="F48" i="61"/>
  <c r="J48" i="61"/>
  <c r="P48" i="61"/>
  <c r="J22" i="60"/>
  <c r="P22" i="60"/>
  <c r="I22" i="60"/>
  <c r="I49" i="60"/>
  <c r="J49" i="60"/>
  <c r="P49" i="60"/>
  <c r="I30" i="60"/>
  <c r="J30" i="60"/>
  <c r="P30" i="60"/>
  <c r="S30" i="60"/>
  <c r="H14" i="61"/>
  <c r="I14" i="60"/>
  <c r="G50" i="59"/>
  <c r="I50" i="59"/>
  <c r="E50" i="59"/>
  <c r="F50" i="59"/>
  <c r="J50" i="59"/>
  <c r="E52" i="59"/>
  <c r="F52" i="59"/>
  <c r="J52" i="59"/>
  <c r="P52" i="59"/>
  <c r="S52" i="59"/>
  <c r="G33" i="59"/>
  <c r="I33" i="59"/>
  <c r="E33" i="59"/>
  <c r="F33" i="59"/>
  <c r="J33" i="59"/>
  <c r="P33" i="59"/>
  <c r="E34" i="59"/>
  <c r="F34" i="59"/>
  <c r="J34" i="59"/>
  <c r="P34" i="59"/>
  <c r="E29" i="59"/>
  <c r="F29" i="59"/>
  <c r="J29" i="59"/>
  <c r="P29" i="59"/>
  <c r="E23" i="59"/>
  <c r="F23" i="59"/>
  <c r="J23" i="59"/>
  <c r="P23" i="59"/>
  <c r="E50" i="56"/>
  <c r="F50" i="56"/>
  <c r="J50" i="56"/>
  <c r="P50" i="56"/>
  <c r="G33" i="56"/>
  <c r="I33" i="56"/>
  <c r="E33" i="56"/>
  <c r="F33" i="56"/>
  <c r="J33" i="56"/>
  <c r="P33" i="56"/>
  <c r="E20" i="56"/>
  <c r="F20" i="56"/>
  <c r="J20" i="56"/>
  <c r="P20" i="56"/>
  <c r="E51" i="56"/>
  <c r="F51" i="56"/>
  <c r="J51" i="56"/>
  <c r="P51" i="56"/>
  <c r="E36" i="56"/>
  <c r="F36" i="56"/>
  <c r="J36" i="56"/>
  <c r="P36" i="56"/>
  <c r="E52" i="56"/>
  <c r="F52" i="56"/>
  <c r="J52" i="56"/>
  <c r="P52" i="56"/>
  <c r="G37" i="56"/>
  <c r="I37" i="56"/>
  <c r="E37" i="56"/>
  <c r="F37" i="56"/>
  <c r="J37" i="56"/>
  <c r="P37" i="56"/>
  <c r="E40" i="56"/>
  <c r="F40" i="56"/>
  <c r="J40" i="56"/>
  <c r="P40" i="56"/>
  <c r="G18" i="56"/>
  <c r="I18" i="56"/>
  <c r="E18" i="56"/>
  <c r="F18" i="56"/>
  <c r="J18" i="56"/>
  <c r="P18" i="56"/>
  <c r="E29" i="56"/>
  <c r="F29" i="56"/>
  <c r="J29" i="56"/>
  <c r="P29" i="56"/>
  <c r="S29" i="56"/>
  <c r="E49" i="56"/>
  <c r="F49" i="56"/>
  <c r="J49" i="56"/>
  <c r="P49" i="56"/>
  <c r="E14" i="56"/>
  <c r="F14" i="56"/>
  <c r="J14" i="56"/>
  <c r="P14" i="56"/>
  <c r="E29" i="55"/>
  <c r="F29" i="55"/>
  <c r="J29" i="55"/>
  <c r="P29" i="55"/>
  <c r="E53" i="55"/>
  <c r="F53" i="55"/>
  <c r="J53" i="55"/>
  <c r="P53" i="55"/>
  <c r="E34" i="55"/>
  <c r="F34" i="55"/>
  <c r="J34" i="55"/>
  <c r="P34" i="55"/>
  <c r="E37" i="55"/>
  <c r="F37" i="55"/>
  <c r="J37" i="55"/>
  <c r="P37" i="55"/>
  <c r="E55" i="55"/>
  <c r="F55" i="55"/>
  <c r="J55" i="55"/>
  <c r="P55" i="55"/>
  <c r="S55" i="55"/>
  <c r="E45" i="55"/>
  <c r="F45" i="55"/>
  <c r="J45" i="55"/>
  <c r="P45" i="55"/>
  <c r="E23" i="55"/>
  <c r="F23" i="55"/>
  <c r="J23" i="55"/>
  <c r="P23" i="55"/>
  <c r="E36" i="55"/>
  <c r="F36" i="55"/>
  <c r="J36" i="55"/>
  <c r="P36" i="55"/>
  <c r="S36" i="55"/>
  <c r="E51" i="55"/>
  <c r="F51" i="55"/>
  <c r="J51" i="55"/>
  <c r="P51" i="55"/>
  <c r="S51" i="55"/>
  <c r="E12" i="55"/>
  <c r="F12" i="55"/>
  <c r="J12" i="55"/>
  <c r="P12" i="55"/>
  <c r="S12" i="55"/>
  <c r="E15" i="55"/>
  <c r="F15" i="55"/>
  <c r="J15" i="55"/>
  <c r="P15" i="55"/>
  <c r="E19" i="55"/>
  <c r="F19" i="55"/>
  <c r="J19" i="55"/>
  <c r="P19" i="55"/>
  <c r="E45" i="54"/>
  <c r="F45" i="54"/>
  <c r="J45" i="54"/>
  <c r="P45" i="54"/>
  <c r="E26" i="54"/>
  <c r="F26" i="54"/>
  <c r="J26" i="54"/>
  <c r="P26" i="54"/>
  <c r="S26" i="54"/>
  <c r="E14" i="54"/>
  <c r="F14" i="54"/>
  <c r="J14" i="54"/>
  <c r="P14" i="54"/>
  <c r="E19" i="54"/>
  <c r="F19" i="54"/>
  <c r="J19" i="54"/>
  <c r="P19" i="54"/>
  <c r="E24" i="54"/>
  <c r="F24" i="54"/>
  <c r="J24" i="54"/>
  <c r="P24" i="54"/>
  <c r="E31" i="54"/>
  <c r="F31" i="54"/>
  <c r="J31" i="54"/>
  <c r="P31" i="54"/>
  <c r="E17" i="54"/>
  <c r="F17" i="54"/>
  <c r="J17" i="54"/>
  <c r="P17" i="54"/>
  <c r="E41" i="54"/>
  <c r="F41" i="54"/>
  <c r="J41" i="54"/>
  <c r="P41" i="54"/>
  <c r="S41" i="54"/>
  <c r="E54" i="54"/>
  <c r="F54" i="54"/>
  <c r="J54" i="54"/>
  <c r="P54" i="54"/>
  <c r="E23" i="54"/>
  <c r="F23" i="54"/>
  <c r="J23" i="54"/>
  <c r="P23" i="54"/>
  <c r="E48" i="54"/>
  <c r="F48" i="54"/>
  <c r="J48" i="54"/>
  <c r="P48" i="54"/>
  <c r="E20" i="52"/>
  <c r="F20" i="52"/>
  <c r="J20" i="52"/>
  <c r="P20" i="52"/>
  <c r="E41" i="52"/>
  <c r="F41" i="52"/>
  <c r="J41" i="52"/>
  <c r="P41" i="52"/>
  <c r="S41" i="52"/>
  <c r="E44" i="52"/>
  <c r="F44" i="52"/>
  <c r="J44" i="52"/>
  <c r="P44" i="52"/>
  <c r="S44" i="52"/>
  <c r="E17" i="52"/>
  <c r="F17" i="52"/>
  <c r="J17" i="52"/>
  <c r="P17" i="52"/>
  <c r="E43" i="52"/>
  <c r="F43" i="52"/>
  <c r="J43" i="52"/>
  <c r="P43" i="52"/>
  <c r="E26" i="1"/>
  <c r="F26" i="1"/>
  <c r="J26" i="1"/>
  <c r="E54" i="1"/>
  <c r="F54" i="1"/>
  <c r="J54" i="1"/>
  <c r="E43" i="1"/>
  <c r="F43" i="1"/>
  <c r="J43" i="1"/>
  <c r="E51" i="1"/>
  <c r="F51" i="1"/>
  <c r="J51" i="1"/>
  <c r="E21" i="1"/>
  <c r="F21" i="1"/>
  <c r="J21" i="1"/>
  <c r="E30" i="1"/>
  <c r="F30" i="1"/>
  <c r="J30" i="1"/>
  <c r="E53" i="1"/>
  <c r="F53" i="1"/>
  <c r="J53" i="1"/>
  <c r="E42" i="1"/>
  <c r="F42" i="1"/>
  <c r="J42" i="1"/>
  <c r="C5" i="52"/>
  <c r="D5" i="52"/>
  <c r="D5" i="1"/>
  <c r="E24" i="1"/>
  <c r="F24" i="1"/>
  <c r="J24" i="1"/>
  <c r="E27" i="1"/>
  <c r="F27" i="1"/>
  <c r="J27" i="1"/>
  <c r="E29" i="1"/>
  <c r="F29" i="1"/>
  <c r="J29" i="1"/>
  <c r="E8" i="1"/>
  <c r="F8" i="1"/>
  <c r="J8" i="1"/>
  <c r="G31" i="59"/>
  <c r="I31" i="59"/>
  <c r="J38" i="60"/>
  <c r="P38" i="60"/>
  <c r="J40" i="60"/>
  <c r="P40" i="60"/>
  <c r="I21" i="60"/>
  <c r="J44" i="60"/>
  <c r="P44" i="60"/>
  <c r="I20" i="60"/>
  <c r="J23" i="60"/>
  <c r="P23" i="60"/>
  <c r="S29" i="52"/>
  <c r="S55" i="54"/>
  <c r="E28" i="59"/>
  <c r="F28" i="59"/>
  <c r="J28" i="59"/>
  <c r="P28" i="59"/>
  <c r="G28" i="59"/>
  <c r="I28" i="59"/>
  <c r="E22" i="61"/>
  <c r="F22" i="61"/>
  <c r="J22" i="61"/>
  <c r="P22" i="61"/>
  <c r="G22" i="61"/>
  <c r="I22" i="61"/>
  <c r="E16" i="59"/>
  <c r="F16" i="59"/>
  <c r="J16" i="59"/>
  <c r="P16" i="59"/>
  <c r="G16" i="59"/>
  <c r="I16" i="59"/>
  <c r="E37" i="59"/>
  <c r="F37" i="59"/>
  <c r="J37" i="59"/>
  <c r="P37" i="59"/>
  <c r="G37" i="59"/>
  <c r="I37" i="59"/>
  <c r="E15" i="59"/>
  <c r="F15" i="59"/>
  <c r="J15" i="59"/>
  <c r="P15" i="59"/>
  <c r="G15" i="59"/>
  <c r="I15" i="59"/>
  <c r="E33" i="52"/>
  <c r="F33" i="52"/>
  <c r="J33" i="52"/>
  <c r="P33" i="52"/>
  <c r="G33" i="52"/>
  <c r="I33" i="52"/>
  <c r="E7" i="52"/>
  <c r="F7" i="52"/>
  <c r="J7" i="52"/>
  <c r="P7" i="52"/>
  <c r="S7" i="52"/>
  <c r="G7" i="52"/>
  <c r="I7" i="52"/>
  <c r="E56" i="59"/>
  <c r="F56" i="59"/>
  <c r="J56" i="59"/>
  <c r="P56" i="59"/>
  <c r="S56" i="59"/>
  <c r="G56" i="59"/>
  <c r="I56" i="59"/>
  <c r="E36" i="59"/>
  <c r="F36" i="59"/>
  <c r="J36" i="59"/>
  <c r="P36" i="59"/>
  <c r="G36" i="59"/>
  <c r="I36" i="59"/>
  <c r="E29" i="52"/>
  <c r="F29" i="52"/>
  <c r="J29" i="52"/>
  <c r="P29" i="52"/>
  <c r="G29" i="52"/>
  <c r="I29" i="52"/>
  <c r="E52" i="52"/>
  <c r="F52" i="52"/>
  <c r="J52" i="52"/>
  <c r="P52" i="52"/>
  <c r="G52" i="52"/>
  <c r="I52" i="52"/>
  <c r="E14" i="52"/>
  <c r="F14" i="52"/>
  <c r="J14" i="52"/>
  <c r="P14" i="52"/>
  <c r="G14" i="52"/>
  <c r="I14" i="52"/>
  <c r="E56" i="52"/>
  <c r="F56" i="52"/>
  <c r="J56" i="52"/>
  <c r="P56" i="52"/>
  <c r="G56" i="52"/>
  <c r="I56" i="52"/>
  <c r="E8" i="52"/>
  <c r="F8" i="52"/>
  <c r="J8" i="52"/>
  <c r="P8" i="52"/>
  <c r="G8" i="52"/>
  <c r="I8" i="52"/>
  <c r="E20" i="61"/>
  <c r="F20" i="61"/>
  <c r="J20" i="61"/>
  <c r="P20" i="61"/>
  <c r="G20" i="61"/>
  <c r="I20" i="61"/>
  <c r="E44" i="61"/>
  <c r="F44" i="61"/>
  <c r="J44" i="61"/>
  <c r="P44" i="61"/>
  <c r="G44" i="61"/>
  <c r="I44" i="61"/>
  <c r="E35" i="61"/>
  <c r="F35" i="61"/>
  <c r="J35" i="61"/>
  <c r="P35" i="61"/>
  <c r="E41" i="61"/>
  <c r="F41" i="61"/>
  <c r="J41" i="61"/>
  <c r="P41" i="61"/>
  <c r="G41" i="61"/>
  <c r="I41" i="61"/>
  <c r="E52" i="61"/>
  <c r="F52" i="61"/>
  <c r="J52" i="61"/>
  <c r="P52" i="61"/>
  <c r="E16" i="61"/>
  <c r="F16" i="61"/>
  <c r="J16" i="61"/>
  <c r="P16" i="61"/>
  <c r="G16" i="61"/>
  <c r="I16" i="61"/>
  <c r="E55" i="61"/>
  <c r="F55" i="61"/>
  <c r="J55" i="61"/>
  <c r="P55" i="61"/>
  <c r="G55" i="61"/>
  <c r="I55" i="61"/>
  <c r="J43" i="60"/>
  <c r="P43" i="60"/>
  <c r="I43" i="60"/>
  <c r="I52" i="60"/>
  <c r="J52" i="60"/>
  <c r="P52" i="60"/>
  <c r="I51" i="60"/>
  <c r="J51" i="60"/>
  <c r="P51" i="60"/>
  <c r="I48" i="60"/>
  <c r="J48" i="60"/>
  <c r="P48" i="60"/>
  <c r="S48" i="60"/>
  <c r="J34" i="60"/>
  <c r="P34" i="60"/>
  <c r="S34" i="60"/>
  <c r="I34" i="60"/>
  <c r="I18" i="60"/>
  <c r="J18" i="60"/>
  <c r="P18" i="60"/>
  <c r="E44" i="59"/>
  <c r="F44" i="59"/>
  <c r="J44" i="59"/>
  <c r="P44" i="59"/>
  <c r="G44" i="59"/>
  <c r="I44" i="59"/>
  <c r="E26" i="59"/>
  <c r="F26" i="59"/>
  <c r="J26" i="59"/>
  <c r="P26" i="59"/>
  <c r="G26" i="59"/>
  <c r="I26" i="59"/>
  <c r="E51" i="59"/>
  <c r="F51" i="59"/>
  <c r="J51" i="59"/>
  <c r="P51" i="59"/>
  <c r="G51" i="59"/>
  <c r="I51" i="59"/>
  <c r="E40" i="59"/>
  <c r="F40" i="59"/>
  <c r="J40" i="59"/>
  <c r="P40" i="59"/>
  <c r="G40" i="59"/>
  <c r="I40" i="59"/>
  <c r="E27" i="59"/>
  <c r="F27" i="59"/>
  <c r="J27" i="59"/>
  <c r="P27" i="59"/>
  <c r="G27" i="59"/>
  <c r="I27" i="59"/>
  <c r="E30" i="59"/>
  <c r="F30" i="59"/>
  <c r="J30" i="59"/>
  <c r="P30" i="59"/>
  <c r="G30" i="59"/>
  <c r="I30" i="59"/>
  <c r="E15" i="56"/>
  <c r="F15" i="56"/>
  <c r="J15" i="56"/>
  <c r="P15" i="56"/>
  <c r="G15" i="56"/>
  <c r="I15" i="56"/>
  <c r="E53" i="56"/>
  <c r="F53" i="56"/>
  <c r="J53" i="56"/>
  <c r="P53" i="56"/>
  <c r="G53" i="56"/>
  <c r="I53" i="56"/>
  <c r="E44" i="56"/>
  <c r="F44" i="56"/>
  <c r="J44" i="56"/>
  <c r="P44" i="56"/>
  <c r="G44" i="56"/>
  <c r="I44" i="56"/>
  <c r="E48" i="56"/>
  <c r="F48" i="56"/>
  <c r="J48" i="56"/>
  <c r="P48" i="56"/>
  <c r="E42" i="56"/>
  <c r="F42" i="56"/>
  <c r="J42" i="56"/>
  <c r="P42" i="56"/>
  <c r="E26" i="56"/>
  <c r="F26" i="56"/>
  <c r="J26" i="56"/>
  <c r="P26" i="56"/>
  <c r="S26" i="56"/>
  <c r="G26" i="56"/>
  <c r="I26" i="56"/>
  <c r="E34" i="56"/>
  <c r="F34" i="56"/>
  <c r="J34" i="56"/>
  <c r="P34" i="56"/>
  <c r="G34" i="56"/>
  <c r="I34" i="56"/>
  <c r="E41" i="56"/>
  <c r="F41" i="56"/>
  <c r="J41" i="56"/>
  <c r="P41" i="56"/>
  <c r="E13" i="56"/>
  <c r="F13" i="56"/>
  <c r="J13" i="56"/>
  <c r="P13" i="56"/>
  <c r="E11" i="56"/>
  <c r="F11" i="56"/>
  <c r="J11" i="56"/>
  <c r="P11" i="56"/>
  <c r="E19" i="56"/>
  <c r="F19" i="56"/>
  <c r="J19" i="56"/>
  <c r="P19" i="56"/>
  <c r="G19" i="56"/>
  <c r="I19" i="56"/>
  <c r="E39" i="56"/>
  <c r="F39" i="56"/>
  <c r="J39" i="56"/>
  <c r="P39" i="56"/>
  <c r="E40" i="55"/>
  <c r="F40" i="55"/>
  <c r="J40" i="55"/>
  <c r="P40" i="55"/>
  <c r="G40" i="55"/>
  <c r="I40" i="55"/>
  <c r="E21" i="55"/>
  <c r="F21" i="55"/>
  <c r="J21" i="55"/>
  <c r="P21" i="55"/>
  <c r="G21" i="55"/>
  <c r="I21" i="55"/>
  <c r="E27" i="55"/>
  <c r="F27" i="55"/>
  <c r="J27" i="55"/>
  <c r="P27" i="55"/>
  <c r="S27" i="55"/>
  <c r="E22" i="55"/>
  <c r="F22" i="55"/>
  <c r="J22" i="55"/>
  <c r="P22" i="55"/>
  <c r="G22" i="55"/>
  <c r="I22" i="55"/>
  <c r="E56" i="55"/>
  <c r="F56" i="55"/>
  <c r="J56" i="55"/>
  <c r="P56" i="55"/>
  <c r="G56" i="55"/>
  <c r="I56" i="55"/>
  <c r="C9" i="56"/>
  <c r="D9" i="56"/>
  <c r="D9" i="55"/>
  <c r="E28" i="55"/>
  <c r="F28" i="55"/>
  <c r="J28" i="55"/>
  <c r="P28" i="55"/>
  <c r="E41" i="55"/>
  <c r="F41" i="55"/>
  <c r="J41" i="55"/>
  <c r="P41" i="55"/>
  <c r="S41" i="55"/>
  <c r="G41" i="55"/>
  <c r="I41" i="55"/>
  <c r="E38" i="55"/>
  <c r="F38" i="55"/>
  <c r="J38" i="55"/>
  <c r="P38" i="55"/>
  <c r="G38" i="55"/>
  <c r="I38" i="55"/>
  <c r="E33" i="55"/>
  <c r="F33" i="55"/>
  <c r="J33" i="55"/>
  <c r="P33" i="55"/>
  <c r="G33" i="55"/>
  <c r="I33" i="55"/>
  <c r="E24" i="55"/>
  <c r="F24" i="55"/>
  <c r="J24" i="55"/>
  <c r="P24" i="55"/>
  <c r="S24" i="55"/>
  <c r="G24" i="55"/>
  <c r="I24" i="55"/>
  <c r="E46" i="55"/>
  <c r="F46" i="55"/>
  <c r="J46" i="55"/>
  <c r="P46" i="55"/>
  <c r="G46" i="55"/>
  <c r="I46" i="55"/>
  <c r="E20" i="54"/>
  <c r="F20" i="54"/>
  <c r="J20" i="54"/>
  <c r="P20" i="54"/>
  <c r="S20" i="54"/>
  <c r="G20" i="54"/>
  <c r="I20" i="54"/>
  <c r="E56" i="54"/>
  <c r="F56" i="54"/>
  <c r="J56" i="54"/>
  <c r="P56" i="54"/>
  <c r="G56" i="54"/>
  <c r="I56" i="54"/>
  <c r="E53" i="54"/>
  <c r="F53" i="54"/>
  <c r="J53" i="54"/>
  <c r="P53" i="54"/>
  <c r="S53" i="54"/>
  <c r="G53" i="54"/>
  <c r="I53" i="54"/>
  <c r="E30" i="54"/>
  <c r="F30" i="54"/>
  <c r="J30" i="54"/>
  <c r="P30" i="54"/>
  <c r="G30" i="54"/>
  <c r="I30" i="54"/>
  <c r="E21" i="54"/>
  <c r="F21" i="54"/>
  <c r="J21" i="54"/>
  <c r="P21" i="54"/>
  <c r="G21" i="54"/>
  <c r="I21" i="54"/>
  <c r="E44" i="54"/>
  <c r="F44" i="54"/>
  <c r="J44" i="54"/>
  <c r="P44" i="54"/>
  <c r="G44" i="54"/>
  <c r="I44" i="54"/>
  <c r="E52" i="54"/>
  <c r="F52" i="54"/>
  <c r="J52" i="54"/>
  <c r="P52" i="54"/>
  <c r="E9" i="54"/>
  <c r="F9" i="54"/>
  <c r="J9" i="54"/>
  <c r="P9" i="54"/>
  <c r="G9" i="54"/>
  <c r="I9" i="54"/>
  <c r="E49" i="54"/>
  <c r="F49" i="54"/>
  <c r="J49" i="54"/>
  <c r="P49" i="54"/>
  <c r="E27" i="54"/>
  <c r="F27" i="54"/>
  <c r="J27" i="54"/>
  <c r="P27" i="54"/>
  <c r="G27" i="54"/>
  <c r="I27" i="54"/>
  <c r="E35" i="54"/>
  <c r="F35" i="54"/>
  <c r="J35" i="54"/>
  <c r="P35" i="54"/>
  <c r="S35" i="54"/>
  <c r="G35" i="54"/>
  <c r="I35" i="54"/>
  <c r="E25" i="54"/>
  <c r="F25" i="54"/>
  <c r="J25" i="54"/>
  <c r="P25" i="54"/>
  <c r="S25" i="54"/>
  <c r="G25" i="54"/>
  <c r="I25" i="54"/>
  <c r="E22" i="52"/>
  <c r="F22" i="52"/>
  <c r="J22" i="52"/>
  <c r="P22" i="52"/>
  <c r="G22" i="52"/>
  <c r="I22" i="52"/>
  <c r="E42" i="52"/>
  <c r="F42" i="52"/>
  <c r="J42" i="52"/>
  <c r="P42" i="52"/>
  <c r="S42" i="52"/>
  <c r="G42" i="52"/>
  <c r="I42" i="52"/>
  <c r="E13" i="52"/>
  <c r="F13" i="52"/>
  <c r="J13" i="52"/>
  <c r="P13" i="52"/>
  <c r="G13" i="52"/>
  <c r="I13" i="52"/>
  <c r="E21" i="52"/>
  <c r="F21" i="52"/>
  <c r="J21" i="52"/>
  <c r="P21" i="52"/>
  <c r="G21" i="52"/>
  <c r="I21" i="52"/>
  <c r="E39" i="52"/>
  <c r="F39" i="52"/>
  <c r="J39" i="52"/>
  <c r="P39" i="52"/>
  <c r="S39" i="52"/>
  <c r="G39" i="52"/>
  <c r="I39" i="52"/>
  <c r="E7" i="1"/>
  <c r="F7" i="1"/>
  <c r="J7" i="1"/>
  <c r="E33" i="1"/>
  <c r="F33" i="1"/>
  <c r="J33" i="1"/>
  <c r="G33" i="1"/>
  <c r="I33" i="1"/>
  <c r="E50" i="1"/>
  <c r="F50" i="1"/>
  <c r="J50" i="1"/>
  <c r="G50" i="1"/>
  <c r="I50" i="1"/>
  <c r="E14" i="1"/>
  <c r="F14" i="1"/>
  <c r="J14" i="1"/>
  <c r="G14" i="1"/>
  <c r="I14" i="1"/>
  <c r="E34" i="1"/>
  <c r="F34" i="1"/>
  <c r="J34" i="1"/>
  <c r="G34" i="1"/>
  <c r="I34" i="1"/>
  <c r="E9" i="1"/>
  <c r="F9" i="1"/>
  <c r="J9" i="1"/>
  <c r="G9" i="1"/>
  <c r="I9" i="1"/>
  <c r="E39" i="1"/>
  <c r="F39" i="1"/>
  <c r="J39" i="1"/>
  <c r="G39" i="1"/>
  <c r="I39" i="1"/>
  <c r="E36" i="1"/>
  <c r="F36" i="1"/>
  <c r="J36" i="1"/>
  <c r="G36" i="1"/>
  <c r="I36" i="1"/>
  <c r="E20" i="1"/>
  <c r="F20" i="1"/>
  <c r="J20" i="1"/>
  <c r="G20" i="1"/>
  <c r="I20" i="1"/>
  <c r="E28" i="1"/>
  <c r="F28" i="1"/>
  <c r="J28" i="1"/>
  <c r="G28" i="1"/>
  <c r="I28" i="1"/>
  <c r="E10" i="1"/>
  <c r="F10" i="1"/>
  <c r="J10" i="1"/>
  <c r="G10" i="1"/>
  <c r="I10" i="1"/>
  <c r="E44" i="1"/>
  <c r="F44" i="1"/>
  <c r="J44" i="1"/>
  <c r="G44" i="1"/>
  <c r="I44" i="1"/>
  <c r="E16" i="1"/>
  <c r="F16" i="1"/>
  <c r="J16" i="1"/>
  <c r="G16" i="1"/>
  <c r="I16" i="1"/>
  <c r="J37" i="60"/>
  <c r="P37" i="60"/>
  <c r="J14" i="60"/>
  <c r="P14" i="60"/>
  <c r="E53" i="59"/>
  <c r="F53" i="59"/>
  <c r="J53" i="59"/>
  <c r="P53" i="59"/>
  <c r="G19" i="61"/>
  <c r="I19" i="61"/>
  <c r="E19" i="61"/>
  <c r="F19" i="61"/>
  <c r="J19" i="61"/>
  <c r="P19" i="61"/>
  <c r="S19" i="61"/>
  <c r="E24" i="61"/>
  <c r="F24" i="61"/>
  <c r="J24" i="61"/>
  <c r="P24" i="61"/>
  <c r="E54" i="59"/>
  <c r="F54" i="59"/>
  <c r="J54" i="59"/>
  <c r="P54" i="59"/>
  <c r="E55" i="59"/>
  <c r="F55" i="59"/>
  <c r="J55" i="59"/>
  <c r="P55" i="59"/>
  <c r="E38" i="59"/>
  <c r="F38" i="59"/>
  <c r="J38" i="59"/>
  <c r="P38" i="59"/>
  <c r="E49" i="61"/>
  <c r="F49" i="61"/>
  <c r="J49" i="61"/>
  <c r="P49" i="61"/>
  <c r="E31" i="52"/>
  <c r="F31" i="52"/>
  <c r="J31" i="52"/>
  <c r="P31" i="52"/>
  <c r="E30" i="52"/>
  <c r="F30" i="52"/>
  <c r="J30" i="52"/>
  <c r="P30" i="52"/>
  <c r="S30" i="52"/>
  <c r="E27" i="52"/>
  <c r="F27" i="52"/>
  <c r="J27" i="52"/>
  <c r="P27" i="52"/>
  <c r="E32" i="59"/>
  <c r="F32" i="59"/>
  <c r="J32" i="59"/>
  <c r="P32" i="59"/>
  <c r="E50" i="52"/>
  <c r="F50" i="52"/>
  <c r="J50" i="52"/>
  <c r="P50" i="52"/>
  <c r="E25" i="52"/>
  <c r="F25" i="52"/>
  <c r="J25" i="52"/>
  <c r="P25" i="52"/>
  <c r="E24" i="52"/>
  <c r="F24" i="52"/>
  <c r="J24" i="52"/>
  <c r="P24" i="52"/>
  <c r="E55" i="52"/>
  <c r="F55" i="52"/>
  <c r="J55" i="52"/>
  <c r="P55" i="52"/>
  <c r="E36" i="52"/>
  <c r="F36" i="52"/>
  <c r="J36" i="52"/>
  <c r="P36" i="52"/>
  <c r="E16" i="52"/>
  <c r="F16" i="52"/>
  <c r="J16" i="52"/>
  <c r="P16" i="52"/>
  <c r="G50" i="61"/>
  <c r="I50" i="61"/>
  <c r="E50" i="61"/>
  <c r="F50" i="61"/>
  <c r="J50" i="61"/>
  <c r="P50" i="61"/>
  <c r="E56" i="61"/>
  <c r="F56" i="61"/>
  <c r="J56" i="61"/>
  <c r="P56" i="61"/>
  <c r="E54" i="61"/>
  <c r="F54" i="61"/>
  <c r="J54" i="61"/>
  <c r="P54" i="61"/>
  <c r="E25" i="61"/>
  <c r="F25" i="61"/>
  <c r="J25" i="61"/>
  <c r="P25" i="61"/>
  <c r="G38" i="61"/>
  <c r="I38" i="61"/>
  <c r="E38" i="61"/>
  <c r="F38" i="61"/>
  <c r="J38" i="61"/>
  <c r="P38" i="61"/>
  <c r="E23" i="61"/>
  <c r="F23" i="61"/>
  <c r="J23" i="61"/>
  <c r="P23" i="61"/>
  <c r="E53" i="61"/>
  <c r="F53" i="61"/>
  <c r="J53" i="61"/>
  <c r="P53" i="61"/>
  <c r="E30" i="61"/>
  <c r="F30" i="61"/>
  <c r="J30" i="61"/>
  <c r="P30" i="61"/>
  <c r="I19" i="60"/>
  <c r="J19" i="60"/>
  <c r="P19" i="60"/>
  <c r="I32" i="60"/>
  <c r="J32" i="60"/>
  <c r="P32" i="60"/>
  <c r="E19" i="59"/>
  <c r="F19" i="59"/>
  <c r="J19" i="59"/>
  <c r="P19" i="59"/>
  <c r="E22" i="59"/>
  <c r="F22" i="59"/>
  <c r="J22" i="59"/>
  <c r="P22" i="59"/>
  <c r="G48" i="59"/>
  <c r="I48" i="59"/>
  <c r="E48" i="59"/>
  <c r="F48" i="59"/>
  <c r="J48" i="59"/>
  <c r="P48" i="59"/>
  <c r="S48" i="59"/>
  <c r="E18" i="59"/>
  <c r="F18" i="59"/>
  <c r="J18" i="59"/>
  <c r="P18" i="59"/>
  <c r="E41" i="59"/>
  <c r="F41" i="59"/>
  <c r="J41" i="59"/>
  <c r="P41" i="59"/>
  <c r="E28" i="56"/>
  <c r="F28" i="56"/>
  <c r="J28" i="56"/>
  <c r="P28" i="56"/>
  <c r="S28" i="56"/>
  <c r="E35" i="56"/>
  <c r="F35" i="56"/>
  <c r="J35" i="56"/>
  <c r="P35" i="56"/>
  <c r="E31" i="56"/>
  <c r="F31" i="56"/>
  <c r="J31" i="56"/>
  <c r="P31" i="56"/>
  <c r="S31" i="56"/>
  <c r="D10" i="56"/>
  <c r="C10" i="57"/>
  <c r="D10" i="57"/>
  <c r="E25" i="56"/>
  <c r="F25" i="56"/>
  <c r="J25" i="56"/>
  <c r="P25" i="56"/>
  <c r="S25" i="56"/>
  <c r="E45" i="56"/>
  <c r="F45" i="56"/>
  <c r="J45" i="56"/>
  <c r="P45" i="56"/>
  <c r="S45" i="56"/>
  <c r="G17" i="56"/>
  <c r="I17" i="56"/>
  <c r="E17" i="56"/>
  <c r="F17" i="56"/>
  <c r="J17" i="56"/>
  <c r="P17" i="56"/>
  <c r="G54" i="56"/>
  <c r="I54" i="56"/>
  <c r="E54" i="56"/>
  <c r="F54" i="56"/>
  <c r="J54" i="56"/>
  <c r="P54" i="56"/>
  <c r="S54" i="56"/>
  <c r="E56" i="56"/>
  <c r="F56" i="56"/>
  <c r="J56" i="56"/>
  <c r="P56" i="56"/>
  <c r="S56" i="56"/>
  <c r="E21" i="56"/>
  <c r="F21" i="56"/>
  <c r="J21" i="56"/>
  <c r="P21" i="56"/>
  <c r="E32" i="56"/>
  <c r="F32" i="56"/>
  <c r="J32" i="56"/>
  <c r="P32" i="56"/>
  <c r="S32" i="56"/>
  <c r="E12" i="56"/>
  <c r="F12" i="56"/>
  <c r="J12" i="56"/>
  <c r="P12" i="56"/>
  <c r="S12" i="56"/>
  <c r="E52" i="55"/>
  <c r="F52" i="55"/>
  <c r="J52" i="55"/>
  <c r="P52" i="55"/>
  <c r="E30" i="55"/>
  <c r="F30" i="55"/>
  <c r="J30" i="55"/>
  <c r="P30" i="55"/>
  <c r="S30" i="55"/>
  <c r="E14" i="55"/>
  <c r="F14" i="55"/>
  <c r="J14" i="55"/>
  <c r="P14" i="55"/>
  <c r="S14" i="55"/>
  <c r="E35" i="55"/>
  <c r="F35" i="55"/>
  <c r="J35" i="55"/>
  <c r="P35" i="55"/>
  <c r="S35" i="55"/>
  <c r="E48" i="55"/>
  <c r="F48" i="55"/>
  <c r="J48" i="55"/>
  <c r="P48" i="55"/>
  <c r="S48" i="55"/>
  <c r="E17" i="55"/>
  <c r="F17" i="55"/>
  <c r="J17" i="55"/>
  <c r="P17" i="55"/>
  <c r="S17" i="55"/>
  <c r="E32" i="55"/>
  <c r="F32" i="55"/>
  <c r="J32" i="55"/>
  <c r="P32" i="55"/>
  <c r="S32" i="55"/>
  <c r="E26" i="55"/>
  <c r="F26" i="55"/>
  <c r="J26" i="55"/>
  <c r="P26" i="55"/>
  <c r="S26" i="55"/>
  <c r="E47" i="55"/>
  <c r="F47" i="55"/>
  <c r="J47" i="55"/>
  <c r="P47" i="55"/>
  <c r="E50" i="55"/>
  <c r="F50" i="55"/>
  <c r="J50" i="55"/>
  <c r="P50" i="55"/>
  <c r="E18" i="55"/>
  <c r="F18" i="55"/>
  <c r="J18" i="55"/>
  <c r="P18" i="55"/>
  <c r="E42" i="55"/>
  <c r="F42" i="55"/>
  <c r="J42" i="55"/>
  <c r="P42" i="55"/>
  <c r="S42" i="55"/>
  <c r="E34" i="54"/>
  <c r="F34" i="54"/>
  <c r="J34" i="54"/>
  <c r="P34" i="54"/>
  <c r="E11" i="54"/>
  <c r="F11" i="54"/>
  <c r="J11" i="54"/>
  <c r="P11" i="54"/>
  <c r="E12" i="54"/>
  <c r="F12" i="54"/>
  <c r="J12" i="54"/>
  <c r="P12" i="54"/>
  <c r="S12" i="54"/>
  <c r="E46" i="54"/>
  <c r="F46" i="54"/>
  <c r="J46" i="54"/>
  <c r="P46" i="54"/>
  <c r="E50" i="54"/>
  <c r="F50" i="54"/>
  <c r="J50" i="54"/>
  <c r="P50" i="54"/>
  <c r="E22" i="54"/>
  <c r="F22" i="54"/>
  <c r="J22" i="54"/>
  <c r="P22" i="54"/>
  <c r="S22" i="54"/>
  <c r="D8" i="54"/>
  <c r="C8" i="55"/>
  <c r="D8" i="55"/>
  <c r="E42" i="54"/>
  <c r="F42" i="54"/>
  <c r="J42" i="54"/>
  <c r="P42" i="54"/>
  <c r="E43" i="54"/>
  <c r="F43" i="54"/>
  <c r="J43" i="54"/>
  <c r="P43" i="54"/>
  <c r="G33" i="54"/>
  <c r="I33" i="54"/>
  <c r="E33" i="54"/>
  <c r="F33" i="54"/>
  <c r="J33" i="54"/>
  <c r="P33" i="54"/>
  <c r="E47" i="54"/>
  <c r="F47" i="54"/>
  <c r="J47" i="54"/>
  <c r="P47" i="54"/>
  <c r="E51" i="54"/>
  <c r="F51" i="54"/>
  <c r="J51" i="54"/>
  <c r="P51" i="54"/>
  <c r="E45" i="52"/>
  <c r="F45" i="52"/>
  <c r="J45" i="52"/>
  <c r="P45" i="52"/>
  <c r="E46" i="52"/>
  <c r="F46" i="52"/>
  <c r="J46" i="52"/>
  <c r="P46" i="52"/>
  <c r="S46" i="52"/>
  <c r="E51" i="52"/>
  <c r="F51" i="52"/>
  <c r="J51" i="52"/>
  <c r="P51" i="52"/>
  <c r="S51" i="52"/>
  <c r="E26" i="52"/>
  <c r="F26" i="52"/>
  <c r="J26" i="52"/>
  <c r="P26" i="52"/>
  <c r="E38" i="1"/>
  <c r="F38" i="1"/>
  <c r="J38" i="1"/>
  <c r="E41" i="1"/>
  <c r="F41" i="1"/>
  <c r="J41" i="1"/>
  <c r="E52" i="1"/>
  <c r="F52" i="1"/>
  <c r="J52" i="1"/>
  <c r="E48" i="1"/>
  <c r="F48" i="1"/>
  <c r="J48" i="1"/>
  <c r="E55" i="1"/>
  <c r="F55" i="1"/>
  <c r="J55" i="1"/>
  <c r="E15" i="1"/>
  <c r="F15" i="1"/>
  <c r="J15" i="1"/>
  <c r="E56" i="1"/>
  <c r="F56" i="1"/>
  <c r="J56" i="1"/>
  <c r="E19" i="1"/>
  <c r="F19" i="1"/>
  <c r="J19" i="1"/>
  <c r="E37" i="1"/>
  <c r="F37" i="1"/>
  <c r="J37" i="1"/>
  <c r="E40" i="1"/>
  <c r="F40" i="1"/>
  <c r="J40" i="1"/>
  <c r="E31" i="1"/>
  <c r="F31" i="1"/>
  <c r="J31" i="1"/>
  <c r="G11" i="1"/>
  <c r="I11" i="1"/>
  <c r="E11" i="1"/>
  <c r="F11" i="1"/>
  <c r="J11" i="1"/>
  <c r="E25" i="1"/>
  <c r="F25" i="1"/>
  <c r="J25" i="1"/>
  <c r="J25" i="60"/>
  <c r="P25" i="60"/>
  <c r="S25" i="60"/>
  <c r="J15" i="60"/>
  <c r="P15" i="60"/>
  <c r="I31" i="60"/>
  <c r="I36" i="60"/>
  <c r="I29" i="60"/>
  <c r="I54" i="60"/>
  <c r="E10" i="56"/>
  <c r="F10" i="56"/>
  <c r="J10" i="56"/>
  <c r="P10" i="56"/>
  <c r="E8" i="54"/>
  <c r="F8" i="54"/>
  <c r="J8" i="54"/>
  <c r="P8" i="54"/>
  <c r="E5" i="52"/>
  <c r="F5" i="52"/>
  <c r="J5" i="52"/>
  <c r="G25" i="1"/>
  <c r="I25" i="1"/>
  <c r="G31" i="1"/>
  <c r="I31" i="1"/>
  <c r="G37" i="1"/>
  <c r="I37" i="1"/>
  <c r="G56" i="1"/>
  <c r="I56" i="1"/>
  <c r="G55" i="1"/>
  <c r="I55" i="1"/>
  <c r="G52" i="1"/>
  <c r="I52" i="1"/>
  <c r="G38" i="1"/>
  <c r="I38" i="1"/>
  <c r="G51" i="52"/>
  <c r="I51" i="52"/>
  <c r="G45" i="52"/>
  <c r="I45" i="52"/>
  <c r="G47" i="54"/>
  <c r="I47" i="54"/>
  <c r="G43" i="54"/>
  <c r="I43" i="54"/>
  <c r="E8" i="55"/>
  <c r="F8" i="55"/>
  <c r="J8" i="55"/>
  <c r="G8" i="55"/>
  <c r="I8" i="55"/>
  <c r="G50" i="54"/>
  <c r="I50" i="54"/>
  <c r="G12" i="54"/>
  <c r="I12" i="54"/>
  <c r="G34" i="54"/>
  <c r="I34" i="54"/>
  <c r="G18" i="55"/>
  <c r="I18" i="55"/>
  <c r="G47" i="55"/>
  <c r="I47" i="55"/>
  <c r="G32" i="55"/>
  <c r="I32" i="55"/>
  <c r="G48" i="55"/>
  <c r="I48" i="55"/>
  <c r="G14" i="55"/>
  <c r="I14" i="55"/>
  <c r="G52" i="55"/>
  <c r="I52" i="55"/>
  <c r="G32" i="56"/>
  <c r="I32" i="56"/>
  <c r="G56" i="56"/>
  <c r="I56" i="56"/>
  <c r="G25" i="56"/>
  <c r="I25" i="56"/>
  <c r="G31" i="56"/>
  <c r="I31" i="56"/>
  <c r="G28" i="56"/>
  <c r="I28" i="56"/>
  <c r="G18" i="59"/>
  <c r="I18" i="59"/>
  <c r="G22" i="59"/>
  <c r="I22" i="59"/>
  <c r="G30" i="61"/>
  <c r="I30" i="61"/>
  <c r="G23" i="61"/>
  <c r="I23" i="61"/>
  <c r="G25" i="61"/>
  <c r="I25" i="61"/>
  <c r="G56" i="61"/>
  <c r="I56" i="61"/>
  <c r="G16" i="52"/>
  <c r="I16" i="52"/>
  <c r="G55" i="52"/>
  <c r="I55" i="52"/>
  <c r="G25" i="52"/>
  <c r="I25" i="52"/>
  <c r="G32" i="59"/>
  <c r="I32" i="59"/>
  <c r="G30" i="52"/>
  <c r="I30" i="52"/>
  <c r="G49" i="61"/>
  <c r="I49" i="61"/>
  <c r="G55" i="59"/>
  <c r="I55" i="59"/>
  <c r="G24" i="61"/>
  <c r="I24" i="61"/>
  <c r="G53" i="59"/>
  <c r="I53" i="59"/>
  <c r="G49" i="54"/>
  <c r="I49" i="54"/>
  <c r="G52" i="54"/>
  <c r="I52" i="54"/>
  <c r="G28" i="55"/>
  <c r="I28" i="55"/>
  <c r="G27" i="55"/>
  <c r="I27" i="55"/>
  <c r="G13" i="56"/>
  <c r="I13" i="56"/>
  <c r="G42" i="56"/>
  <c r="I42" i="56"/>
  <c r="G29" i="1"/>
  <c r="I29" i="1"/>
  <c r="G24" i="1"/>
  <c r="I24" i="1"/>
  <c r="G42" i="1"/>
  <c r="I42" i="1"/>
  <c r="G30" i="1"/>
  <c r="I30" i="1"/>
  <c r="G51" i="1"/>
  <c r="I51" i="1"/>
  <c r="G54" i="1"/>
  <c r="I54" i="1"/>
  <c r="G43" i="52"/>
  <c r="I43" i="52"/>
  <c r="G44" i="52"/>
  <c r="I44" i="52"/>
  <c r="G20" i="52"/>
  <c r="I20" i="52"/>
  <c r="G23" i="54"/>
  <c r="I23" i="54"/>
  <c r="G41" i="54"/>
  <c r="I41" i="54"/>
  <c r="G31" i="54"/>
  <c r="I31" i="54"/>
  <c r="G19" i="54"/>
  <c r="I19" i="54"/>
  <c r="G26" i="54"/>
  <c r="I26" i="54"/>
  <c r="G19" i="55"/>
  <c r="I19" i="55"/>
  <c r="G12" i="55"/>
  <c r="I12" i="55"/>
  <c r="G36" i="55"/>
  <c r="I36" i="55"/>
  <c r="G45" i="55"/>
  <c r="I45" i="55"/>
  <c r="G37" i="55"/>
  <c r="I37" i="55"/>
  <c r="G53" i="55"/>
  <c r="I53" i="55"/>
  <c r="G14" i="56"/>
  <c r="I14" i="56"/>
  <c r="G29" i="56"/>
  <c r="I29" i="56"/>
  <c r="G40" i="56"/>
  <c r="I40" i="56"/>
  <c r="G52" i="56"/>
  <c r="I52" i="56"/>
  <c r="G51" i="56"/>
  <c r="I51" i="56"/>
  <c r="G23" i="59"/>
  <c r="I23" i="59"/>
  <c r="G34" i="59"/>
  <c r="I34" i="59"/>
  <c r="G52" i="59"/>
  <c r="I52" i="59"/>
  <c r="G48" i="61"/>
  <c r="I48" i="61"/>
  <c r="G27" i="61"/>
  <c r="I27" i="61"/>
  <c r="G26" i="61"/>
  <c r="I26" i="61"/>
  <c r="G19" i="52"/>
  <c r="I19" i="52"/>
  <c r="G35" i="52"/>
  <c r="I35" i="52"/>
  <c r="G38" i="52"/>
  <c r="I38" i="52"/>
  <c r="G25" i="59"/>
  <c r="I25" i="59"/>
  <c r="G49" i="52"/>
  <c r="I49" i="52"/>
  <c r="G45" i="59"/>
  <c r="I45" i="59"/>
  <c r="G49" i="59"/>
  <c r="I49" i="59"/>
  <c r="G12" i="1"/>
  <c r="I12" i="1"/>
  <c r="G6" i="1"/>
  <c r="I6" i="1"/>
  <c r="G13" i="1"/>
  <c r="I13" i="1"/>
  <c r="G32" i="1"/>
  <c r="I32" i="1"/>
  <c r="G45" i="1"/>
  <c r="I45" i="1"/>
  <c r="G18" i="1"/>
  <c r="I18" i="1"/>
  <c r="G35" i="1"/>
  <c r="I35" i="1"/>
  <c r="G23" i="52"/>
  <c r="I23" i="52"/>
  <c r="G47" i="52"/>
  <c r="I47" i="52"/>
  <c r="G28" i="54"/>
  <c r="I28" i="54"/>
  <c r="G29" i="54"/>
  <c r="I29" i="54"/>
  <c r="G38" i="54"/>
  <c r="I38" i="54"/>
  <c r="G32" i="54"/>
  <c r="I32" i="54"/>
  <c r="G40" i="54"/>
  <c r="I40" i="54"/>
  <c r="G15" i="54"/>
  <c r="I15" i="54"/>
  <c r="G44" i="55"/>
  <c r="I44" i="55"/>
  <c r="G39" i="55"/>
  <c r="I39" i="55"/>
  <c r="G16" i="55"/>
  <c r="I16" i="55"/>
  <c r="G10" i="55"/>
  <c r="I10" i="55"/>
  <c r="G43" i="55"/>
  <c r="I43" i="55"/>
  <c r="G11" i="55"/>
  <c r="I11" i="55"/>
  <c r="G47" i="56"/>
  <c r="I47" i="56"/>
  <c r="G42" i="59"/>
  <c r="I42" i="59"/>
  <c r="G20" i="59"/>
  <c r="I20" i="59"/>
  <c r="G14" i="59"/>
  <c r="I14" i="59"/>
  <c r="G45" i="61"/>
  <c r="I45" i="61"/>
  <c r="G17" i="61"/>
  <c r="I17" i="61"/>
  <c r="G33" i="61"/>
  <c r="I33" i="61"/>
  <c r="G28" i="52"/>
  <c r="I28" i="52"/>
  <c r="G37" i="52"/>
  <c r="I37" i="52"/>
  <c r="G12" i="52"/>
  <c r="I12" i="52"/>
  <c r="G54" i="52"/>
  <c r="I54" i="52"/>
  <c r="G18" i="61"/>
  <c r="I18" i="61"/>
  <c r="G43" i="61"/>
  <c r="I43" i="61"/>
  <c r="G46" i="61"/>
  <c r="I46" i="61"/>
  <c r="E9" i="55"/>
  <c r="F9" i="55"/>
  <c r="J9" i="55"/>
  <c r="P9" i="55"/>
  <c r="S9" i="55"/>
  <c r="G9" i="55"/>
  <c r="J14" i="61"/>
  <c r="I14" i="61"/>
  <c r="G40" i="1"/>
  <c r="I40" i="1"/>
  <c r="G19" i="1"/>
  <c r="I19" i="1"/>
  <c r="G15" i="1"/>
  <c r="I15" i="1"/>
  <c r="G48" i="1"/>
  <c r="I48" i="1"/>
  <c r="G41" i="1"/>
  <c r="I41" i="1"/>
  <c r="G26" i="52"/>
  <c r="I26" i="52"/>
  <c r="G46" i="52"/>
  <c r="I46" i="52"/>
  <c r="G51" i="54"/>
  <c r="I51" i="54"/>
  <c r="G42" i="54"/>
  <c r="I42" i="54"/>
  <c r="G22" i="54"/>
  <c r="I22" i="54"/>
  <c r="G46" i="54"/>
  <c r="I46" i="54"/>
  <c r="G11" i="54"/>
  <c r="I11" i="54"/>
  <c r="G42" i="55"/>
  <c r="I42" i="55"/>
  <c r="G50" i="55"/>
  <c r="I50" i="55"/>
  <c r="G26" i="55"/>
  <c r="I26" i="55"/>
  <c r="G17" i="55"/>
  <c r="I17" i="55"/>
  <c r="G35" i="55"/>
  <c r="I35" i="55"/>
  <c r="G30" i="55"/>
  <c r="I30" i="55"/>
  <c r="G12" i="56"/>
  <c r="I12" i="56"/>
  <c r="G21" i="56"/>
  <c r="I21" i="56"/>
  <c r="G45" i="56"/>
  <c r="I45" i="56"/>
  <c r="E10" i="57"/>
  <c r="F10" i="57"/>
  <c r="J10" i="57"/>
  <c r="G35" i="56"/>
  <c r="I35" i="56"/>
  <c r="G41" i="59"/>
  <c r="I41" i="59"/>
  <c r="G19" i="59"/>
  <c r="I19" i="59"/>
  <c r="G53" i="61"/>
  <c r="I53" i="61"/>
  <c r="G54" i="61"/>
  <c r="I54" i="61"/>
  <c r="G36" i="52"/>
  <c r="I36" i="52"/>
  <c r="G24" i="52"/>
  <c r="I24" i="52"/>
  <c r="G50" i="52"/>
  <c r="I50" i="52"/>
  <c r="G27" i="52"/>
  <c r="I27" i="52"/>
  <c r="G31" i="52"/>
  <c r="I31" i="52"/>
  <c r="G38" i="59"/>
  <c r="I38" i="59"/>
  <c r="G54" i="59"/>
  <c r="I54" i="59"/>
  <c r="G7" i="1"/>
  <c r="I7" i="1"/>
  <c r="E9" i="56"/>
  <c r="F9" i="56"/>
  <c r="J9" i="56"/>
  <c r="G9" i="56"/>
  <c r="I9" i="56"/>
  <c r="G39" i="56"/>
  <c r="I39" i="56"/>
  <c r="G11" i="56"/>
  <c r="I11" i="56"/>
  <c r="G41" i="56"/>
  <c r="I41" i="56"/>
  <c r="G48" i="56"/>
  <c r="I48" i="56"/>
  <c r="G52" i="61"/>
  <c r="I52" i="61"/>
  <c r="G35" i="61"/>
  <c r="I35" i="61"/>
  <c r="G8" i="1"/>
  <c r="I8" i="1"/>
  <c r="G27" i="1"/>
  <c r="I27" i="1"/>
  <c r="E5" i="1"/>
  <c r="F5" i="1"/>
  <c r="J5" i="1"/>
  <c r="G53" i="1"/>
  <c r="I53" i="1"/>
  <c r="G21" i="1"/>
  <c r="I21" i="1"/>
  <c r="G43" i="1"/>
  <c r="I43" i="1"/>
  <c r="G26" i="1"/>
  <c r="I26" i="1"/>
  <c r="G17" i="52"/>
  <c r="I17" i="52"/>
  <c r="G41" i="52"/>
  <c r="I41" i="52"/>
  <c r="G48" i="54"/>
  <c r="I48" i="54"/>
  <c r="G54" i="54"/>
  <c r="I54" i="54"/>
  <c r="G17" i="54"/>
  <c r="I17" i="54"/>
  <c r="G24" i="54"/>
  <c r="I24" i="54"/>
  <c r="G14" i="54"/>
  <c r="I14" i="54"/>
  <c r="G45" i="54"/>
  <c r="I45" i="54"/>
  <c r="G15" i="55"/>
  <c r="I15" i="55"/>
  <c r="G51" i="55"/>
  <c r="I51" i="55"/>
  <c r="G23" i="55"/>
  <c r="I23" i="55"/>
  <c r="G55" i="55"/>
  <c r="I55" i="55"/>
  <c r="G34" i="55"/>
  <c r="I34" i="55"/>
  <c r="G29" i="55"/>
  <c r="I29" i="55"/>
  <c r="G49" i="56"/>
  <c r="I49" i="56"/>
  <c r="G36" i="56"/>
  <c r="I36" i="56"/>
  <c r="G20" i="56"/>
  <c r="I20" i="56"/>
  <c r="G50" i="56"/>
  <c r="I50" i="56"/>
  <c r="G29" i="59"/>
  <c r="I29" i="59"/>
  <c r="G42" i="61"/>
  <c r="I42" i="61"/>
  <c r="G21" i="61"/>
  <c r="I21" i="61"/>
  <c r="G37" i="61"/>
  <c r="I37" i="61"/>
  <c r="G15" i="61"/>
  <c r="I15" i="61"/>
  <c r="G32" i="52"/>
  <c r="I32" i="52"/>
  <c r="G28" i="61"/>
  <c r="I28" i="61"/>
  <c r="G15" i="52"/>
  <c r="I15" i="52"/>
  <c r="G53" i="52"/>
  <c r="I53" i="52"/>
  <c r="G40" i="61"/>
  <c r="I40" i="61"/>
  <c r="G47" i="61"/>
  <c r="I47" i="61"/>
  <c r="G46" i="59"/>
  <c r="I46" i="59"/>
  <c r="G47" i="1"/>
  <c r="I47" i="1"/>
  <c r="G22" i="1"/>
  <c r="I22" i="1"/>
  <c r="G23" i="1"/>
  <c r="I23" i="1"/>
  <c r="G46" i="1"/>
  <c r="I46" i="1"/>
  <c r="G49" i="1"/>
  <c r="I49" i="1"/>
  <c r="G17" i="1"/>
  <c r="I17" i="1"/>
  <c r="G48" i="52"/>
  <c r="I48" i="52"/>
  <c r="G18" i="52"/>
  <c r="I18" i="52"/>
  <c r="G37" i="54"/>
  <c r="I37" i="54"/>
  <c r="G16" i="54"/>
  <c r="I16" i="54"/>
  <c r="G13" i="54"/>
  <c r="I13" i="54"/>
  <c r="G36" i="54"/>
  <c r="I36" i="54"/>
  <c r="G18" i="54"/>
  <c r="I18" i="54"/>
  <c r="G55" i="54"/>
  <c r="I55" i="54"/>
  <c r="G20" i="55"/>
  <c r="I20" i="55"/>
  <c r="G49" i="55"/>
  <c r="I49" i="55"/>
  <c r="G25" i="55"/>
  <c r="I25" i="55"/>
  <c r="G13" i="55"/>
  <c r="I13" i="55"/>
  <c r="G54" i="55"/>
  <c r="I54" i="55"/>
  <c r="G23" i="56"/>
  <c r="I23" i="56"/>
  <c r="G46" i="56"/>
  <c r="I46" i="56"/>
  <c r="G55" i="56"/>
  <c r="I55" i="56"/>
  <c r="G21" i="59"/>
  <c r="I21" i="59"/>
  <c r="G24" i="59"/>
  <c r="I24" i="59"/>
  <c r="G51" i="61"/>
  <c r="I51" i="61"/>
  <c r="G29" i="61"/>
  <c r="I29" i="61"/>
  <c r="G32" i="61"/>
  <c r="I32" i="61"/>
  <c r="G31" i="61"/>
  <c r="I31" i="61"/>
  <c r="G10" i="52"/>
  <c r="I10" i="52"/>
  <c r="G9" i="52"/>
  <c r="I9" i="52"/>
  <c r="G36" i="61"/>
  <c r="I36" i="61"/>
  <c r="G11" i="52"/>
  <c r="I11" i="52"/>
  <c r="G40" i="52"/>
  <c r="I40" i="52"/>
  <c r="G34" i="52"/>
  <c r="I34" i="52"/>
  <c r="G43" i="59"/>
  <c r="I43" i="59"/>
  <c r="G8" i="54"/>
  <c r="G5" i="1"/>
  <c r="G10" i="57"/>
  <c r="I10" i="57"/>
  <c r="G5" i="52"/>
  <c r="I5" i="52"/>
  <c r="G10" i="56"/>
  <c r="Q9" i="56"/>
  <c r="S9" i="56"/>
  <c r="I9" i="55"/>
  <c r="I5" i="1"/>
  <c r="Q5" i="52"/>
  <c r="S5" i="52"/>
  <c r="I10" i="56"/>
  <c r="Q10" i="57"/>
  <c r="S10" i="57"/>
  <c r="Q8" i="55"/>
  <c r="S8" i="55"/>
  <c r="I8" i="54"/>
  <c r="S39" i="55"/>
  <c r="S36" i="59"/>
  <c r="S44" i="55"/>
  <c r="N53" i="60"/>
  <c r="P53" i="60"/>
  <c r="N53" i="61"/>
  <c r="S16" i="59"/>
  <c r="N46" i="60"/>
  <c r="P46" i="60"/>
  <c r="N46" i="61"/>
  <c r="N42" i="60"/>
  <c r="S42" i="60"/>
  <c r="P42" i="60"/>
  <c r="N42" i="61"/>
  <c r="N52" i="60"/>
  <c r="S52" i="60"/>
  <c r="N52" i="61"/>
  <c r="N26" i="60"/>
  <c r="P26" i="60"/>
  <c r="O11" i="56"/>
  <c r="S11" i="56" s="1"/>
  <c r="O11" i="55"/>
  <c r="O13" i="56"/>
  <c r="S13" i="56"/>
  <c r="O13" i="55"/>
  <c r="S13" i="55" s="1"/>
  <c r="O47" i="56"/>
  <c r="S47" i="56" s="1"/>
  <c r="O47" i="55"/>
  <c r="S47" i="55"/>
  <c r="O61" i="56"/>
  <c r="S61" i="56" s="1"/>
  <c r="O61" i="55"/>
  <c r="S61" i="55"/>
  <c r="O37" i="56"/>
  <c r="S37" i="56"/>
  <c r="O37" i="55"/>
  <c r="S37" i="55"/>
  <c r="O43" i="55"/>
  <c r="O43" i="54"/>
  <c r="S43" i="54" s="1"/>
  <c r="O22" i="56"/>
  <c r="S22" i="56" s="1"/>
  <c r="O22" i="55"/>
  <c r="N17" i="59"/>
  <c r="P17" i="59"/>
  <c r="N21" i="61"/>
  <c r="P21" i="61"/>
  <c r="N16" i="60"/>
  <c r="S16" i="60"/>
  <c r="N16" i="61"/>
  <c r="N50" i="59"/>
  <c r="P50" i="59"/>
  <c r="S11" i="52"/>
  <c r="S24" i="57"/>
  <c r="O33" i="56"/>
  <c r="S33" i="56" s="1"/>
  <c r="O33" i="55"/>
  <c r="O40" i="55"/>
  <c r="O40" i="56"/>
  <c r="S40" i="56" s="1"/>
  <c r="O23" i="55"/>
  <c r="S23" i="55" s="1"/>
  <c r="O23" i="56"/>
  <c r="S23" i="56" s="1"/>
  <c r="N46" i="57"/>
  <c r="S46" i="57"/>
  <c r="N46" i="56"/>
  <c r="S46" i="56"/>
  <c r="N45" i="60"/>
  <c r="P45" i="60"/>
  <c r="N43" i="59"/>
  <c r="P43" i="59"/>
  <c r="N43" i="60"/>
  <c r="S43" i="55"/>
  <c r="N11" i="54"/>
  <c r="S11" i="54"/>
  <c r="N11" i="55"/>
  <c r="S11" i="55"/>
  <c r="N40" i="55"/>
  <c r="S40" i="55"/>
  <c r="N40" i="54"/>
  <c r="P40" i="54"/>
  <c r="N35" i="58"/>
  <c r="P35" i="58"/>
  <c r="O54" i="55"/>
  <c r="S54" i="55" s="1"/>
  <c r="S25" i="59"/>
  <c r="P55" i="56"/>
  <c r="N55" i="56"/>
  <c r="N55" i="57"/>
  <c r="O19" i="56"/>
  <c r="S19" i="56" s="1"/>
  <c r="O19" i="55"/>
  <c r="S19" i="55" s="1"/>
  <c r="O15" i="55"/>
  <c r="S15" i="55" s="1"/>
  <c r="O15" i="56"/>
  <c r="S15" i="56" s="1"/>
  <c r="O21" i="55"/>
  <c r="S21" i="55" s="1"/>
  <c r="O53" i="55"/>
  <c r="S53" i="55" s="1"/>
  <c r="N54" i="60"/>
  <c r="P54" i="60"/>
  <c r="N54" i="61"/>
  <c r="S54" i="61"/>
  <c r="N17" i="60"/>
  <c r="N39" i="60"/>
  <c r="P39" i="60"/>
  <c r="N39" i="61"/>
  <c r="N50" i="60"/>
  <c r="S50" i="60"/>
  <c r="P50" i="60"/>
  <c r="N50" i="61"/>
  <c r="N29" i="60"/>
  <c r="P29" i="60"/>
  <c r="N29" i="61"/>
  <c r="N55" i="60"/>
  <c r="S34" i="52"/>
  <c r="N52" i="54"/>
  <c r="N52" i="53"/>
  <c r="P38" i="57"/>
  <c r="N38" i="58"/>
  <c r="S38" i="58"/>
  <c r="N38" i="57"/>
  <c r="S38" i="57"/>
  <c r="N14" i="57"/>
  <c r="S14" i="57"/>
  <c r="N41" i="59"/>
  <c r="N35" i="59"/>
  <c r="P15" i="58"/>
  <c r="S15" i="58"/>
  <c r="N39" i="56"/>
  <c r="S39" i="56"/>
  <c r="N39" i="57"/>
  <c r="S39" i="57"/>
  <c r="N46" i="53"/>
  <c r="P46" i="53"/>
  <c r="P36" i="53"/>
  <c r="N36" i="54"/>
  <c r="S36" i="54"/>
  <c r="N36" i="53"/>
  <c r="N37" i="52"/>
  <c r="N37" i="53"/>
  <c r="N22" i="53"/>
  <c r="S22" i="53"/>
  <c r="N22" i="52"/>
  <c r="N34" i="57"/>
  <c r="P34" i="57"/>
  <c r="N34" i="58"/>
  <c r="N22" i="57"/>
  <c r="S22" i="57"/>
  <c r="N22" i="58"/>
  <c r="S22" i="58"/>
  <c r="N41" i="56"/>
  <c r="N40" i="59"/>
  <c r="P49" i="53"/>
  <c r="N48" i="56"/>
  <c r="S48" i="56"/>
  <c r="N48" i="57"/>
  <c r="S48" i="57"/>
  <c r="N41" i="58"/>
  <c r="P41" i="58"/>
  <c r="N42" i="57"/>
  <c r="P42" i="57"/>
  <c r="P32" i="53"/>
  <c r="N32" i="54"/>
  <c r="S32" i="54"/>
  <c r="N32" i="53"/>
  <c r="N7" i="53"/>
  <c r="L7" i="54"/>
  <c r="N7" i="54"/>
  <c r="S7" i="54"/>
  <c r="P7" i="53"/>
  <c r="N51" i="53"/>
  <c r="N51" i="54"/>
  <c r="N44" i="53"/>
  <c r="P44" i="53"/>
  <c r="N21" i="53"/>
  <c r="N21" i="52"/>
  <c r="N23" i="52"/>
  <c r="S23" i="52"/>
  <c r="N23" i="53"/>
  <c r="N18" i="53"/>
  <c r="N18" i="52"/>
  <c r="N20" i="56"/>
  <c r="N20" i="55"/>
  <c r="S20" i="55"/>
  <c r="N34" i="56"/>
  <c r="N34" i="55"/>
  <c r="S34" i="55"/>
  <c r="P37" i="57"/>
  <c r="N37" i="57"/>
  <c r="S37" i="57"/>
  <c r="N37" i="58"/>
  <c r="P44" i="58"/>
  <c r="N44" i="58"/>
  <c r="N44" i="59"/>
  <c r="S49" i="57"/>
  <c r="P52" i="53"/>
  <c r="N33" i="55"/>
  <c r="S33" i="55"/>
  <c r="N33" i="54"/>
  <c r="S33" i="54"/>
  <c r="N49" i="54"/>
  <c r="N32" i="57"/>
  <c r="S32" i="57"/>
  <c r="N32" i="58"/>
  <c r="S32" i="58"/>
  <c r="P30" i="53"/>
  <c r="N30" i="54"/>
  <c r="N28" i="53"/>
  <c r="N28" i="54"/>
  <c r="P28" i="53"/>
  <c r="P33" i="53"/>
  <c r="N33" i="53"/>
  <c r="S33" i="53"/>
  <c r="N55" i="52"/>
  <c r="S55" i="52"/>
  <c r="N53" i="53"/>
  <c r="S53" i="53"/>
  <c r="N53" i="52"/>
  <c r="S53" i="52"/>
  <c r="N22" i="55"/>
  <c r="S22" i="55"/>
  <c r="O56" i="52"/>
  <c r="S56" i="52" s="1"/>
  <c r="O46" i="59"/>
  <c r="S46" i="59" s="1"/>
  <c r="O46" i="58"/>
  <c r="S46" i="58" s="1"/>
  <c r="O64" i="57"/>
  <c r="S64" i="57" s="1"/>
  <c r="M68" i="61"/>
  <c r="O68" i="61" s="1"/>
  <c r="S68" i="61" s="1"/>
  <c r="M66" i="61"/>
  <c r="O66" i="61" s="1"/>
  <c r="S66" i="61" s="1"/>
  <c r="M26" i="61"/>
  <c r="O26" i="61" s="1"/>
  <c r="S26" i="61" s="1"/>
  <c r="M20" i="61"/>
  <c r="O20" i="61" s="1"/>
  <c r="S20" i="61" s="1"/>
  <c r="N30" i="56"/>
  <c r="S30" i="56"/>
  <c r="O21" i="52"/>
  <c r="S21" i="52" s="1"/>
  <c r="O52" i="53"/>
  <c r="O52" i="52"/>
  <c r="S52" i="52" s="1"/>
  <c r="S66" i="59"/>
  <c r="S63" i="59"/>
  <c r="S58" i="59"/>
  <c r="M40" i="61"/>
  <c r="O40" i="61" s="1"/>
  <c r="S40" i="61" s="1"/>
  <c r="M29" i="61"/>
  <c r="O29" i="61" s="1"/>
  <c r="S29" i="61" s="1"/>
  <c r="M16" i="61"/>
  <c r="O16" i="61" s="1"/>
  <c r="S16" i="61" s="1"/>
  <c r="M42" i="61"/>
  <c r="O42" i="61" s="1"/>
  <c r="S42" i="61" s="1"/>
  <c r="M62" i="61"/>
  <c r="O62" i="61" s="1"/>
  <c r="S62" i="61" s="1"/>
  <c r="M14" i="61"/>
  <c r="M22" i="61"/>
  <c r="O22" i="61" s="1"/>
  <c r="S22" i="61" s="1"/>
  <c r="M30" i="61"/>
  <c r="O30" i="61" s="1"/>
  <c r="S30" i="61"/>
  <c r="M45" i="61"/>
  <c r="O45" i="61" s="1"/>
  <c r="S45" i="61" s="1"/>
  <c r="M63" i="61"/>
  <c r="O63" i="61"/>
  <c r="S63" i="61" s="1"/>
  <c r="M50" i="61"/>
  <c r="O50" i="61" s="1"/>
  <c r="S50" i="61" s="1"/>
  <c r="M24" i="61"/>
  <c r="O24" i="61" s="1"/>
  <c r="S24" i="61" s="1"/>
  <c r="M36" i="61"/>
  <c r="O36" i="61"/>
  <c r="S36" i="61" s="1"/>
  <c r="M51" i="61"/>
  <c r="O51" i="61" s="1"/>
  <c r="S51" i="61" s="1"/>
  <c r="M17" i="61"/>
  <c r="O17" i="61" s="1"/>
  <c r="S17" i="61" s="1"/>
  <c r="M21" i="61"/>
  <c r="O21" i="61" s="1"/>
  <c r="M35" i="61"/>
  <c r="O35" i="61" s="1"/>
  <c r="S35" i="61" s="1"/>
  <c r="M18" i="61"/>
  <c r="O18" i="61" s="1"/>
  <c r="S18" i="61" s="1"/>
  <c r="M65" i="61"/>
  <c r="O65" i="61" s="1"/>
  <c r="S65" i="61" s="1"/>
  <c r="M43" i="61"/>
  <c r="O43" i="61"/>
  <c r="S43" i="61" s="1"/>
  <c r="M33" i="61"/>
  <c r="O33" i="61" s="1"/>
  <c r="S33" i="61" s="1"/>
  <c r="M57" i="61"/>
  <c r="O57" i="61" s="1"/>
  <c r="S57" i="61" s="1"/>
  <c r="M27" i="61"/>
  <c r="O27" i="61" s="1"/>
  <c r="S27" i="61" s="1"/>
  <c r="M34" i="61"/>
  <c r="O34" i="61" s="1"/>
  <c r="S34" i="61" s="1"/>
  <c r="M31" i="61"/>
  <c r="O31" i="61" s="1"/>
  <c r="S31" i="61" s="1"/>
  <c r="M59" i="61"/>
  <c r="O59" i="61" s="1"/>
  <c r="S59" i="61" s="1"/>
  <c r="M52" i="61"/>
  <c r="O52" i="61" s="1"/>
  <c r="M44" i="61"/>
  <c r="O44" i="61" s="1"/>
  <c r="S44" i="61" s="1"/>
  <c r="M49" i="61"/>
  <c r="O49" i="61" s="1"/>
  <c r="S49" i="61" s="1"/>
  <c r="M23" i="61"/>
  <c r="O23" i="61" s="1"/>
  <c r="S23" i="61" s="1"/>
  <c r="M48" i="61"/>
  <c r="O48" i="61" s="1"/>
  <c r="S48" i="61" s="1"/>
  <c r="M53" i="61"/>
  <c r="O53" i="61" s="1"/>
  <c r="M67" i="61"/>
  <c r="O67" i="61" s="1"/>
  <c r="S67" i="61" s="1"/>
  <c r="M61" i="61"/>
  <c r="O61" i="61" s="1"/>
  <c r="S61" i="61" s="1"/>
  <c r="M60" i="61"/>
  <c r="O60" i="61" s="1"/>
  <c r="S60" i="61" s="1"/>
  <c r="M39" i="61"/>
  <c r="O39" i="61" s="1"/>
  <c r="S39" i="61" s="1"/>
  <c r="M46" i="61"/>
  <c r="O46" i="61" s="1"/>
  <c r="S46" i="61" s="1"/>
  <c r="M38" i="61"/>
  <c r="O38" i="61" s="1"/>
  <c r="S38" i="61" s="1"/>
  <c r="O59" i="52"/>
  <c r="S59" i="52" s="1"/>
  <c r="O56" i="55"/>
  <c r="S56" i="55" s="1"/>
  <c r="O7" i="53"/>
  <c r="O25" i="53"/>
  <c r="S25" i="53"/>
  <c r="L31" i="1"/>
  <c r="N31" i="52"/>
  <c r="S31" i="52"/>
  <c r="O40" i="54"/>
  <c r="S40" i="54" s="1"/>
  <c r="N29" i="59"/>
  <c r="O37" i="53"/>
  <c r="O57" i="52"/>
  <c r="S57" i="52"/>
  <c r="O58" i="60"/>
  <c r="S58" i="60"/>
  <c r="S67" i="53"/>
  <c r="S61" i="53"/>
  <c r="M52" i="55"/>
  <c r="M63" i="55"/>
  <c r="M68" i="55"/>
  <c r="M8" i="55"/>
  <c r="M50" i="55"/>
  <c r="O32" i="53"/>
  <c r="O41" i="53"/>
  <c r="S41" i="53"/>
  <c r="O16" i="53"/>
  <c r="S16" i="53"/>
  <c r="O24" i="60"/>
  <c r="S24" i="60" s="1"/>
  <c r="O24" i="59"/>
  <c r="S24" i="59" s="1"/>
  <c r="O22" i="60"/>
  <c r="S22" i="60" s="1"/>
  <c r="M46" i="53"/>
  <c r="M50" i="53"/>
  <c r="O50" i="53" s="1"/>
  <c r="S50" i="53" s="1"/>
  <c r="O50" i="54"/>
  <c r="S50" i="54" s="1"/>
  <c r="M64" i="53"/>
  <c r="M34" i="53"/>
  <c r="M29" i="53"/>
  <c r="M8" i="53"/>
  <c r="O8" i="53" s="1"/>
  <c r="S8" i="53" s="1"/>
  <c r="M9" i="53"/>
  <c r="O9" i="54" s="1"/>
  <c r="S9" i="54" s="1"/>
  <c r="M56" i="53"/>
  <c r="O56" i="53" s="1"/>
  <c r="S56" i="53" s="1"/>
  <c r="M51" i="53"/>
  <c r="M10" i="53"/>
  <c r="M23" i="53"/>
  <c r="M49" i="53"/>
  <c r="M30" i="53"/>
  <c r="O30" i="54" s="1"/>
  <c r="S30" i="54" s="1"/>
  <c r="M45" i="53"/>
  <c r="O45" i="53" s="1"/>
  <c r="S45" i="53" s="1"/>
  <c r="M24" i="53"/>
  <c r="M12" i="59"/>
  <c r="M32" i="59"/>
  <c r="S63" i="60"/>
  <c r="M16" i="56"/>
  <c r="O16" i="57" s="1"/>
  <c r="S16" i="57" s="1"/>
  <c r="M29" i="59"/>
  <c r="M28" i="54"/>
  <c r="O28" i="55" s="1"/>
  <c r="S28" i="55" s="1"/>
  <c r="M37" i="59"/>
  <c r="M28" i="59"/>
  <c r="O28" i="60" s="1"/>
  <c r="S28" i="60" s="1"/>
  <c r="M57" i="59"/>
  <c r="M41" i="59"/>
  <c r="O41" i="60" s="1"/>
  <c r="S41" i="60" s="1"/>
  <c r="M45" i="59"/>
  <c r="O45" i="60" s="1"/>
  <c r="S45" i="60" s="1"/>
  <c r="M49" i="59"/>
  <c r="M53" i="59"/>
  <c r="M59" i="59"/>
  <c r="M26" i="59"/>
  <c r="O26" i="60" s="1"/>
  <c r="S26" i="60" s="1"/>
  <c r="M19" i="53"/>
  <c r="O19" i="54" s="1"/>
  <c r="S19" i="54" s="1"/>
  <c r="M15" i="53"/>
  <c r="M54" i="53"/>
  <c r="M65" i="53"/>
  <c r="O65" i="54" s="1"/>
  <c r="S65" i="54" s="1"/>
  <c r="M28" i="53"/>
  <c r="M44" i="53"/>
  <c r="M62" i="53"/>
  <c r="M48" i="53"/>
  <c r="O48" i="53" s="1"/>
  <c r="S48" i="53" s="1"/>
  <c r="M17" i="53"/>
  <c r="M21" i="53"/>
  <c r="O21" i="53" s="1"/>
  <c r="S21" i="53" s="1"/>
  <c r="M39" i="53"/>
  <c r="M27" i="53"/>
  <c r="M31" i="53"/>
  <c r="M42" i="53"/>
  <c r="M38" i="53"/>
  <c r="O38" i="54" s="1"/>
  <c r="S38" i="54" s="1"/>
  <c r="M31" i="59"/>
  <c r="M38" i="59"/>
  <c r="O38" i="59" s="1"/>
  <c r="S38" i="59" s="1"/>
  <c r="M19" i="59"/>
  <c r="M15" i="59"/>
  <c r="M10" i="56"/>
  <c r="O10" i="56"/>
  <c r="S10" i="56" s="1"/>
  <c r="M23" i="59"/>
  <c r="O23" i="59" s="1"/>
  <c r="S23" i="59" s="1"/>
  <c r="M64" i="59"/>
  <c r="M35" i="59"/>
  <c r="M65" i="59"/>
  <c r="O65" i="60" s="1"/>
  <c r="S65" i="60" s="1"/>
  <c r="M39" i="59"/>
  <c r="O39" i="60" s="1"/>
  <c r="S39" i="60" s="1"/>
  <c r="M43" i="59"/>
  <c r="M47" i="59"/>
  <c r="O47" i="59" s="1"/>
  <c r="S47" i="59" s="1"/>
  <c r="M51" i="59"/>
  <c r="M55" i="59"/>
  <c r="O55" i="60" s="1"/>
  <c r="S55" i="60" s="1"/>
  <c r="M67" i="59"/>
  <c r="O67" i="60" s="1"/>
  <c r="S67" i="60" s="1"/>
  <c r="M62" i="59"/>
  <c r="M14" i="59"/>
  <c r="O14" i="59" s="1"/>
  <c r="S14" i="59" s="1"/>
  <c r="O30" i="53"/>
  <c r="S30" i="53" s="1"/>
  <c r="O29" i="54"/>
  <c r="S29" i="54" s="1"/>
  <c r="O29" i="53"/>
  <c r="S29" i="53" s="1"/>
  <c r="O46" i="54"/>
  <c r="S46" i="54" s="1"/>
  <c r="O46" i="53"/>
  <c r="S46" i="53" s="1"/>
  <c r="O31" i="53"/>
  <c r="S31" i="53" s="1"/>
  <c r="O31" i="54"/>
  <c r="S31" i="54" s="1"/>
  <c r="O17" i="53"/>
  <c r="S17" i="53" s="1"/>
  <c r="O17" i="54"/>
  <c r="S17" i="54" s="1"/>
  <c r="O28" i="53"/>
  <c r="O28" i="54"/>
  <c r="O49" i="60"/>
  <c r="S49" i="60" s="1"/>
  <c r="O49" i="59"/>
  <c r="S49" i="59" s="1"/>
  <c r="O24" i="53"/>
  <c r="S24" i="53" s="1"/>
  <c r="O24" i="54"/>
  <c r="S24" i="54" s="1"/>
  <c r="O23" i="53"/>
  <c r="O23" i="54"/>
  <c r="S23" i="54"/>
  <c r="O9" i="53"/>
  <c r="S9" i="53" s="1"/>
  <c r="O64" i="53"/>
  <c r="S64" i="53" s="1"/>
  <c r="O64" i="54"/>
  <c r="S64" i="54"/>
  <c r="O63" i="56"/>
  <c r="S63" i="56" s="1"/>
  <c r="O63" i="55"/>
  <c r="S63" i="55" s="1"/>
  <c r="O41" i="59"/>
  <c r="S41" i="59" s="1"/>
  <c r="S7" i="53"/>
  <c r="S36" i="53"/>
  <c r="O51" i="59"/>
  <c r="S51" i="59" s="1"/>
  <c r="O51" i="60"/>
  <c r="S51" i="60"/>
  <c r="O31" i="60"/>
  <c r="S31" i="60" s="1"/>
  <c r="O31" i="59"/>
  <c r="S31" i="59" s="1"/>
  <c r="O27" i="53"/>
  <c r="S27" i="53" s="1"/>
  <c r="O27" i="54"/>
  <c r="S27" i="54" s="1"/>
  <c r="O48" i="54"/>
  <c r="S48" i="54" s="1"/>
  <c r="O65" i="53"/>
  <c r="S65" i="53" s="1"/>
  <c r="O26" i="59"/>
  <c r="S26" i="59" s="1"/>
  <c r="O45" i="59"/>
  <c r="S45" i="59" s="1"/>
  <c r="O37" i="59"/>
  <c r="S37" i="59" s="1"/>
  <c r="O37" i="60"/>
  <c r="S37" i="60" s="1"/>
  <c r="O10" i="53"/>
  <c r="S10" i="53" s="1"/>
  <c r="O10" i="54"/>
  <c r="S10" i="54" s="1"/>
  <c r="O50" i="56"/>
  <c r="S50" i="56" s="1"/>
  <c r="O50" i="55"/>
  <c r="S50" i="55" s="1"/>
  <c r="O52" i="56"/>
  <c r="S52" i="56"/>
  <c r="O52" i="55"/>
  <c r="S52" i="55" s="1"/>
  <c r="O67" i="59"/>
  <c r="S67" i="59" s="1"/>
  <c r="O38" i="53"/>
  <c r="S38" i="53" s="1"/>
  <c r="O28" i="59"/>
  <c r="S28" i="59" s="1"/>
  <c r="S32" i="53"/>
  <c r="S42" i="57"/>
  <c r="S52" i="53"/>
  <c r="S50" i="59"/>
  <c r="S21" i="61"/>
  <c r="S46" i="60"/>
  <c r="O62" i="59"/>
  <c r="S62" i="59" s="1"/>
  <c r="O62" i="60"/>
  <c r="S62" i="60" s="1"/>
  <c r="O35" i="60"/>
  <c r="S35" i="60" s="1"/>
  <c r="O35" i="59"/>
  <c r="S35" i="59" s="1"/>
  <c r="O15" i="60"/>
  <c r="S15" i="60"/>
  <c r="O15" i="59"/>
  <c r="S15" i="59" s="1"/>
  <c r="O39" i="53"/>
  <c r="S39" i="53" s="1"/>
  <c r="O39" i="54"/>
  <c r="S39" i="54"/>
  <c r="O62" i="53"/>
  <c r="S62" i="53" s="1"/>
  <c r="O62" i="54"/>
  <c r="S62" i="54" s="1"/>
  <c r="O54" i="54"/>
  <c r="S54" i="54" s="1"/>
  <c r="O54" i="53"/>
  <c r="S54" i="53" s="1"/>
  <c r="O59" i="59"/>
  <c r="S59" i="59" s="1"/>
  <c r="O59" i="60"/>
  <c r="S59" i="60" s="1"/>
  <c r="O32" i="59"/>
  <c r="S32" i="59" s="1"/>
  <c r="O32" i="60"/>
  <c r="S32" i="60"/>
  <c r="O51" i="53"/>
  <c r="S51" i="53" s="1"/>
  <c r="O51" i="54"/>
  <c r="S51" i="54" s="1"/>
  <c r="S28" i="54"/>
  <c r="S23" i="53"/>
  <c r="S37" i="53"/>
  <c r="O16" i="56"/>
  <c r="S16" i="56" s="1"/>
  <c r="S52" i="61"/>
  <c r="O43" i="60"/>
  <c r="S43" i="60" s="1"/>
  <c r="O43" i="59"/>
  <c r="S43" i="59" s="1"/>
  <c r="O64" i="60"/>
  <c r="S64" i="60" s="1"/>
  <c r="O64" i="59"/>
  <c r="S64" i="59" s="1"/>
  <c r="O19" i="59"/>
  <c r="S19" i="59" s="1"/>
  <c r="O19" i="60"/>
  <c r="S19" i="60" s="1"/>
  <c r="O42" i="53"/>
  <c r="S42" i="53" s="1"/>
  <c r="O42" i="54"/>
  <c r="S42" i="54" s="1"/>
  <c r="O44" i="54"/>
  <c r="S44" i="54" s="1"/>
  <c r="O44" i="53"/>
  <c r="O15" i="53"/>
  <c r="S15" i="53" s="1"/>
  <c r="O15" i="54"/>
  <c r="S15" i="54"/>
  <c r="O53" i="60"/>
  <c r="S53" i="60" s="1"/>
  <c r="O53" i="59"/>
  <c r="S53" i="59" s="1"/>
  <c r="O57" i="59"/>
  <c r="S57" i="59" s="1"/>
  <c r="O57" i="60"/>
  <c r="S57" i="60" s="1"/>
  <c r="O29" i="60"/>
  <c r="S29" i="60" s="1"/>
  <c r="O29" i="59"/>
  <c r="S29" i="59" s="1"/>
  <c r="O49" i="53"/>
  <c r="S49" i="53" s="1"/>
  <c r="O49" i="54"/>
  <c r="S49" i="54"/>
  <c r="O34" i="53"/>
  <c r="S34" i="53" s="1"/>
  <c r="O34" i="54"/>
  <c r="S34" i="54" s="1"/>
  <c r="O65" i="59"/>
  <c r="S65" i="59" s="1"/>
  <c r="O68" i="56"/>
  <c r="S68" i="56" s="1"/>
  <c r="O68" i="55"/>
  <c r="S68" i="55"/>
  <c r="O19" i="53"/>
  <c r="S19" i="53" s="1"/>
  <c r="O55" i="59"/>
  <c r="S55" i="59"/>
  <c r="S28" i="53"/>
  <c r="S44" i="58"/>
  <c r="S44" i="53"/>
  <c r="S41" i="58"/>
  <c r="S34" i="57"/>
  <c r="S54" i="60"/>
  <c r="S55" i="56"/>
  <c r="S17" i="59"/>
  <c r="S53" i="61"/>
  <c r="O48" i="58" l="1"/>
  <c r="S48" i="58" s="1"/>
  <c r="O39" i="59"/>
  <c r="S39" i="59" s="1"/>
  <c r="O56" i="54"/>
  <c r="S56" i="54" s="1"/>
  <c r="O51" i="58"/>
  <c r="S51" i="58" s="1"/>
  <c r="O69" i="58"/>
  <c r="S69" i="58" s="1"/>
  <c r="T2" i="56"/>
  <c r="T20" i="56" s="1"/>
  <c r="O38" i="60"/>
  <c r="S38" i="60" s="1"/>
  <c r="O8" i="54"/>
  <c r="S8" i="54" s="1"/>
  <c r="O67" i="57"/>
  <c r="S67" i="57" s="1"/>
  <c r="O69" i="60"/>
  <c r="S69" i="60" s="1"/>
  <c r="O18" i="55"/>
  <c r="S18" i="55" s="1"/>
  <c r="O29" i="55"/>
  <c r="S29" i="55" s="1"/>
  <c r="T2" i="55" s="1"/>
  <c r="T68" i="55" s="1"/>
  <c r="O45" i="58"/>
  <c r="S45" i="58" s="1"/>
  <c r="O50" i="57"/>
  <c r="S50" i="57" s="1"/>
  <c r="O17" i="52"/>
  <c r="S17" i="52" s="1"/>
  <c r="O18" i="52"/>
  <c r="S18" i="52" s="1"/>
  <c r="O22" i="52"/>
  <c r="S22" i="52" s="1"/>
  <c r="O26" i="52"/>
  <c r="S26" i="52" s="1"/>
  <c r="O40" i="60"/>
  <c r="S40" i="60" s="1"/>
  <c r="O47" i="60"/>
  <c r="S47" i="60" s="1"/>
  <c r="O21" i="54"/>
  <c r="S21" i="54" s="1"/>
  <c r="O45" i="54"/>
  <c r="S45" i="54" s="1"/>
  <c r="T2" i="54" s="1"/>
  <c r="T44" i="54" s="1"/>
  <c r="O9" i="52"/>
  <c r="S9" i="52" s="1"/>
  <c r="O61" i="52"/>
  <c r="S61" i="52" s="1"/>
  <c r="O31" i="58"/>
  <c r="S31" i="58" s="1"/>
  <c r="O52" i="57"/>
  <c r="S52" i="57" s="1"/>
  <c r="O21" i="60"/>
  <c r="S21" i="60" s="1"/>
  <c r="O68" i="60"/>
  <c r="S68" i="60" s="1"/>
  <c r="T2" i="53"/>
  <c r="T2" i="61"/>
  <c r="T53" i="61" s="1"/>
  <c r="T64" i="56"/>
  <c r="T2" i="57"/>
  <c r="T2" i="59"/>
  <c r="O14" i="60"/>
  <c r="S14" i="60" s="1"/>
  <c r="O23" i="60"/>
  <c r="S23" i="60" s="1"/>
  <c r="O60" i="58"/>
  <c r="S60" i="58" s="1"/>
  <c r="O67" i="58"/>
  <c r="S67" i="58" s="1"/>
  <c r="O65" i="58"/>
  <c r="S65" i="58" s="1"/>
  <c r="T14" i="56" l="1"/>
  <c r="T61" i="56"/>
  <c r="T2" i="52"/>
  <c r="T18" i="52" s="1"/>
  <c r="T66" i="56"/>
  <c r="T10" i="56"/>
  <c r="T59" i="56"/>
  <c r="T23" i="56"/>
  <c r="T55" i="56"/>
  <c r="T54" i="56"/>
  <c r="T32" i="56"/>
  <c r="T18" i="56"/>
  <c r="T65" i="56"/>
  <c r="T36" i="56"/>
  <c r="T26" i="56"/>
  <c r="T60" i="56"/>
  <c r="T39" i="56"/>
  <c r="T52" i="56"/>
  <c r="T63" i="56"/>
  <c r="T67" i="56"/>
  <c r="D7" i="50"/>
  <c r="T30" i="56"/>
  <c r="T47" i="56"/>
  <c r="T41" i="56"/>
  <c r="T16" i="56"/>
  <c r="T9" i="56"/>
  <c r="S70" i="56" s="1"/>
  <c r="T25" i="56"/>
  <c r="T45" i="56"/>
  <c r="T44" i="56"/>
  <c r="T42" i="56"/>
  <c r="T48" i="56"/>
  <c r="T15" i="56"/>
  <c r="T49" i="56"/>
  <c r="T29" i="56"/>
  <c r="T69" i="56"/>
  <c r="T58" i="56"/>
  <c r="T27" i="56"/>
  <c r="T38" i="56"/>
  <c r="T56" i="56"/>
  <c r="T19" i="56"/>
  <c r="T46" i="56"/>
  <c r="T13" i="56"/>
  <c r="T51" i="56"/>
  <c r="T53" i="56"/>
  <c r="T34" i="56"/>
  <c r="T33" i="56"/>
  <c r="T50" i="56"/>
  <c r="T21" i="56"/>
  <c r="T17" i="56"/>
  <c r="T37" i="56"/>
  <c r="T62" i="56"/>
  <c r="T35" i="56"/>
  <c r="T28" i="56"/>
  <c r="T12" i="56"/>
  <c r="T11" i="56"/>
  <c r="T24" i="56"/>
  <c r="T31" i="56"/>
  <c r="T22" i="56"/>
  <c r="T40" i="56"/>
  <c r="T43" i="56"/>
  <c r="T57" i="56"/>
  <c r="T68" i="56"/>
  <c r="T20" i="59"/>
  <c r="T13" i="59"/>
  <c r="T61" i="59"/>
  <c r="T52" i="59"/>
  <c r="T42" i="59"/>
  <c r="T63" i="59"/>
  <c r="T16" i="59"/>
  <c r="D10" i="50"/>
  <c r="T12" i="59"/>
  <c r="T18" i="59"/>
  <c r="T30" i="59"/>
  <c r="T23" i="59"/>
  <c r="T44" i="59"/>
  <c r="T49" i="59"/>
  <c r="T50" i="59"/>
  <c r="T32" i="59"/>
  <c r="T31" i="59"/>
  <c r="T67" i="59"/>
  <c r="T68" i="59"/>
  <c r="T60" i="59"/>
  <c r="T27" i="59"/>
  <c r="T54" i="59"/>
  <c r="T36" i="59"/>
  <c r="T14" i="59"/>
  <c r="T45" i="59"/>
  <c r="T38" i="59"/>
  <c r="T19" i="59"/>
  <c r="T33" i="59"/>
  <c r="T69" i="59"/>
  <c r="T48" i="59"/>
  <c r="T34" i="59"/>
  <c r="T58" i="59"/>
  <c r="T25" i="59"/>
  <c r="T29" i="59"/>
  <c r="T62" i="59"/>
  <c r="T26" i="59"/>
  <c r="T56" i="59"/>
  <c r="T46" i="59"/>
  <c r="T59" i="59"/>
  <c r="T28" i="59"/>
  <c r="T21" i="59"/>
  <c r="T66" i="59"/>
  <c r="T57" i="59"/>
  <c r="T22" i="59"/>
  <c r="T15" i="59"/>
  <c r="T43" i="59"/>
  <c r="T40" i="59"/>
  <c r="T53" i="59"/>
  <c r="T47" i="59"/>
  <c r="T37" i="59"/>
  <c r="T32" i="53"/>
  <c r="T30" i="53"/>
  <c r="T21" i="53"/>
  <c r="T38" i="53"/>
  <c r="T37" i="53"/>
  <c r="T46" i="53"/>
  <c r="T34" i="53"/>
  <c r="T7" i="53"/>
  <c r="T28" i="53"/>
  <c r="T39" i="53"/>
  <c r="T42" i="53"/>
  <c r="T44" i="53"/>
  <c r="T19" i="53"/>
  <c r="T17" i="53"/>
  <c r="T15" i="53"/>
  <c r="T52" i="53"/>
  <c r="T48" i="53"/>
  <c r="T14" i="53"/>
  <c r="T58" i="53"/>
  <c r="T20" i="53"/>
  <c r="T60" i="53"/>
  <c r="T11" i="53"/>
  <c r="T25" i="53"/>
  <c r="T16" i="53"/>
  <c r="T56" i="53"/>
  <c r="T22" i="53"/>
  <c r="T51" i="53"/>
  <c r="T49" i="53"/>
  <c r="T13" i="53"/>
  <c r="T57" i="53"/>
  <c r="T59" i="53"/>
  <c r="T47" i="53"/>
  <c r="T53" i="53"/>
  <c r="T61" i="53"/>
  <c r="T27" i="53"/>
  <c r="T12" i="53"/>
  <c r="T6" i="53"/>
  <c r="T63" i="53"/>
  <c r="T26" i="53"/>
  <c r="T67" i="53"/>
  <c r="T33" i="53"/>
  <c r="T54" i="53"/>
  <c r="T9" i="53"/>
  <c r="T10" i="53"/>
  <c r="D4" i="50"/>
  <c r="T35" i="53"/>
  <c r="T40" i="53"/>
  <c r="T43" i="53"/>
  <c r="T41" i="53"/>
  <c r="T45" i="53"/>
  <c r="T50" i="53"/>
  <c r="T64" i="53"/>
  <c r="T31" i="53"/>
  <c r="T29" i="53"/>
  <c r="T68" i="53"/>
  <c r="T69" i="53"/>
  <c r="T66" i="53"/>
  <c r="T55" i="53"/>
  <c r="T18" i="53"/>
  <c r="T8" i="53"/>
  <c r="T24" i="53"/>
  <c r="T36" i="53"/>
  <c r="T50" i="55"/>
  <c r="T64" i="59"/>
  <c r="T2" i="60"/>
  <c r="T14" i="60" s="1"/>
  <c r="T42" i="61"/>
  <c r="T61" i="61"/>
  <c r="T65" i="59"/>
  <c r="T55" i="57"/>
  <c r="T66" i="57"/>
  <c r="T63" i="57"/>
  <c r="T54" i="57"/>
  <c r="T10" i="57"/>
  <c r="T44" i="57"/>
  <c r="T69" i="57"/>
  <c r="T31" i="57"/>
  <c r="T61" i="57"/>
  <c r="T26" i="57"/>
  <c r="T28" i="57"/>
  <c r="T20" i="57"/>
  <c r="T33" i="57"/>
  <c r="T32" i="57"/>
  <c r="T42" i="57"/>
  <c r="T37" i="57"/>
  <c r="T40" i="57"/>
  <c r="T56" i="57"/>
  <c r="T41" i="57"/>
  <c r="T17" i="57"/>
  <c r="T62" i="57"/>
  <c r="T30" i="57"/>
  <c r="T53" i="57"/>
  <c r="T15" i="57"/>
  <c r="T47" i="57"/>
  <c r="T35" i="57"/>
  <c r="T52" i="57"/>
  <c r="T64" i="57"/>
  <c r="T49" i="57"/>
  <c r="T48" i="57"/>
  <c r="T18" i="57"/>
  <c r="T51" i="57"/>
  <c r="T23" i="57"/>
  <c r="T50" i="57"/>
  <c r="T21" i="57"/>
  <c r="T60" i="57"/>
  <c r="T65" i="57"/>
  <c r="T11" i="57"/>
  <c r="T27" i="57"/>
  <c r="T19" i="57"/>
  <c r="T29" i="57"/>
  <c r="T59" i="57"/>
  <c r="T14" i="57"/>
  <c r="T39" i="57"/>
  <c r="T22" i="57"/>
  <c r="T46" i="57"/>
  <c r="T36" i="57"/>
  <c r="T57" i="57"/>
  <c r="T38" i="57"/>
  <c r="T45" i="57"/>
  <c r="D8" i="50"/>
  <c r="T68" i="57"/>
  <c r="T34" i="57"/>
  <c r="T13" i="57"/>
  <c r="T58" i="57"/>
  <c r="T25" i="57"/>
  <c r="T24" i="57"/>
  <c r="T16" i="57"/>
  <c r="T12" i="57"/>
  <c r="T43" i="57"/>
  <c r="T67" i="57"/>
  <c r="T55" i="59"/>
  <c r="T41" i="59"/>
  <c r="T17" i="59"/>
  <c r="T39" i="59"/>
  <c r="T9" i="54"/>
  <c r="T62" i="54"/>
  <c r="T64" i="54"/>
  <c r="T29" i="54"/>
  <c r="T51" i="54"/>
  <c r="T46" i="54"/>
  <c r="T28" i="54"/>
  <c r="T31" i="54"/>
  <c r="T58" i="54"/>
  <c r="T69" i="54"/>
  <c r="T20" i="54"/>
  <c r="T35" i="54"/>
  <c r="T25" i="54"/>
  <c r="T47" i="54"/>
  <c r="T36" i="54"/>
  <c r="T8" i="54"/>
  <c r="T14" i="54"/>
  <c r="T23" i="54"/>
  <c r="T48" i="54"/>
  <c r="T24" i="54"/>
  <c r="T10" i="54"/>
  <c r="T17" i="54"/>
  <c r="T16" i="54"/>
  <c r="T18" i="54"/>
  <c r="T26" i="54"/>
  <c r="T63" i="54"/>
  <c r="T33" i="54"/>
  <c r="T32" i="54"/>
  <c r="T52" i="54"/>
  <c r="T34" i="54"/>
  <c r="T49" i="54"/>
  <c r="T30" i="54"/>
  <c r="T61" i="54"/>
  <c r="T55" i="54"/>
  <c r="T12" i="54"/>
  <c r="T68" i="54"/>
  <c r="T53" i="54"/>
  <c r="T19" i="54"/>
  <c r="T56" i="54"/>
  <c r="T43" i="54"/>
  <c r="T65" i="54"/>
  <c r="T57" i="54"/>
  <c r="T22" i="54"/>
  <c r="T66" i="54"/>
  <c r="T37" i="54"/>
  <c r="T13" i="54"/>
  <c r="T40" i="54"/>
  <c r="T45" i="54"/>
  <c r="T7" i="54"/>
  <c r="T39" i="54"/>
  <c r="T27" i="54"/>
  <c r="D5" i="50"/>
  <c r="T59" i="54"/>
  <c r="T67" i="54"/>
  <c r="T60" i="54"/>
  <c r="T41" i="54"/>
  <c r="T38" i="54"/>
  <c r="T21" i="54"/>
  <c r="T11" i="54"/>
  <c r="T42" i="54"/>
  <c r="T35" i="59"/>
  <c r="T29" i="61"/>
  <c r="T46" i="61"/>
  <c r="T62" i="53"/>
  <c r="T15" i="54"/>
  <c r="T24" i="59"/>
  <c r="T51" i="59"/>
  <c r="T54" i="54"/>
  <c r="T65" i="53"/>
  <c r="D12" i="50"/>
  <c r="T37" i="61"/>
  <c r="T19" i="61"/>
  <c r="T58" i="61"/>
  <c r="T28" i="61"/>
  <c r="T55" i="61"/>
  <c r="T43" i="61"/>
  <c r="T21" i="61"/>
  <c r="T51" i="61"/>
  <c r="T38" i="61"/>
  <c r="T27" i="61"/>
  <c r="T35" i="61"/>
  <c r="T18" i="61"/>
  <c r="T69" i="61"/>
  <c r="T14" i="61"/>
  <c r="T25" i="61"/>
  <c r="T54" i="61"/>
  <c r="T22" i="61"/>
  <c r="T67" i="61"/>
  <c r="T62" i="61"/>
  <c r="T39" i="61"/>
  <c r="T24" i="61"/>
  <c r="T56" i="61"/>
  <c r="T41" i="61"/>
  <c r="T47" i="61"/>
  <c r="T57" i="61"/>
  <c r="T65" i="61"/>
  <c r="T15" i="61"/>
  <c r="T44" i="61"/>
  <c r="T50" i="61"/>
  <c r="T33" i="61"/>
  <c r="T59" i="61"/>
  <c r="T45" i="61"/>
  <c r="T49" i="61"/>
  <c r="T23" i="61"/>
  <c r="T48" i="61"/>
  <c r="T31" i="61"/>
  <c r="T17" i="61"/>
  <c r="T40" i="61"/>
  <c r="T36" i="61"/>
  <c r="T34" i="61"/>
  <c r="T68" i="61"/>
  <c r="T63" i="61"/>
  <c r="T26" i="61"/>
  <c r="T32" i="61"/>
  <c r="T16" i="61"/>
  <c r="T52" i="61"/>
  <c r="T64" i="61"/>
  <c r="T60" i="61"/>
  <c r="T20" i="61"/>
  <c r="T66" i="61"/>
  <c r="T30" i="61"/>
  <c r="T50" i="54"/>
  <c r="T44" i="55"/>
  <c r="T28" i="55"/>
  <c r="T47" i="55"/>
  <c r="T23" i="55"/>
  <c r="T11" i="55"/>
  <c r="T49" i="55"/>
  <c r="T32" i="55"/>
  <c r="T41" i="55"/>
  <c r="T67" i="55"/>
  <c r="T36" i="55"/>
  <c r="T9" i="55"/>
  <c r="T16" i="55"/>
  <c r="T12" i="55"/>
  <c r="T8" i="55"/>
  <c r="T27" i="55"/>
  <c r="T19" i="55"/>
  <c r="T52" i="55"/>
  <c r="T15" i="55"/>
  <c r="T13" i="55"/>
  <c r="T33" i="55"/>
  <c r="T40" i="55"/>
  <c r="T63" i="55"/>
  <c r="T43" i="55"/>
  <c r="T58" i="55"/>
  <c r="T57" i="55"/>
  <c r="T60" i="55"/>
  <c r="D6" i="50"/>
  <c r="T69" i="55"/>
  <c r="T35" i="55"/>
  <c r="T66" i="55"/>
  <c r="T55" i="55"/>
  <c r="T10" i="55"/>
  <c r="T59" i="55"/>
  <c r="T39" i="55"/>
  <c r="T56" i="55"/>
  <c r="T54" i="55"/>
  <c r="T18" i="55"/>
  <c r="T30" i="55"/>
  <c r="T25" i="55"/>
  <c r="T24" i="55"/>
  <c r="T37" i="55"/>
  <c r="T20" i="55"/>
  <c r="T22" i="55"/>
  <c r="T64" i="55"/>
  <c r="T45" i="55"/>
  <c r="T29" i="55"/>
  <c r="T51" i="55"/>
  <c r="T53" i="55"/>
  <c r="T34" i="55"/>
  <c r="T46" i="55"/>
  <c r="T62" i="55"/>
  <c r="T14" i="55"/>
  <c r="T26" i="55"/>
  <c r="T48" i="55"/>
  <c r="T65" i="55"/>
  <c r="T38" i="55"/>
  <c r="T31" i="55"/>
  <c r="T42" i="55"/>
  <c r="T17" i="55"/>
  <c r="T61" i="55"/>
  <c r="T21" i="55"/>
  <c r="T23" i="53"/>
  <c r="T2" i="58"/>
  <c r="T41" i="52" l="1"/>
  <c r="T67" i="52"/>
  <c r="T69" i="52"/>
  <c r="T14" i="52"/>
  <c r="T23" i="52"/>
  <c r="D3" i="50"/>
  <c r="T55" i="52"/>
  <c r="T32" i="52"/>
  <c r="T56" i="52"/>
  <c r="T30" i="52"/>
  <c r="T68" i="52"/>
  <c r="T60" i="52"/>
  <c r="T24" i="52"/>
  <c r="T42" i="52"/>
  <c r="T11" i="52"/>
  <c r="T49" i="52"/>
  <c r="T61" i="52"/>
  <c r="T28" i="52"/>
  <c r="T21" i="52"/>
  <c r="T48" i="52"/>
  <c r="T35" i="52"/>
  <c r="T17" i="52"/>
  <c r="T65" i="52"/>
  <c r="T63" i="52"/>
  <c r="T16" i="52"/>
  <c r="T27" i="52"/>
  <c r="T33" i="52"/>
  <c r="T57" i="52"/>
  <c r="T46" i="52"/>
  <c r="T19" i="52"/>
  <c r="T13" i="52"/>
  <c r="T5" i="52"/>
  <c r="T29" i="52"/>
  <c r="T9" i="52"/>
  <c r="T47" i="52"/>
  <c r="T36" i="52"/>
  <c r="T20" i="52"/>
  <c r="T8" i="52"/>
  <c r="T10" i="52"/>
  <c r="T54" i="52"/>
  <c r="T12" i="52"/>
  <c r="T25" i="52"/>
  <c r="T43" i="52"/>
  <c r="T15" i="52"/>
  <c r="T26" i="52"/>
  <c r="T53" i="52"/>
  <c r="T7" i="52"/>
  <c r="T39" i="52"/>
  <c r="T6" i="52"/>
  <c r="T62" i="52"/>
  <c r="T38" i="52"/>
  <c r="T22" i="52"/>
  <c r="T37" i="52"/>
  <c r="T40" i="52"/>
  <c r="T50" i="52"/>
  <c r="T44" i="52"/>
  <c r="T58" i="52"/>
  <c r="T31" i="52"/>
  <c r="T64" i="52"/>
  <c r="T45" i="52"/>
  <c r="T52" i="52"/>
  <c r="T66" i="52"/>
  <c r="T34" i="52"/>
  <c r="T59" i="52"/>
  <c r="T51" i="52"/>
  <c r="L7" i="50"/>
  <c r="M7" i="50" s="1"/>
  <c r="F7" i="50"/>
  <c r="F5" i="50"/>
  <c r="R6" i="50"/>
  <c r="S6" i="50" s="1"/>
  <c r="R5" i="50"/>
  <c r="S5" i="50" s="1"/>
  <c r="G5" i="50" s="1"/>
  <c r="S70" i="55"/>
  <c r="S70" i="61"/>
  <c r="L5" i="50"/>
  <c r="M5" i="50" s="1"/>
  <c r="T23" i="60"/>
  <c r="S70" i="57"/>
  <c r="F10" i="50"/>
  <c r="U10" i="50"/>
  <c r="V10" i="50" s="1"/>
  <c r="G10" i="50" s="1"/>
  <c r="T61" i="58"/>
  <c r="T53" i="58"/>
  <c r="T19" i="58"/>
  <c r="T14" i="58"/>
  <c r="T23" i="58"/>
  <c r="T43" i="58"/>
  <c r="T58" i="58"/>
  <c r="T64" i="58"/>
  <c r="T42" i="58"/>
  <c r="T45" i="58"/>
  <c r="T16" i="58"/>
  <c r="T36" i="58"/>
  <c r="T54" i="58"/>
  <c r="T51" i="58"/>
  <c r="T21" i="58"/>
  <c r="T11" i="58"/>
  <c r="T20" i="58"/>
  <c r="T13" i="58"/>
  <c r="T68" i="58"/>
  <c r="T17" i="58"/>
  <c r="T69" i="58"/>
  <c r="T30" i="58"/>
  <c r="T24" i="58"/>
  <c r="T47" i="58"/>
  <c r="T18" i="58"/>
  <c r="T37" i="58"/>
  <c r="T38" i="58"/>
  <c r="T56" i="58"/>
  <c r="T59" i="58"/>
  <c r="T63" i="58"/>
  <c r="T26" i="58"/>
  <c r="T49" i="58"/>
  <c r="T25" i="58"/>
  <c r="T34" i="58"/>
  <c r="T41" i="58"/>
  <c r="T31" i="58"/>
  <c r="D9" i="50"/>
  <c r="O10" i="50" s="1"/>
  <c r="P10" i="50" s="1"/>
  <c r="T62" i="58"/>
  <c r="T57" i="58"/>
  <c r="T52" i="58"/>
  <c r="T12" i="58"/>
  <c r="T22" i="58"/>
  <c r="T44" i="58"/>
  <c r="T66" i="58"/>
  <c r="T28" i="58"/>
  <c r="T33" i="58"/>
  <c r="T48" i="58"/>
  <c r="T27" i="58"/>
  <c r="T32" i="58"/>
  <c r="T46" i="58"/>
  <c r="T39" i="58"/>
  <c r="T29" i="58"/>
  <c r="T50" i="58"/>
  <c r="T55" i="58"/>
  <c r="T40" i="58"/>
  <c r="T15" i="58"/>
  <c r="T35" i="58"/>
  <c r="U6" i="50"/>
  <c r="V6" i="50" s="1"/>
  <c r="G6" i="50" s="1"/>
  <c r="F6" i="50"/>
  <c r="L6" i="50"/>
  <c r="M6" i="50" s="1"/>
  <c r="T67" i="58"/>
  <c r="T65" i="58"/>
  <c r="O6" i="50"/>
  <c r="P6" i="50" s="1"/>
  <c r="F4" i="50"/>
  <c r="O4" i="50"/>
  <c r="P4" i="50" s="1"/>
  <c r="O5" i="50"/>
  <c r="P5" i="50" s="1"/>
  <c r="S70" i="53"/>
  <c r="F12" i="50"/>
  <c r="O12" i="50"/>
  <c r="P12" i="50" s="1"/>
  <c r="G12" i="50" s="1"/>
  <c r="T60" i="58"/>
  <c r="S70" i="54"/>
  <c r="L10" i="50"/>
  <c r="M10" i="50" s="1"/>
  <c r="F8" i="50"/>
  <c r="O8" i="50"/>
  <c r="P8" i="50" s="1"/>
  <c r="L9" i="50"/>
  <c r="M9" i="50" s="1"/>
  <c r="L8" i="50"/>
  <c r="M8" i="50" s="1"/>
  <c r="T60" i="60"/>
  <c r="T48" i="60"/>
  <c r="T13" i="60"/>
  <c r="T36" i="60"/>
  <c r="T34" i="60"/>
  <c r="T42" i="60"/>
  <c r="T41" i="60"/>
  <c r="T68" i="60"/>
  <c r="T44" i="60"/>
  <c r="T66" i="60"/>
  <c r="T61" i="60"/>
  <c r="T18" i="60"/>
  <c r="T58" i="60"/>
  <c r="T24" i="60"/>
  <c r="T40" i="60"/>
  <c r="T52" i="60"/>
  <c r="T59" i="60"/>
  <c r="T39" i="60"/>
  <c r="T45" i="60"/>
  <c r="T56" i="60"/>
  <c r="D11" i="50"/>
  <c r="T67" i="60"/>
  <c r="T63" i="60"/>
  <c r="T46" i="60"/>
  <c r="T19" i="60"/>
  <c r="T64" i="60"/>
  <c r="T54" i="60"/>
  <c r="T35" i="60"/>
  <c r="T26" i="60"/>
  <c r="T27" i="60"/>
  <c r="T30" i="60"/>
  <c r="T47" i="60"/>
  <c r="T16" i="60"/>
  <c r="T32" i="60"/>
  <c r="T57" i="60"/>
  <c r="T33" i="60"/>
  <c r="T25" i="60"/>
  <c r="T20" i="60"/>
  <c r="T22" i="60"/>
  <c r="T65" i="60"/>
  <c r="T31" i="60"/>
  <c r="T38" i="60"/>
  <c r="T53" i="60"/>
  <c r="T62" i="60"/>
  <c r="T29" i="60"/>
  <c r="T49" i="60"/>
  <c r="T69" i="60"/>
  <c r="T21" i="60"/>
  <c r="T28" i="60"/>
  <c r="T17" i="60"/>
  <c r="T50" i="60"/>
  <c r="T37" i="60"/>
  <c r="T55" i="60"/>
  <c r="T51" i="60"/>
  <c r="T43" i="60"/>
  <c r="T15" i="60"/>
  <c r="S70" i="59"/>
  <c r="S70" i="52" l="1"/>
  <c r="F3" i="50"/>
  <c r="L4" i="50"/>
  <c r="M4" i="50" s="1"/>
  <c r="G3" i="50" s="1"/>
  <c r="L3" i="50"/>
  <c r="M3" i="50" s="1"/>
  <c r="O9" i="50"/>
  <c r="P9" i="50" s="1"/>
  <c r="G7" i="50"/>
  <c r="S70" i="60"/>
  <c r="G4" i="50"/>
  <c r="F9" i="50"/>
  <c r="R9" i="50"/>
  <c r="S9" i="50" s="1"/>
  <c r="R10" i="50"/>
  <c r="S10" i="50" s="1"/>
  <c r="G8" i="50"/>
  <c r="S70" i="58"/>
  <c r="F11" i="50"/>
  <c r="L11" i="50"/>
  <c r="M11" i="50" s="1"/>
  <c r="L12" i="50"/>
  <c r="M12" i="50" s="1"/>
  <c r="G11" i="50" l="1"/>
  <c r="G9" i="50"/>
</calcChain>
</file>

<file path=xl/sharedStrings.xml><?xml version="1.0" encoding="utf-8"?>
<sst xmlns="http://schemas.openxmlformats.org/spreadsheetml/2006/main" count="416" uniqueCount="61">
  <si>
    <t>Age</t>
  </si>
  <si>
    <t>Experience Adjustment</t>
  </si>
  <si>
    <t>Expected Pretax Income</t>
  </si>
  <si>
    <t>Experience Premium</t>
  </si>
  <si>
    <t>Experience Normalization</t>
  </si>
  <si>
    <t>Years of Education</t>
  </si>
  <si>
    <t>Expected Compensation</t>
  </si>
  <si>
    <t>Tuition</t>
  </si>
  <si>
    <t>Completion Probability</t>
  </si>
  <si>
    <t>Unemployment Probability</t>
  </si>
  <si>
    <t>2011 Tax Table, standard deduction 5800, personal exemption 3700, 10% state taxes &amp; local taxes, FICA, $300/week unemployment benefit</t>
  </si>
  <si>
    <t>Start Age</t>
  </si>
  <si>
    <t xml:space="preserve">Taxable Income </t>
  </si>
  <si>
    <t>Return to Education</t>
  </si>
  <si>
    <t>Expected Value</t>
  </si>
  <si>
    <t>Expected Present Value</t>
  </si>
  <si>
    <t>Years of Experience</t>
  </si>
  <si>
    <t>School Happiness</t>
  </si>
  <si>
    <t xml:space="preserve">Expected After-Tax Income </t>
  </si>
  <si>
    <t xml:space="preserve">Expected Taxes </t>
  </si>
  <si>
    <t>Initial Unemployment</t>
  </si>
  <si>
    <t>Return Rate</t>
  </si>
  <si>
    <t>Year 1 Probability Distribution</t>
  </si>
  <si>
    <t>Year 2 Probability Distribution</t>
  </si>
  <si>
    <t>Year 3 Probability Distribution</t>
  </si>
  <si>
    <t>Year 4 Probability Distribution</t>
  </si>
  <si>
    <t>Year 1 Stopping Return</t>
  </si>
  <si>
    <t>Year 2 Stopping Return</t>
  </si>
  <si>
    <t>Year 3 Stopping Return</t>
  </si>
  <si>
    <t>Year 4 Stopping Return</t>
  </si>
  <si>
    <t>Year 1 Stopping Rate</t>
  </si>
  <si>
    <t>Year 2 Stopping Rate</t>
  </si>
  <si>
    <t>Year 3 Stopping Rate</t>
  </si>
  <si>
    <t>Year 4 Stopping Rate</t>
  </si>
  <si>
    <t>Degree Return</t>
  </si>
  <si>
    <t xml:space="preserve"> Pretax Income</t>
  </si>
  <si>
    <t>Benefits</t>
  </si>
  <si>
    <t xml:space="preserve"> Pretax Income if Employed (including student earnings)</t>
  </si>
  <si>
    <t xml:space="preserve"> Benefits if Employed</t>
  </si>
  <si>
    <t>High School Tuition</t>
  </si>
  <si>
    <t>College Tuition</t>
  </si>
  <si>
    <t>School Feelings</t>
  </si>
  <si>
    <t>Participation Rate</t>
  </si>
  <si>
    <t>Social Income</t>
  </si>
  <si>
    <t>Social Benefits</t>
  </si>
  <si>
    <t>Social Unemployment</t>
  </si>
  <si>
    <t>Social Participation</t>
  </si>
  <si>
    <t>Average Net Tax Rate</t>
  </si>
  <si>
    <t>Expected Productivity if Participating</t>
  </si>
  <si>
    <t>Participation</t>
  </si>
  <si>
    <t>Nonparticipation Transfers</t>
  </si>
  <si>
    <t>Crime Risk Factor</t>
  </si>
  <si>
    <t>Crime Risk Factor from crimeworksheet.xls</t>
  </si>
  <si>
    <t>Social Crime Cost</t>
  </si>
  <si>
    <t>Expected Crime Costs</t>
  </si>
  <si>
    <t>Enhanced Participation Benefit</t>
  </si>
  <si>
    <t>Initial Social Participation</t>
  </si>
  <si>
    <t>Social Return to Education</t>
  </si>
  <si>
    <t>Crime Reduction Benefit</t>
  </si>
  <si>
    <t>Expected Productivity Benefit</t>
  </si>
  <si>
    <t>All other variables from metapartm.xls and text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</si>
</sst>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8" formatCode="0.000"/>
    <numFmt numFmtId="170" formatCode="0.0000000"/>
    <numFmt numFmtId="171" formatCode="0.0000"/>
    <numFmt numFmtId="173" formatCode="0.0"/>
    <numFmt numFmtId="174" formatCode="0.0%"/>
  </numFmts>
  <fonts count="8" x14ac:knownFonts="1">
    <font>
      <sz val="10"/>
      <name val="Arial"/>
      <family val="2"/>
    </font>
    <font>
      <sz val="10"/>
      <name val="Arial"/>
    </font>
    <font>
      <sz val="8"/>
      <name val="Arial"/>
      <family val="2"/>
    </font>
    <font>
      <sz val="10"/>
      <name val="Arial"/>
      <family val="2"/>
    </font>
    <font>
      <sz val="11"/>
      <name val="Arial"/>
      <family val="2"/>
    </font>
    <font>
      <b/>
      <sz val="10"/>
      <name val="Arial"/>
      <family val="2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6">
    <xf numFmtId="0" fontId="0" fillId="0" borderId="0"/>
    <xf numFmtId="168" fontId="3" fillId="0" borderId="0" applyFont="0" applyAlignment="0"/>
    <xf numFmtId="3" fontId="3" fillId="0" borderId="0"/>
    <xf numFmtId="1" fontId="3" fillId="0" borderId="0"/>
    <xf numFmtId="174" fontId="3" fillId="0" borderId="0"/>
    <xf numFmtId="168" fontId="6" fillId="0" borderId="0"/>
  </cellStyleXfs>
  <cellXfs count="32">
    <xf numFmtId="0" fontId="0" fillId="0" borderId="0" xfId="0"/>
    <xf numFmtId="168" fontId="0" fillId="0" borderId="0" xfId="0" applyNumberFormat="1"/>
    <xf numFmtId="168" fontId="3" fillId="0" borderId="0" xfId="0" applyNumberFormat="1" applyFont="1"/>
    <xf numFmtId="168" fontId="4" fillId="0" borderId="0" xfId="0" applyNumberFormat="1" applyFont="1"/>
    <xf numFmtId="170" fontId="0" fillId="0" borderId="0" xfId="0" applyNumberFormat="1"/>
    <xf numFmtId="1" fontId="0" fillId="0" borderId="0" xfId="0" applyNumberFormat="1"/>
    <xf numFmtId="171" fontId="0" fillId="0" borderId="0" xfId="0" applyNumberFormat="1"/>
    <xf numFmtId="1" fontId="3" fillId="0" borderId="0" xfId="0" applyNumberFormat="1" applyFont="1"/>
    <xf numFmtId="168" fontId="1" fillId="0" borderId="0" xfId="0" applyNumberFormat="1" applyFont="1"/>
    <xf numFmtId="0" fontId="1" fillId="0" borderId="0" xfId="0" applyFont="1"/>
    <xf numFmtId="168" fontId="1" fillId="0" borderId="0" xfId="0" applyNumberFormat="1" applyFont="1" applyAlignment="1">
      <alignment horizontal="right"/>
    </xf>
    <xf numFmtId="168" fontId="1" fillId="0" borderId="0" xfId="0" applyNumberFormat="1" applyFont="1" applyBorder="1" applyAlignment="1">
      <alignment vertical="top" wrapText="1"/>
    </xf>
    <xf numFmtId="168" fontId="5" fillId="0" borderId="0" xfId="0" applyNumberFormat="1" applyFont="1"/>
    <xf numFmtId="2" fontId="0" fillId="0" borderId="0" xfId="0" applyNumberFormat="1"/>
    <xf numFmtId="0" fontId="3" fillId="0" borderId="0" xfId="0" applyNumberFormat="1" applyFont="1"/>
    <xf numFmtId="173" fontId="1" fillId="0" borderId="0" xfId="0" applyNumberFormat="1" applyFont="1"/>
    <xf numFmtId="0" fontId="3" fillId="0" borderId="0" xfId="0" applyNumberFormat="1" applyFont="1" applyBorder="1"/>
    <xf numFmtId="0" fontId="4" fillId="0" borderId="0" xfId="0" applyNumberFormat="1" applyFont="1" applyBorder="1" applyAlignment="1">
      <alignment vertical="top" wrapText="1"/>
    </xf>
    <xf numFmtId="1" fontId="1" fillId="0" borderId="0" xfId="0" applyNumberFormat="1" applyFont="1"/>
    <xf numFmtId="3" fontId="0" fillId="0" borderId="0" xfId="0" applyNumberFormat="1" applyAlignment="1">
      <alignment horizontal="right" vertical="center"/>
    </xf>
    <xf numFmtId="168" fontId="0" fillId="0" borderId="0" xfId="0" applyNumberFormat="1" applyFont="1"/>
    <xf numFmtId="3" fontId="3" fillId="0" borderId="0" xfId="2"/>
    <xf numFmtId="1" fontId="3" fillId="0" borderId="0" xfId="3"/>
    <xf numFmtId="0" fontId="0" fillId="0" borderId="0" xfId="0" applyAlignment="1">
      <alignment horizontal="right" vertical="center"/>
    </xf>
    <xf numFmtId="168" fontId="0" fillId="0" borderId="0" xfId="1" applyFont="1" applyAlignment="1">
      <alignment horizontal="right" vertical="center"/>
    </xf>
    <xf numFmtId="3" fontId="0" fillId="0" borderId="0" xfId="0" applyNumberFormat="1" applyFont="1"/>
    <xf numFmtId="168" fontId="3" fillId="0" borderId="0" xfId="1"/>
    <xf numFmtId="1" fontId="0" fillId="0" borderId="0" xfId="0" applyNumberFormat="1" applyFont="1"/>
    <xf numFmtId="0" fontId="0" fillId="0" borderId="0" xfId="0" applyNumberFormat="1" applyFont="1" applyBorder="1"/>
    <xf numFmtId="168" fontId="0" fillId="0" borderId="0" xfId="1" applyFont="1"/>
    <xf numFmtId="49" fontId="1" fillId="0" borderId="0" xfId="0" applyNumberFormat="1" applyFont="1"/>
    <xf numFmtId="0" fontId="7" fillId="0" borderId="0" xfId="0" applyFont="1" applyAlignment="1">
      <alignment horizontal="right" vertical="center"/>
    </xf>
  </cellXfs>
  <cellStyles count="6">
    <cellStyle name="3Decimals" xfId="1"/>
    <cellStyle name="NoDecimals" xfId="2"/>
    <cellStyle name="NoDecimalsNoComma" xfId="3"/>
    <cellStyle name="Normal" xfId="0" builtinId="0" customBuiltin="1"/>
    <cellStyle name="PercentOneDecimal" xfId="4"/>
    <cellStyle name="Style 1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72"/>
  <sheetViews>
    <sheetView workbookViewId="0">
      <selection activeCell="R7" sqref="R7"/>
    </sheetView>
  </sheetViews>
  <sheetFormatPr defaultRowHeight="12.75" x14ac:dyDescent="0.2"/>
  <cols>
    <col min="1" max="1" width="9.140625" style="18"/>
    <col min="2" max="3" width="12.42578125" style="8" customWidth="1"/>
    <col min="4" max="7" width="9.140625" style="8"/>
    <col min="8" max="8" width="9.5703125" style="8" customWidth="1"/>
    <col min="9" max="10" width="9.140625" style="8"/>
    <col min="11" max="11" width="9.5703125" style="8" customWidth="1"/>
    <col min="12" max="12" width="9.140625" style="9"/>
    <col min="13" max="16384" width="9.140625" style="8"/>
  </cols>
  <sheetData>
    <row r="1" spans="1:24" x14ac:dyDescent="0.2">
      <c r="A1" s="18" t="s">
        <v>5</v>
      </c>
      <c r="B1" s="20" t="s">
        <v>35</v>
      </c>
      <c r="C1" s="20" t="s">
        <v>36</v>
      </c>
      <c r="D1" s="8" t="s">
        <v>9</v>
      </c>
      <c r="E1" s="8" t="s">
        <v>8</v>
      </c>
      <c r="F1" s="20" t="s">
        <v>42</v>
      </c>
      <c r="H1" s="8" t="s">
        <v>3</v>
      </c>
      <c r="I1" s="8" t="s">
        <v>4</v>
      </c>
      <c r="L1" s="9" t="s">
        <v>16</v>
      </c>
      <c r="M1" s="8" t="s">
        <v>1</v>
      </c>
      <c r="N1" s="20" t="s">
        <v>0</v>
      </c>
      <c r="O1" s="20" t="s">
        <v>51</v>
      </c>
      <c r="P1" s="8" t="s">
        <v>39</v>
      </c>
      <c r="Q1" s="8" t="s">
        <v>40</v>
      </c>
      <c r="R1" s="8" t="s">
        <v>41</v>
      </c>
      <c r="S1" s="20" t="s">
        <v>50</v>
      </c>
      <c r="T1" s="20" t="s">
        <v>43</v>
      </c>
      <c r="U1" s="20" t="s">
        <v>44</v>
      </c>
      <c r="V1" s="20" t="s">
        <v>45</v>
      </c>
      <c r="W1" s="20" t="s">
        <v>53</v>
      </c>
      <c r="X1" s="20" t="s">
        <v>46</v>
      </c>
    </row>
    <row r="2" spans="1:24" x14ac:dyDescent="0.2">
      <c r="A2" s="18">
        <v>8</v>
      </c>
      <c r="B2" s="19">
        <v>36888</v>
      </c>
      <c r="C2" s="19">
        <v>16969</v>
      </c>
      <c r="D2" s="23">
        <v>8.4000000000000005E-2</v>
      </c>
      <c r="E2" s="23">
        <v>1</v>
      </c>
      <c r="F2" s="23">
        <v>0.67</v>
      </c>
      <c r="G2" s="24"/>
      <c r="H2" s="8">
        <v>2.5000000000000001E-2</v>
      </c>
      <c r="I2" s="10">
        <f>AVERAGE(M2:M53)</f>
        <v>2.0085479604911836</v>
      </c>
      <c r="J2" s="13"/>
      <c r="K2" s="18"/>
      <c r="L2" s="9">
        <v>0</v>
      </c>
      <c r="M2" s="8">
        <f t="shared" ref="M2:M33" si="0">(1+experiencepremium)^L2</f>
        <v>1</v>
      </c>
      <c r="N2" s="22">
        <v>14</v>
      </c>
      <c r="O2" s="31">
        <v>0.86599999999999999</v>
      </c>
      <c r="P2" s="25">
        <v>11298</v>
      </c>
      <c r="Q2" s="25">
        <v>8279</v>
      </c>
      <c r="R2" s="8">
        <v>0.28000000000000003</v>
      </c>
      <c r="S2" s="22">
        <f>4362+2192</f>
        <v>6554</v>
      </c>
      <c r="T2" s="19">
        <v>43181</v>
      </c>
      <c r="U2" s="19">
        <v>19863</v>
      </c>
      <c r="V2" s="23">
        <v>7.0000000000000007E-2</v>
      </c>
      <c r="W2" s="19">
        <v>5215</v>
      </c>
      <c r="X2" s="23">
        <v>0.72099999999999997</v>
      </c>
    </row>
    <row r="3" spans="1:24" x14ac:dyDescent="0.2">
      <c r="A3" s="18">
        <v>9</v>
      </c>
      <c r="B3" s="19">
        <v>38216</v>
      </c>
      <c r="C3" s="19">
        <v>17580</v>
      </c>
      <c r="D3" s="23">
        <v>8.1000000000000003E-2</v>
      </c>
      <c r="E3" s="23">
        <v>0.93300000000000005</v>
      </c>
      <c r="F3" s="23">
        <v>0.68100000000000005</v>
      </c>
      <c r="G3" s="24"/>
      <c r="I3" s="10">
        <f>AVERAGE(M2:M52)</f>
        <v>1.978852107996969</v>
      </c>
      <c r="J3" s="13"/>
      <c r="K3" s="18"/>
      <c r="L3" s="9">
        <v>1</v>
      </c>
      <c r="M3" s="8">
        <f t="shared" si="0"/>
        <v>1.0249999999999999</v>
      </c>
      <c r="N3" s="22">
        <v>15</v>
      </c>
      <c r="O3" s="31">
        <v>1.54</v>
      </c>
      <c r="Q3" s="15"/>
      <c r="R3" s="15"/>
      <c r="T3" s="19">
        <v>43878</v>
      </c>
      <c r="U3" s="19">
        <v>20184</v>
      </c>
      <c r="V3" s="23">
        <v>6.9000000000000006E-2</v>
      </c>
      <c r="W3" s="19">
        <v>5109</v>
      </c>
      <c r="X3" s="23">
        <v>0.72599999999999998</v>
      </c>
    </row>
    <row r="4" spans="1:24" x14ac:dyDescent="0.2">
      <c r="A4" s="18">
        <v>10</v>
      </c>
      <c r="B4" s="19">
        <v>39592</v>
      </c>
      <c r="C4" s="19">
        <v>18212</v>
      </c>
      <c r="D4" s="23">
        <v>7.8E-2</v>
      </c>
      <c r="E4" s="23">
        <v>0.93300000000000005</v>
      </c>
      <c r="F4" s="23">
        <v>0.69199999999999995</v>
      </c>
      <c r="G4" s="24"/>
      <c r="I4" s="10">
        <f>AVERAGE(M2:M51)</f>
        <v>1.9496869757628374</v>
      </c>
      <c r="J4" s="13"/>
      <c r="K4" s="18"/>
      <c r="L4" s="9">
        <v>2</v>
      </c>
      <c r="M4" s="8">
        <f t="shared" si="0"/>
        <v>1.0506249999999999</v>
      </c>
      <c r="N4" s="22">
        <v>16</v>
      </c>
      <c r="O4" s="31">
        <v>2.0630000000000002</v>
      </c>
      <c r="Q4" s="15"/>
      <c r="R4" s="15"/>
      <c r="T4" s="19">
        <v>44586</v>
      </c>
      <c r="U4" s="19">
        <v>20510</v>
      </c>
      <c r="V4" s="23">
        <v>6.8000000000000005E-2</v>
      </c>
      <c r="W4" s="19">
        <v>5005</v>
      </c>
      <c r="X4" s="23">
        <v>0.73099999999999998</v>
      </c>
    </row>
    <row r="5" spans="1:24" x14ac:dyDescent="0.2">
      <c r="A5" s="18">
        <v>11</v>
      </c>
      <c r="B5" s="19">
        <v>41017</v>
      </c>
      <c r="C5" s="19">
        <v>18868</v>
      </c>
      <c r="D5" s="23">
        <v>7.4999999999999997E-2</v>
      </c>
      <c r="E5" s="23">
        <v>0.93300000000000005</v>
      </c>
      <c r="F5" s="23">
        <v>0.70299999999999996</v>
      </c>
      <c r="G5" s="24"/>
      <c r="I5" s="10">
        <f>AVERAGE(M2:M50)</f>
        <v>1.9210422854781857</v>
      </c>
      <c r="J5" s="13"/>
      <c r="K5" s="18"/>
      <c r="L5" s="9">
        <v>3</v>
      </c>
      <c r="M5" s="8">
        <f t="shared" si="0"/>
        <v>1.0768906249999999</v>
      </c>
      <c r="N5" s="22">
        <v>17</v>
      </c>
      <c r="O5" s="31">
        <v>2.5329999999999999</v>
      </c>
      <c r="Q5" s="15"/>
      <c r="R5" s="15"/>
      <c r="T5" s="19">
        <v>45306</v>
      </c>
      <c r="U5" s="19">
        <v>20841</v>
      </c>
      <c r="V5" s="23">
        <v>6.7000000000000004E-2</v>
      </c>
      <c r="W5" s="19">
        <v>4903</v>
      </c>
      <c r="X5" s="23">
        <v>0.73699999999999999</v>
      </c>
    </row>
    <row r="6" spans="1:24" x14ac:dyDescent="0.2">
      <c r="A6" s="18">
        <v>12</v>
      </c>
      <c r="B6" s="19">
        <v>46038</v>
      </c>
      <c r="C6" s="19">
        <v>21177</v>
      </c>
      <c r="D6" s="23">
        <v>6.6000000000000003E-2</v>
      </c>
      <c r="E6" s="23">
        <v>0.93300000000000005</v>
      </c>
      <c r="F6" s="23">
        <v>0.74199999999999999</v>
      </c>
      <c r="G6" s="24"/>
      <c r="I6" s="10">
        <f>AVERAGE(M2:M49)</f>
        <v>1.8929079672445346</v>
      </c>
      <c r="J6" s="13"/>
      <c r="K6" s="18"/>
      <c r="L6" s="9">
        <v>4</v>
      </c>
      <c r="M6" s="8">
        <f t="shared" si="0"/>
        <v>1.1038128906249998</v>
      </c>
      <c r="N6" s="22">
        <v>18</v>
      </c>
      <c r="O6" s="31">
        <v>3.2090000000000001</v>
      </c>
      <c r="Q6" s="15"/>
      <c r="R6" s="15"/>
      <c r="T6" s="19">
        <v>46038</v>
      </c>
      <c r="U6" s="19">
        <v>21177</v>
      </c>
      <c r="V6" s="23">
        <v>6.6000000000000003E-2</v>
      </c>
      <c r="W6" s="19">
        <v>4803</v>
      </c>
      <c r="X6" s="23">
        <v>0.74199999999999999</v>
      </c>
    </row>
    <row r="7" spans="1:24" x14ac:dyDescent="0.2">
      <c r="A7" s="18">
        <v>13</v>
      </c>
      <c r="B7" s="19">
        <v>47822</v>
      </c>
      <c r="C7" s="19">
        <v>21882</v>
      </c>
      <c r="D7" s="23">
        <v>6.4000000000000001E-2</v>
      </c>
      <c r="E7" s="23">
        <v>0.57299999999999995</v>
      </c>
      <c r="F7" s="23">
        <v>0.748</v>
      </c>
      <c r="G7" s="24"/>
      <c r="I7" s="10">
        <f>AVERAGE(M2:M48)</f>
        <v>1.8652741552202943</v>
      </c>
      <c r="J7" s="13"/>
      <c r="K7" s="18"/>
      <c r="L7" s="9">
        <v>5</v>
      </c>
      <c r="M7" s="8">
        <f t="shared" si="0"/>
        <v>1.1314082128906247</v>
      </c>
      <c r="N7" s="22">
        <v>19</v>
      </c>
      <c r="O7" s="31">
        <v>3.4049999999999998</v>
      </c>
      <c r="Q7" s="15"/>
      <c r="R7" s="15"/>
      <c r="T7" s="19">
        <v>46958</v>
      </c>
      <c r="U7" s="19">
        <v>21538</v>
      </c>
      <c r="V7" s="23">
        <v>6.5000000000000002E-2</v>
      </c>
      <c r="W7" s="19">
        <v>4766</v>
      </c>
      <c r="X7" s="23">
        <v>0.745</v>
      </c>
    </row>
    <row r="8" spans="1:24" x14ac:dyDescent="0.2">
      <c r="A8" s="18">
        <v>14</v>
      </c>
      <c r="B8" s="19">
        <v>49675</v>
      </c>
      <c r="C8" s="19">
        <v>22610</v>
      </c>
      <c r="D8" s="23">
        <v>6.2E-2</v>
      </c>
      <c r="E8" s="23">
        <v>0.57299999999999995</v>
      </c>
      <c r="F8" s="23">
        <v>0.754</v>
      </c>
      <c r="G8" s="24"/>
      <c r="I8" s="10">
        <f>AVERAGE(M2:M47)</f>
        <v>1.8381311833585117</v>
      </c>
      <c r="J8" s="13"/>
      <c r="K8" s="18"/>
      <c r="L8" s="9">
        <v>6</v>
      </c>
      <c r="M8" s="8">
        <f t="shared" si="0"/>
        <v>1.1596934182128902</v>
      </c>
      <c r="N8" s="22">
        <v>20</v>
      </c>
      <c r="O8" s="31">
        <v>3.2679999999999998</v>
      </c>
      <c r="Q8" s="15"/>
      <c r="R8" s="15"/>
      <c r="T8" s="19">
        <v>47896</v>
      </c>
      <c r="U8" s="19">
        <v>21904</v>
      </c>
      <c r="V8" s="23">
        <v>6.4000000000000001E-2</v>
      </c>
      <c r="W8" s="19">
        <v>4729</v>
      </c>
      <c r="X8" s="23">
        <v>0.748</v>
      </c>
    </row>
    <row r="9" spans="1:24" x14ac:dyDescent="0.2">
      <c r="A9" s="18">
        <v>15</v>
      </c>
      <c r="B9" s="19">
        <v>51600</v>
      </c>
      <c r="C9" s="19">
        <v>23362</v>
      </c>
      <c r="D9" s="23">
        <v>0.06</v>
      </c>
      <c r="E9" s="23">
        <v>0.57299999999999995</v>
      </c>
      <c r="F9" s="23">
        <v>0.76100000000000001</v>
      </c>
      <c r="G9" s="24"/>
      <c r="I9" s="10">
        <f>AVERAGE(M2:M46)</f>
        <v>1.8114695812355892</v>
      </c>
      <c r="J9" s="13"/>
      <c r="K9" s="18"/>
      <c r="L9" s="9">
        <v>7</v>
      </c>
      <c r="M9" s="8">
        <f t="shared" si="0"/>
        <v>1.1886857536682125</v>
      </c>
      <c r="N9" s="22">
        <v>21</v>
      </c>
      <c r="O9" s="31">
        <v>3.0110000000000001</v>
      </c>
      <c r="Q9" s="15"/>
      <c r="R9" s="15"/>
      <c r="T9" s="19">
        <v>48853</v>
      </c>
      <c r="U9" s="19">
        <v>22277</v>
      </c>
      <c r="V9" s="23">
        <v>6.3E-2</v>
      </c>
      <c r="W9" s="19">
        <v>4692</v>
      </c>
      <c r="X9" s="23">
        <v>0.751</v>
      </c>
    </row>
    <row r="10" spans="1:24" x14ac:dyDescent="0.2">
      <c r="A10" s="18">
        <v>16</v>
      </c>
      <c r="B10" s="19">
        <v>64997</v>
      </c>
      <c r="C10" s="19">
        <v>28570</v>
      </c>
      <c r="D10" s="23">
        <v>4.8000000000000001E-2</v>
      </c>
      <c r="E10" s="23">
        <v>0.57299999999999995</v>
      </c>
      <c r="F10" s="23">
        <v>0.80300000000000005</v>
      </c>
      <c r="G10" s="24"/>
      <c r="I10" s="10">
        <f>AVERAGE(M2:M45)</f>
        <v>1.7852800699689915</v>
      </c>
      <c r="J10" s="13"/>
      <c r="K10" s="18"/>
      <c r="L10" s="9">
        <v>8</v>
      </c>
      <c r="M10" s="8">
        <f t="shared" si="0"/>
        <v>1.2184028975099177</v>
      </c>
      <c r="N10" s="22">
        <v>22</v>
      </c>
      <c r="O10" s="31">
        <v>2.746</v>
      </c>
      <c r="Q10" s="15"/>
      <c r="R10" s="15"/>
      <c r="T10" s="19">
        <v>49830</v>
      </c>
      <c r="U10" s="19">
        <v>22656</v>
      </c>
      <c r="V10" s="23">
        <v>6.2E-2</v>
      </c>
      <c r="W10" s="19">
        <v>4655</v>
      </c>
      <c r="X10" s="23">
        <v>0.754</v>
      </c>
    </row>
    <row r="11" spans="1:24" x14ac:dyDescent="0.2">
      <c r="A11" s="18">
        <v>17</v>
      </c>
      <c r="B11" s="19">
        <v>66535</v>
      </c>
      <c r="C11" s="19">
        <v>29124</v>
      </c>
      <c r="D11" s="23">
        <v>4.8000000000000001E-2</v>
      </c>
      <c r="E11" s="23">
        <v>0.28499999999999998</v>
      </c>
      <c r="F11" s="23">
        <v>0.80300000000000005</v>
      </c>
      <c r="G11" s="24"/>
      <c r="I11" s="10">
        <f>AVERAGE(M2:M44)</f>
        <v>1.7595535582220223</v>
      </c>
      <c r="J11" s="13"/>
      <c r="K11" s="18"/>
      <c r="L11" s="9">
        <v>9</v>
      </c>
      <c r="M11" s="8">
        <f t="shared" si="0"/>
        <v>1.2488629699476654</v>
      </c>
      <c r="N11" s="22">
        <v>23</v>
      </c>
      <c r="O11" s="31">
        <v>2.56</v>
      </c>
      <c r="Q11" s="15"/>
      <c r="R11" s="15"/>
      <c r="T11" s="19">
        <v>50748</v>
      </c>
      <c r="U11" s="19">
        <v>22997</v>
      </c>
      <c r="V11" s="23">
        <v>6.2E-2</v>
      </c>
      <c r="W11" s="19">
        <v>4655</v>
      </c>
      <c r="X11" s="23">
        <v>0.754</v>
      </c>
    </row>
    <row r="12" spans="1:24" x14ac:dyDescent="0.2">
      <c r="A12" s="18">
        <v>18</v>
      </c>
      <c r="B12" s="19">
        <v>77084</v>
      </c>
      <c r="C12" s="19">
        <v>32905</v>
      </c>
      <c r="D12" s="23">
        <v>4.3999999999999997E-2</v>
      </c>
      <c r="E12" s="23">
        <v>0.28499999999999998</v>
      </c>
      <c r="F12" s="23">
        <v>0.80300000000000005</v>
      </c>
      <c r="G12" s="24"/>
      <c r="I12" s="10">
        <f>AVERAGE(M2:M43)</f>
        <v>1.7342811382937739</v>
      </c>
      <c r="J12" s="13"/>
      <c r="K12" s="18"/>
      <c r="L12" s="9">
        <v>10</v>
      </c>
      <c r="M12" s="8">
        <f t="shared" si="0"/>
        <v>1.2800845441963571</v>
      </c>
      <c r="N12" s="22">
        <v>24</v>
      </c>
      <c r="O12" s="31">
        <v>2.4420000000000002</v>
      </c>
      <c r="Q12" s="15"/>
      <c r="R12" s="15"/>
      <c r="T12" s="19">
        <v>51683</v>
      </c>
      <c r="U12" s="19">
        <v>23343</v>
      </c>
      <c r="V12" s="23">
        <v>6.0999999999999999E-2</v>
      </c>
      <c r="W12" s="19">
        <v>4655</v>
      </c>
      <c r="X12" s="23">
        <v>0.754</v>
      </c>
    </row>
    <row r="13" spans="1:24" x14ac:dyDescent="0.2">
      <c r="B13"/>
      <c r="C13"/>
      <c r="F13" s="2"/>
      <c r="L13" s="9">
        <v>11</v>
      </c>
      <c r="M13" s="8">
        <f t="shared" si="0"/>
        <v>1.312086657801266</v>
      </c>
      <c r="N13" s="22">
        <v>25</v>
      </c>
      <c r="O13" s="31">
        <v>2.0329999999999999</v>
      </c>
    </row>
    <row r="14" spans="1:24" x14ac:dyDescent="0.2">
      <c r="B14" s="14"/>
      <c r="C14" s="14"/>
      <c r="D14" s="16"/>
      <c r="E14" s="16"/>
      <c r="F14" s="16"/>
      <c r="L14" s="9">
        <v>12</v>
      </c>
      <c r="M14" s="8">
        <f t="shared" si="0"/>
        <v>1.3448888242462975</v>
      </c>
      <c r="N14" s="22">
        <v>26</v>
      </c>
      <c r="O14" s="31">
        <v>2.0329999999999999</v>
      </c>
    </row>
    <row r="15" spans="1:24" ht="14.25" x14ac:dyDescent="0.2">
      <c r="B15" s="14"/>
      <c r="C15" s="14"/>
      <c r="D15" s="17"/>
      <c r="E15" s="17"/>
      <c r="F15" s="28"/>
      <c r="L15" s="9">
        <v>13</v>
      </c>
      <c r="M15" s="8">
        <f t="shared" si="0"/>
        <v>1.3785110448524549</v>
      </c>
      <c r="N15" s="22">
        <v>27</v>
      </c>
      <c r="O15" s="31">
        <v>2.0329999999999999</v>
      </c>
    </row>
    <row r="16" spans="1:24" ht="14.25" x14ac:dyDescent="0.2">
      <c r="B16" s="14"/>
      <c r="C16" s="14"/>
      <c r="D16" s="17"/>
      <c r="E16" s="17"/>
      <c r="F16" s="16" t="s">
        <v>52</v>
      </c>
      <c r="L16" s="9">
        <v>14</v>
      </c>
      <c r="M16" s="8">
        <f t="shared" si="0"/>
        <v>1.4129738209737661</v>
      </c>
      <c r="N16" s="22">
        <v>28</v>
      </c>
      <c r="O16" s="31">
        <v>2.0329999999999999</v>
      </c>
    </row>
    <row r="17" spans="2:15" ht="14.25" x14ac:dyDescent="0.2">
      <c r="B17" s="14"/>
      <c r="C17" s="14"/>
      <c r="D17" s="17"/>
      <c r="E17" s="17"/>
      <c r="F17" s="28" t="s">
        <v>60</v>
      </c>
      <c r="L17" s="9">
        <v>15</v>
      </c>
      <c r="M17" s="8">
        <f t="shared" si="0"/>
        <v>1.4482981664981105</v>
      </c>
      <c r="N17" s="22">
        <v>29</v>
      </c>
      <c r="O17" s="31">
        <v>2.0329999999999999</v>
      </c>
    </row>
    <row r="18" spans="2:15" ht="14.25" x14ac:dyDescent="0.2">
      <c r="B18" s="14"/>
      <c r="C18" s="14"/>
      <c r="D18" s="17"/>
      <c r="E18" s="17"/>
      <c r="F18" s="16"/>
      <c r="L18" s="9">
        <v>16</v>
      </c>
      <c r="M18" s="8">
        <f t="shared" si="0"/>
        <v>1.4845056206605631</v>
      </c>
      <c r="N18" s="22">
        <v>30</v>
      </c>
      <c r="O18" s="31">
        <v>1.675</v>
      </c>
    </row>
    <row r="19" spans="2:15" ht="14.25" x14ac:dyDescent="0.2">
      <c r="B19" s="14"/>
      <c r="C19" s="14"/>
      <c r="D19" s="17"/>
      <c r="E19" s="17"/>
      <c r="F19" s="16"/>
      <c r="L19" s="9">
        <v>17</v>
      </c>
      <c r="M19" s="8">
        <f t="shared" si="0"/>
        <v>1.521618261177077</v>
      </c>
      <c r="N19" s="22">
        <v>31</v>
      </c>
      <c r="O19" s="31">
        <v>1.675</v>
      </c>
    </row>
    <row r="20" spans="2:15" ht="14.25" x14ac:dyDescent="0.2">
      <c r="B20" s="14"/>
      <c r="C20" s="14"/>
      <c r="D20" s="17"/>
      <c r="E20" s="17"/>
      <c r="F20" s="16"/>
      <c r="L20" s="9">
        <v>18</v>
      </c>
      <c r="M20" s="8">
        <f t="shared" si="0"/>
        <v>1.559658717706504</v>
      </c>
      <c r="N20" s="22">
        <v>32</v>
      </c>
      <c r="O20" s="31">
        <v>1.675</v>
      </c>
    </row>
    <row r="21" spans="2:15" ht="14.25" x14ac:dyDescent="0.2">
      <c r="B21" s="14"/>
      <c r="C21" s="14"/>
      <c r="D21" s="17"/>
      <c r="E21" s="17"/>
      <c r="F21" s="16"/>
      <c r="L21" s="9">
        <v>19</v>
      </c>
      <c r="M21" s="8">
        <f t="shared" si="0"/>
        <v>1.5986501856491666</v>
      </c>
      <c r="N21" s="22">
        <v>33</v>
      </c>
      <c r="O21" s="31">
        <v>1.675</v>
      </c>
    </row>
    <row r="22" spans="2:15" ht="14.25" x14ac:dyDescent="0.2">
      <c r="B22" s="14"/>
      <c r="C22" s="14"/>
      <c r="D22" s="17"/>
      <c r="E22" s="17"/>
      <c r="F22" s="16"/>
      <c r="L22" s="9">
        <v>20</v>
      </c>
      <c r="M22" s="8">
        <f t="shared" si="0"/>
        <v>1.6386164402903955</v>
      </c>
      <c r="N22" s="22">
        <v>34</v>
      </c>
      <c r="O22" s="31">
        <v>1.675</v>
      </c>
    </row>
    <row r="23" spans="2:15" ht="14.25" x14ac:dyDescent="0.2">
      <c r="B23" s="14"/>
      <c r="C23" s="14"/>
      <c r="D23" s="17"/>
      <c r="E23" s="17"/>
      <c r="F23" s="16"/>
      <c r="L23" s="9">
        <v>21</v>
      </c>
      <c r="M23" s="8">
        <f t="shared" si="0"/>
        <v>1.6795818512976552</v>
      </c>
      <c r="N23" s="22">
        <v>35</v>
      </c>
      <c r="O23" s="31">
        <v>1.266</v>
      </c>
    </row>
    <row r="24" spans="2:15" ht="14.25" x14ac:dyDescent="0.2">
      <c r="B24" s="14"/>
      <c r="C24" s="14"/>
      <c r="D24" s="17"/>
      <c r="E24" s="17"/>
      <c r="F24" s="16"/>
      <c r="L24" s="9">
        <v>22</v>
      </c>
      <c r="M24" s="8">
        <f t="shared" si="0"/>
        <v>1.7215713975800966</v>
      </c>
      <c r="N24" s="22">
        <v>36</v>
      </c>
      <c r="O24" s="31">
        <v>1.266</v>
      </c>
    </row>
    <row r="25" spans="2:15" ht="14.25" x14ac:dyDescent="0.2">
      <c r="B25" s="14"/>
      <c r="C25" s="14"/>
      <c r="D25" s="17"/>
      <c r="E25" s="17"/>
      <c r="F25" s="16"/>
      <c r="L25" s="9">
        <v>23</v>
      </c>
      <c r="M25" s="8">
        <f t="shared" si="0"/>
        <v>1.7646106825195991</v>
      </c>
      <c r="N25" s="22">
        <v>37</v>
      </c>
      <c r="O25" s="31">
        <v>1.266</v>
      </c>
    </row>
    <row r="26" spans="2:15" x14ac:dyDescent="0.2">
      <c r="B26" s="14"/>
      <c r="C26" s="14"/>
      <c r="D26" s="16"/>
      <c r="E26" s="16"/>
      <c r="F26" s="16"/>
      <c r="L26" s="9">
        <v>24</v>
      </c>
      <c r="M26" s="8">
        <f t="shared" si="0"/>
        <v>1.8087259495825889</v>
      </c>
      <c r="N26" s="22">
        <v>38</v>
      </c>
      <c r="O26" s="31">
        <v>1.266</v>
      </c>
    </row>
    <row r="27" spans="2:15" x14ac:dyDescent="0.2">
      <c r="B27" s="2"/>
      <c r="C27" s="2"/>
      <c r="D27" s="2"/>
      <c r="E27" s="2"/>
      <c r="F27" s="2"/>
      <c r="L27" s="9">
        <v>25</v>
      </c>
      <c r="M27" s="8">
        <f t="shared" si="0"/>
        <v>1.8539440983221533</v>
      </c>
      <c r="N27" s="22">
        <v>39</v>
      </c>
      <c r="O27" s="31">
        <v>1.266</v>
      </c>
    </row>
    <row r="28" spans="2:15" x14ac:dyDescent="0.2">
      <c r="B28" s="2"/>
      <c r="C28" s="2"/>
      <c r="D28" s="2"/>
      <c r="E28" s="2"/>
      <c r="F28" s="2"/>
      <c r="L28" s="9">
        <v>26</v>
      </c>
      <c r="M28" s="8">
        <f t="shared" si="0"/>
        <v>1.9002927007802071</v>
      </c>
      <c r="N28" s="22">
        <v>40</v>
      </c>
      <c r="O28" s="31">
        <v>1.131</v>
      </c>
    </row>
    <row r="29" spans="2:15" x14ac:dyDescent="0.2">
      <c r="L29" s="9">
        <v>27</v>
      </c>
      <c r="M29" s="8">
        <f t="shared" si="0"/>
        <v>1.9478000182997122</v>
      </c>
      <c r="N29" s="22">
        <v>41</v>
      </c>
      <c r="O29" s="31">
        <v>1.131</v>
      </c>
    </row>
    <row r="30" spans="2:15" x14ac:dyDescent="0.2">
      <c r="L30" s="9">
        <v>28</v>
      </c>
      <c r="M30" s="8">
        <f t="shared" si="0"/>
        <v>1.9964950187572048</v>
      </c>
      <c r="N30" s="22">
        <v>42</v>
      </c>
      <c r="O30" s="31">
        <v>1.131</v>
      </c>
    </row>
    <row r="31" spans="2:15" x14ac:dyDescent="0.2">
      <c r="L31" s="9">
        <v>29</v>
      </c>
      <c r="M31" s="8">
        <f t="shared" si="0"/>
        <v>2.0464073942261352</v>
      </c>
      <c r="N31" s="22">
        <v>43</v>
      </c>
      <c r="O31" s="31">
        <v>1.131</v>
      </c>
    </row>
    <row r="32" spans="2:15" x14ac:dyDescent="0.2">
      <c r="L32" s="9">
        <v>30</v>
      </c>
      <c r="M32" s="8">
        <f t="shared" si="0"/>
        <v>2.097567579081788</v>
      </c>
      <c r="N32" s="22">
        <v>44</v>
      </c>
      <c r="O32" s="31">
        <v>1.131</v>
      </c>
    </row>
    <row r="33" spans="12:15" x14ac:dyDescent="0.2">
      <c r="L33" s="9">
        <v>31</v>
      </c>
      <c r="M33" s="8">
        <f t="shared" si="0"/>
        <v>2.1500067685588333</v>
      </c>
      <c r="N33" s="22">
        <v>45</v>
      </c>
      <c r="O33" s="31">
        <v>0.95899999999999996</v>
      </c>
    </row>
    <row r="34" spans="12:15" x14ac:dyDescent="0.2">
      <c r="L34" s="9">
        <v>32</v>
      </c>
      <c r="M34" s="8">
        <f t="shared" ref="M34:M53" si="1">(1+experiencepremium)^L34</f>
        <v>2.2037569377728037</v>
      </c>
      <c r="N34" s="22">
        <v>46</v>
      </c>
      <c r="O34" s="31">
        <v>0.95899999999999996</v>
      </c>
    </row>
    <row r="35" spans="12:15" x14ac:dyDescent="0.2">
      <c r="L35" s="9">
        <v>33</v>
      </c>
      <c r="M35" s="8">
        <f t="shared" si="1"/>
        <v>2.2588508612171236</v>
      </c>
      <c r="N35" s="22">
        <v>47</v>
      </c>
      <c r="O35" s="31">
        <v>0.95899999999999996</v>
      </c>
    </row>
    <row r="36" spans="12:15" x14ac:dyDescent="0.2">
      <c r="L36" s="9">
        <v>34</v>
      </c>
      <c r="M36" s="8">
        <f t="shared" si="1"/>
        <v>2.3153221327475517</v>
      </c>
      <c r="N36" s="22">
        <v>48</v>
      </c>
      <c r="O36" s="31">
        <v>0.95899999999999996</v>
      </c>
    </row>
    <row r="37" spans="12:15" x14ac:dyDescent="0.2">
      <c r="L37" s="9">
        <v>35</v>
      </c>
      <c r="M37" s="8">
        <f t="shared" si="1"/>
        <v>2.3732051860662402</v>
      </c>
      <c r="N37" s="22">
        <v>49</v>
      </c>
      <c r="O37" s="31">
        <v>0.95899999999999996</v>
      </c>
    </row>
    <row r="38" spans="12:15" x14ac:dyDescent="0.2">
      <c r="L38" s="9">
        <v>36</v>
      </c>
      <c r="M38" s="8">
        <f t="shared" si="1"/>
        <v>2.4325353157178964</v>
      </c>
      <c r="N38" s="22">
        <v>50</v>
      </c>
      <c r="O38" s="31">
        <v>0.69399999999999995</v>
      </c>
    </row>
    <row r="39" spans="12:15" x14ac:dyDescent="0.2">
      <c r="L39" s="9">
        <v>37</v>
      </c>
      <c r="M39" s="8">
        <f t="shared" si="1"/>
        <v>2.4933486986108435</v>
      </c>
      <c r="N39" s="22">
        <v>51</v>
      </c>
      <c r="O39" s="31">
        <v>0.69399999999999995</v>
      </c>
    </row>
    <row r="40" spans="12:15" x14ac:dyDescent="0.2">
      <c r="L40" s="9">
        <v>38</v>
      </c>
      <c r="M40" s="8">
        <f t="shared" si="1"/>
        <v>2.555682416076114</v>
      </c>
      <c r="N40" s="22">
        <v>52</v>
      </c>
      <c r="O40" s="31">
        <v>0.69399999999999995</v>
      </c>
    </row>
    <row r="41" spans="12:15" x14ac:dyDescent="0.2">
      <c r="L41" s="9">
        <v>39</v>
      </c>
      <c r="M41" s="8">
        <f t="shared" si="1"/>
        <v>2.6195744764780171</v>
      </c>
      <c r="N41" s="22">
        <v>53</v>
      </c>
      <c r="O41" s="31">
        <v>0.69399999999999995</v>
      </c>
    </row>
    <row r="42" spans="12:15" x14ac:dyDescent="0.2">
      <c r="L42" s="9">
        <v>40</v>
      </c>
      <c r="M42" s="8">
        <f t="shared" si="1"/>
        <v>2.6850638383899672</v>
      </c>
      <c r="N42" s="22">
        <v>54</v>
      </c>
      <c r="O42" s="31">
        <v>0.69399999999999995</v>
      </c>
    </row>
    <row r="43" spans="12:15" x14ac:dyDescent="0.2">
      <c r="L43" s="9">
        <v>41</v>
      </c>
      <c r="M43" s="8">
        <f t="shared" si="1"/>
        <v>2.7521904343497163</v>
      </c>
      <c r="N43" s="22">
        <v>55</v>
      </c>
      <c r="O43" s="31">
        <v>0.41499999999999998</v>
      </c>
    </row>
    <row r="44" spans="12:15" x14ac:dyDescent="0.2">
      <c r="L44" s="9">
        <v>42</v>
      </c>
      <c r="M44" s="8">
        <f t="shared" si="1"/>
        <v>2.8209951952084591</v>
      </c>
      <c r="N44" s="22">
        <v>56</v>
      </c>
      <c r="O44" s="31">
        <v>0.41499999999999998</v>
      </c>
    </row>
    <row r="45" spans="12:15" x14ac:dyDescent="0.2">
      <c r="L45" s="9">
        <v>43</v>
      </c>
      <c r="M45" s="8">
        <f t="shared" si="1"/>
        <v>2.8915200750886707</v>
      </c>
      <c r="N45" s="22">
        <v>57</v>
      </c>
      <c r="O45" s="31">
        <v>0.41499999999999998</v>
      </c>
    </row>
    <row r="46" spans="12:15" x14ac:dyDescent="0.2">
      <c r="L46" s="9">
        <v>44</v>
      </c>
      <c r="M46" s="8">
        <f t="shared" si="1"/>
        <v>2.9638080769658868</v>
      </c>
      <c r="N46" s="22">
        <v>58</v>
      </c>
      <c r="O46" s="31">
        <v>0.41499999999999998</v>
      </c>
    </row>
    <row r="47" spans="12:15" x14ac:dyDescent="0.2">
      <c r="L47" s="9">
        <v>45</v>
      </c>
      <c r="M47" s="8">
        <f t="shared" si="1"/>
        <v>3.0379032788900342</v>
      </c>
      <c r="N47" s="22">
        <v>59</v>
      </c>
      <c r="O47" s="31">
        <v>0.41499999999999998</v>
      </c>
    </row>
    <row r="48" spans="12:15" x14ac:dyDescent="0.2">
      <c r="L48" s="9">
        <v>46</v>
      </c>
      <c r="M48" s="8">
        <f t="shared" si="1"/>
        <v>3.1138508608622844</v>
      </c>
      <c r="N48" s="22">
        <v>60</v>
      </c>
      <c r="O48" s="31">
        <v>0.22800000000000001</v>
      </c>
    </row>
    <row r="49" spans="12:15" x14ac:dyDescent="0.2">
      <c r="L49" s="9">
        <v>47</v>
      </c>
      <c r="M49" s="8">
        <f t="shared" si="1"/>
        <v>3.1916971323838421</v>
      </c>
      <c r="N49" s="22">
        <v>61</v>
      </c>
      <c r="O49" s="31">
        <v>0.22800000000000001</v>
      </c>
    </row>
    <row r="50" spans="12:15" x14ac:dyDescent="0.2">
      <c r="L50" s="9">
        <v>48</v>
      </c>
      <c r="M50" s="8">
        <f t="shared" si="1"/>
        <v>3.2714895606934378</v>
      </c>
      <c r="N50" s="22">
        <v>62</v>
      </c>
      <c r="O50" s="31">
        <v>0.22800000000000001</v>
      </c>
    </row>
    <row r="51" spans="12:15" x14ac:dyDescent="0.2">
      <c r="L51" s="9">
        <v>49</v>
      </c>
      <c r="M51" s="8">
        <f t="shared" si="1"/>
        <v>3.3532767997107733</v>
      </c>
      <c r="N51" s="22">
        <v>63</v>
      </c>
      <c r="O51" s="31">
        <v>0.22800000000000001</v>
      </c>
    </row>
    <row r="52" spans="12:15" x14ac:dyDescent="0.2">
      <c r="L52" s="9">
        <v>50</v>
      </c>
      <c r="M52" s="8">
        <f t="shared" si="1"/>
        <v>3.4371087197035428</v>
      </c>
      <c r="N52" s="22">
        <v>64</v>
      </c>
      <c r="O52" s="31">
        <v>0.22800000000000001</v>
      </c>
    </row>
    <row r="53" spans="12:15" x14ac:dyDescent="0.2">
      <c r="L53" s="9">
        <v>51</v>
      </c>
      <c r="M53" s="8">
        <f t="shared" si="1"/>
        <v>3.5230364376961316</v>
      </c>
      <c r="N53" s="22">
        <v>65</v>
      </c>
      <c r="O53" s="31">
        <v>7.1999999999999995E-2</v>
      </c>
    </row>
    <row r="54" spans="12:15" x14ac:dyDescent="0.2">
      <c r="N54" s="22">
        <v>66</v>
      </c>
      <c r="O54" s="31">
        <v>7.1999999999999995E-2</v>
      </c>
    </row>
    <row r="55" spans="12:15" x14ac:dyDescent="0.2">
      <c r="N55" s="22">
        <v>67</v>
      </c>
      <c r="O55" s="31">
        <v>7.1999999999999995E-2</v>
      </c>
    </row>
    <row r="56" spans="12:15" x14ac:dyDescent="0.2">
      <c r="N56" s="22">
        <v>68</v>
      </c>
      <c r="O56" s="31">
        <v>7.1999999999999995E-2</v>
      </c>
    </row>
    <row r="57" spans="12:15" x14ac:dyDescent="0.2">
      <c r="N57" s="22">
        <v>69</v>
      </c>
      <c r="O57" s="31">
        <v>7.1999999999999995E-2</v>
      </c>
    </row>
    <row r="58" spans="12:15" x14ac:dyDescent="0.2">
      <c r="N58" s="22">
        <v>70</v>
      </c>
      <c r="O58" s="31">
        <v>7.1999999999999995E-2</v>
      </c>
    </row>
    <row r="59" spans="12:15" x14ac:dyDescent="0.2">
      <c r="N59" s="22">
        <v>71</v>
      </c>
      <c r="O59" s="31">
        <v>7.1999999999999995E-2</v>
      </c>
    </row>
    <row r="60" spans="12:15" x14ac:dyDescent="0.2">
      <c r="N60" s="22">
        <v>72</v>
      </c>
      <c r="O60" s="31">
        <v>7.1999999999999995E-2</v>
      </c>
    </row>
    <row r="61" spans="12:15" x14ac:dyDescent="0.2">
      <c r="N61" s="22">
        <v>73</v>
      </c>
      <c r="O61" s="31">
        <v>7.1999999999999995E-2</v>
      </c>
    </row>
    <row r="62" spans="12:15" x14ac:dyDescent="0.2">
      <c r="N62" s="22">
        <v>74</v>
      </c>
      <c r="O62" s="31">
        <v>7.1999999999999995E-2</v>
      </c>
    </row>
    <row r="63" spans="12:15" x14ac:dyDescent="0.2">
      <c r="N63" s="22">
        <v>75</v>
      </c>
      <c r="O63" s="31">
        <v>7.1999999999999995E-2</v>
      </c>
    </row>
    <row r="64" spans="12:15" x14ac:dyDescent="0.2">
      <c r="N64" s="22">
        <v>76</v>
      </c>
      <c r="O64" s="31">
        <v>7.1999999999999995E-2</v>
      </c>
    </row>
    <row r="65" spans="14:15" x14ac:dyDescent="0.2">
      <c r="N65" s="22">
        <v>77</v>
      </c>
      <c r="O65" s="31">
        <v>7.1999999999999995E-2</v>
      </c>
    </row>
    <row r="66" spans="14:15" x14ac:dyDescent="0.2">
      <c r="N66" s="22">
        <v>78</v>
      </c>
      <c r="O66" s="31">
        <v>7.1999999999999995E-2</v>
      </c>
    </row>
    <row r="67" spans="14:15" x14ac:dyDescent="0.2">
      <c r="N67" s="22">
        <v>79</v>
      </c>
      <c r="O67" s="31">
        <v>7.1999999999999995E-2</v>
      </c>
    </row>
    <row r="68" spans="14:15" x14ac:dyDescent="0.2">
      <c r="N68" s="22">
        <v>80</v>
      </c>
      <c r="O68" s="31">
        <v>7.1999999999999995E-2</v>
      </c>
    </row>
    <row r="69" spans="14:15" x14ac:dyDescent="0.2">
      <c r="N69" s="22">
        <v>81</v>
      </c>
      <c r="O69" s="31">
        <v>7.1999999999999995E-2</v>
      </c>
    </row>
    <row r="70" spans="14:15" x14ac:dyDescent="0.2">
      <c r="N70" s="22">
        <v>82</v>
      </c>
      <c r="O70" s="31">
        <v>7.1999999999999995E-2</v>
      </c>
    </row>
    <row r="71" spans="14:15" x14ac:dyDescent="0.2">
      <c r="N71" s="22">
        <v>83</v>
      </c>
      <c r="O71" s="31">
        <v>7.1999999999999995E-2</v>
      </c>
    </row>
    <row r="72" spans="14:15" x14ac:dyDescent="0.2">
      <c r="N72" s="22">
        <v>84</v>
      </c>
      <c r="O72" s="31">
        <v>7.1999999999999995E-2</v>
      </c>
    </row>
  </sheetData>
  <phoneticPr fontId="2" type="noConversion"/>
  <pageMargins left="0.75" right="0.75" top="1" bottom="1" header="0.5" footer="0.5"/>
  <pageSetup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1"/>
  <sheetViews>
    <sheetView workbookViewId="0">
      <selection activeCell="Q2" sqref="Q2"/>
    </sheetView>
  </sheetViews>
  <sheetFormatPr defaultRowHeight="12.75" x14ac:dyDescent="0.2"/>
  <cols>
    <col min="1" max="1" width="13.7109375" style="5" customWidth="1"/>
    <col min="2" max="7" width="13.7109375" style="1" customWidth="1"/>
    <col min="8" max="8" width="9.5703125" style="1" customWidth="1"/>
    <col min="9" max="9" width="9.140625" style="1"/>
    <col min="10" max="11" width="9.28515625" style="1" customWidth="1"/>
    <col min="12" max="12" width="9.140625" style="1"/>
    <col min="13" max="13" width="9.5703125" style="1" customWidth="1"/>
    <col min="14" max="14" width="9.28515625" style="1" customWidth="1"/>
    <col min="15" max="17" width="9.140625" style="1"/>
    <col min="18" max="18" width="9.5703125" style="1" bestFit="1" customWidth="1"/>
    <col min="19" max="19" width="10.140625" style="1" bestFit="1" customWidth="1"/>
    <col min="20" max="16384" width="9.140625" style="1"/>
  </cols>
  <sheetData>
    <row r="1" spans="1:20" x14ac:dyDescent="0.2">
      <c r="B1" s="1" t="s">
        <v>11</v>
      </c>
      <c r="C1" s="27" t="s">
        <v>35</v>
      </c>
      <c r="D1" s="27" t="s">
        <v>36</v>
      </c>
      <c r="E1" s="6" t="s">
        <v>9</v>
      </c>
      <c r="F1" s="6" t="s">
        <v>49</v>
      </c>
      <c r="G1" s="1" t="s">
        <v>4</v>
      </c>
      <c r="H1" s="1" t="s">
        <v>8</v>
      </c>
      <c r="J1" s="1" t="s">
        <v>56</v>
      </c>
      <c r="K1" s="1" t="s">
        <v>20</v>
      </c>
      <c r="N1" s="1" t="s">
        <v>43</v>
      </c>
      <c r="O1" s="1" t="s">
        <v>44</v>
      </c>
      <c r="P1" s="1" t="s">
        <v>45</v>
      </c>
      <c r="Q1" s="1" t="s">
        <v>46</v>
      </c>
      <c r="R1" s="1" t="s">
        <v>53</v>
      </c>
      <c r="T1" s="12" t="s">
        <v>57</v>
      </c>
    </row>
    <row r="2" spans="1:20" x14ac:dyDescent="0.2">
      <c r="B2" s="5">
        <f>Meta!A9+6</f>
        <v>21</v>
      </c>
      <c r="C2" s="7">
        <f>Meta!B9</f>
        <v>51600</v>
      </c>
      <c r="D2" s="7">
        <f>Meta!C9</f>
        <v>23362</v>
      </c>
      <c r="E2" s="1">
        <f>Meta!D9</f>
        <v>0.06</v>
      </c>
      <c r="F2" s="1">
        <f>Meta!F9</f>
        <v>0.76100000000000001</v>
      </c>
      <c r="G2" s="1">
        <f>Meta!I9</f>
        <v>1.8114695812355892</v>
      </c>
      <c r="H2" s="1">
        <f>Meta!E9</f>
        <v>0.57299999999999995</v>
      </c>
      <c r="I2" s="13"/>
      <c r="J2" s="1">
        <f>Meta!X8</f>
        <v>0.748</v>
      </c>
      <c r="K2" s="1">
        <f>Meta!D8</f>
        <v>6.2E-2</v>
      </c>
      <c r="L2" s="29"/>
      <c r="N2" s="22">
        <f>Meta!T9</f>
        <v>48853</v>
      </c>
      <c r="O2" s="22">
        <f>Meta!U9</f>
        <v>22277</v>
      </c>
      <c r="P2" s="1">
        <f>Meta!V9</f>
        <v>6.3E-2</v>
      </c>
      <c r="Q2" s="1">
        <f>Meta!X9</f>
        <v>0.751</v>
      </c>
      <c r="R2" s="22">
        <f>Meta!W9</f>
        <v>4692</v>
      </c>
      <c r="T2" s="12">
        <f>IRR(S5:S69)+1</f>
        <v>0.96677850486462191</v>
      </c>
    </row>
    <row r="3" spans="1:20" ht="14.25" x14ac:dyDescent="0.2">
      <c r="C3" s="3"/>
      <c r="G3" s="4"/>
      <c r="L3" s="1" t="s">
        <v>10</v>
      </c>
    </row>
    <row r="4" spans="1:20" x14ac:dyDescent="0.2">
      <c r="A4" s="7" t="s">
        <v>0</v>
      </c>
      <c r="B4" s="2" t="s">
        <v>1</v>
      </c>
      <c r="C4" s="1" t="s">
        <v>37</v>
      </c>
      <c r="D4" s="1" t="s">
        <v>2</v>
      </c>
      <c r="E4" t="s">
        <v>12</v>
      </c>
      <c r="F4" t="s">
        <v>19</v>
      </c>
      <c r="G4" t="s">
        <v>18</v>
      </c>
      <c r="H4" t="s">
        <v>38</v>
      </c>
      <c r="I4" t="s">
        <v>6</v>
      </c>
      <c r="J4" s="1" t="s">
        <v>47</v>
      </c>
      <c r="L4" s="1" t="s">
        <v>48</v>
      </c>
      <c r="M4" s="1" t="s">
        <v>54</v>
      </c>
      <c r="N4" s="1" t="s">
        <v>59</v>
      </c>
      <c r="O4" s="1" t="s">
        <v>58</v>
      </c>
      <c r="P4" s="1" t="s">
        <v>55</v>
      </c>
      <c r="Q4" s="1" t="s">
        <v>17</v>
      </c>
      <c r="R4" s="1" t="s">
        <v>7</v>
      </c>
      <c r="S4" s="5" t="s">
        <v>14</v>
      </c>
      <c r="T4" s="5" t="s">
        <v>15</v>
      </c>
    </row>
    <row r="5" spans="1:20" x14ac:dyDescent="0.2">
      <c r="A5" s="5">
        <v>14</v>
      </c>
      <c r="C5" s="5"/>
      <c r="D5" s="5"/>
      <c r="E5" s="5"/>
      <c r="F5" s="5"/>
      <c r="G5" s="5"/>
      <c r="H5" s="22"/>
      <c r="I5" s="5"/>
      <c r="J5" s="26"/>
      <c r="L5" s="22"/>
      <c r="M5" s="5"/>
      <c r="N5" s="5"/>
      <c r="O5" s="5"/>
      <c r="P5" s="22"/>
      <c r="Q5" s="22"/>
      <c r="R5" s="22"/>
      <c r="S5" s="22"/>
      <c r="T5" s="22"/>
    </row>
    <row r="6" spans="1:20" x14ac:dyDescent="0.2">
      <c r="A6" s="5">
        <v>15</v>
      </c>
      <c r="C6" s="5"/>
      <c r="D6" s="5"/>
      <c r="E6" s="5"/>
      <c r="F6" s="5"/>
      <c r="G6" s="5"/>
      <c r="H6" s="22"/>
      <c r="I6" s="5"/>
      <c r="J6" s="26"/>
      <c r="L6" s="22"/>
      <c r="M6" s="5"/>
      <c r="N6" s="5"/>
      <c r="O6" s="5"/>
      <c r="P6" s="22"/>
      <c r="Q6" s="22"/>
      <c r="R6" s="22"/>
      <c r="S6" s="22"/>
      <c r="T6" s="22"/>
    </row>
    <row r="7" spans="1:20" x14ac:dyDescent="0.2">
      <c r="A7" s="5">
        <v>16</v>
      </c>
      <c r="C7" s="5"/>
      <c r="D7" s="5"/>
      <c r="E7" s="5"/>
      <c r="F7" s="5"/>
      <c r="G7" s="5"/>
      <c r="H7" s="22"/>
      <c r="I7" s="5"/>
      <c r="J7" s="26"/>
      <c r="L7" s="22"/>
      <c r="M7" s="5"/>
      <c r="N7" s="5"/>
      <c r="O7" s="5"/>
      <c r="P7" s="22"/>
      <c r="Q7" s="22"/>
      <c r="R7" s="22"/>
      <c r="S7" s="22"/>
      <c r="T7" s="22"/>
    </row>
    <row r="8" spans="1:20" x14ac:dyDescent="0.2">
      <c r="A8" s="5">
        <v>17</v>
      </c>
      <c r="C8" s="5"/>
      <c r="D8" s="5"/>
      <c r="E8" s="5"/>
      <c r="F8" s="5"/>
      <c r="G8" s="5"/>
      <c r="H8" s="22"/>
      <c r="I8" s="5"/>
      <c r="J8" s="26"/>
      <c r="L8" s="22"/>
      <c r="M8" s="5"/>
      <c r="N8" s="5"/>
      <c r="O8" s="5"/>
      <c r="P8" s="22"/>
      <c r="Q8" s="22"/>
      <c r="R8" s="22"/>
      <c r="S8" s="22"/>
      <c r="T8" s="22"/>
    </row>
    <row r="9" spans="1:20" x14ac:dyDescent="0.2">
      <c r="A9" s="5">
        <v>18</v>
      </c>
      <c r="C9" s="5"/>
      <c r="D9" s="5"/>
      <c r="E9" s="5"/>
      <c r="F9" s="5"/>
      <c r="G9" s="5"/>
      <c r="H9" s="22"/>
      <c r="I9" s="5"/>
      <c r="J9" s="26"/>
      <c r="L9" s="22"/>
      <c r="M9" s="5"/>
      <c r="N9" s="5"/>
      <c r="O9" s="5"/>
      <c r="P9" s="22"/>
      <c r="Q9" s="22"/>
      <c r="R9" s="22"/>
      <c r="S9" s="22"/>
      <c r="T9" s="22"/>
    </row>
    <row r="10" spans="1:20" x14ac:dyDescent="0.2">
      <c r="A10" s="5">
        <v>19</v>
      </c>
      <c r="C10" s="5"/>
      <c r="D10" s="5"/>
      <c r="E10" s="5"/>
      <c r="F10" s="5"/>
      <c r="G10" s="5"/>
      <c r="H10" s="22"/>
      <c r="I10" s="5"/>
      <c r="J10" s="26"/>
      <c r="L10" s="22"/>
      <c r="M10" s="5"/>
      <c r="N10" s="5"/>
      <c r="O10" s="5"/>
      <c r="P10" s="22"/>
      <c r="Q10" s="22"/>
      <c r="R10" s="22"/>
      <c r="S10" s="22"/>
      <c r="T10" s="22"/>
    </row>
    <row r="11" spans="1:20" x14ac:dyDescent="0.2">
      <c r="A11" s="5">
        <v>20</v>
      </c>
      <c r="B11" s="1">
        <v>1</v>
      </c>
      <c r="C11" s="5">
        <f>0.1*Grade14!C11</f>
        <v>2702.4730579477537</v>
      </c>
      <c r="D11" s="5">
        <f t="shared" ref="D11:D36" si="0">IF(A11&lt;startage,1,0)*(C11*(1-initialunempprob))+IF(A11=startage,1,0)*(C11*(1-unempprob))+IF(A11&gt;startage,1,0)*(C11*(1-unempprob)+unempprob*300*52)</f>
        <v>2534.9197283549929</v>
      </c>
      <c r="E11" s="5">
        <f t="shared" ref="E11:E56" si="1">IF(D11-9500&gt;0,1,0)*(D11-9500)</f>
        <v>0</v>
      </c>
      <c r="F11" s="5">
        <f t="shared" ref="F11:F56" si="2">IF(E11&lt;=8500,1,0)*(0.1*E11+0.1*E11+0.0765*D11)+IF(AND(E11&gt;8500,E11&lt;=34500),1,0)*(850+0.15*(E11-8500)+0.1*E11+0.0765*D11)+IF(AND(E11&gt;34500,E11&lt;=83600),1,0)*(4750+0.25*(E11-34500)+0.1*E11+0.0765*D11)+IF(AND(E11&gt;83600,E11&lt;=174400,D11&lt;=106800),1,0)*(17025+0.28*(E11-83600)+0.1*E11+0.0765*D11)+IF(AND(E11&gt;83600,E11&lt;=174400,D11&gt;106800),1,0)*(17025+0.28*(E11-83600)+0.1*E11+8170.2+0.0145*(D11-106800))+IF(AND(E11&gt;174400,E11&lt;=379150),1,0)*(42449+0.33*(E11-174400)+0.1*E11+8170.2+0.0145*(D11-106800))+IF(E11&gt;379150,1,0)*(110016.5+0.35*(E11-379150)+0.1*E11+8170.2+0.0145*(D11-106800))</f>
        <v>193.92135921915695</v>
      </c>
      <c r="G11" s="5">
        <f t="shared" ref="G11:G56" si="3">D11-F11</f>
        <v>2340.9983691358361</v>
      </c>
      <c r="H11" s="22">
        <f>0.1*Grade14!H11</f>
        <v>1230.0536656305731</v>
      </c>
      <c r="I11" s="5">
        <f t="shared" ref="I11:I36" si="4">G11+IF(A11&lt;startage,1,0)*(H11*(1-initialunempprob))+IF(A11&gt;=startage,1,0)*(H11*(1-unempprob))</f>
        <v>3494.7887074973137</v>
      </c>
      <c r="J11" s="26">
        <f t="shared" ref="J11:J56" si="5">(F11-(IF(A11&gt;startage,1,0)*(unempprob*300*52)))/(IF(A11&lt;startage,1,0)*((C11+H11)*(1-initialunempprob))+IF(A11&gt;=startage,1,0)*((C11+H11)*(1-unempprob)))</f>
        <v>5.2571591616517949E-2</v>
      </c>
      <c r="L11" s="22">
        <f>0.1*Grade14!L11</f>
        <v>3554.3056225523706</v>
      </c>
      <c r="M11" s="5">
        <f>scrimecost*Meta!O8</f>
        <v>15333.455999999998</v>
      </c>
      <c r="N11" s="5">
        <f>L11-Grade14!L11</f>
        <v>-31988.750602971333</v>
      </c>
      <c r="O11" s="5"/>
      <c r="P11" s="22"/>
      <c r="Q11" s="22">
        <f>0.05*feel*Grade14!G11</f>
        <v>278.21758118659227</v>
      </c>
      <c r="R11" s="22">
        <f>coltuition</f>
        <v>8279</v>
      </c>
      <c r="S11" s="22">
        <f t="shared" ref="S11:S42" si="6">IF(A11&lt;startage,1,0)*(N11-Q11-R11)+IF(A11&gt;=startage,1,0)*completionprob*(N11*spart+O11+P11)</f>
        <v>-40545.968184157929</v>
      </c>
      <c r="T11" s="22">
        <f t="shared" ref="T11:T42" si="7">S11/sreturn^(A11-startage+1)</f>
        <v>-40545.968184157929</v>
      </c>
    </row>
    <row r="12" spans="1:20" x14ac:dyDescent="0.2">
      <c r="A12" s="5">
        <v>21</v>
      </c>
      <c r="B12" s="1">
        <f t="shared" ref="B12:B36" si="8">(1+experiencepremium)^(A12-startage)</f>
        <v>1</v>
      </c>
      <c r="C12" s="5">
        <f t="shared" ref="C12:C36" si="9">pretaxincome*B12/expnorm</f>
        <v>28485.159527108397</v>
      </c>
      <c r="D12" s="5">
        <f t="shared" si="0"/>
        <v>26776.049955481893</v>
      </c>
      <c r="E12" s="5">
        <f t="shared" si="1"/>
        <v>17276.049955481893</v>
      </c>
      <c r="F12" s="5">
        <f t="shared" si="2"/>
        <v>5942.3803104648377</v>
      </c>
      <c r="G12" s="5">
        <f t="shared" si="3"/>
        <v>20833.669645017057</v>
      </c>
      <c r="H12" s="22">
        <f t="shared" ref="H12:H36" si="10">benefits*B12/expnorm</f>
        <v>12896.71117969586</v>
      </c>
      <c r="I12" s="5">
        <f t="shared" si="4"/>
        <v>32956.578153931165</v>
      </c>
      <c r="J12" s="26">
        <f t="shared" si="5"/>
        <v>0.15276450951518061</v>
      </c>
      <c r="L12" s="22">
        <f t="shared" ref="L12:L36" si="11">(sincome+sbenefits)*(1-sunemp)*B12/expnorm</f>
        <v>36792.674130657695</v>
      </c>
      <c r="M12" s="5">
        <f>scrimecost*Meta!O9</f>
        <v>14127.612000000001</v>
      </c>
      <c r="N12" s="5">
        <f>L12-Grade14!L12</f>
        <v>361.04149949589919</v>
      </c>
      <c r="O12" s="5">
        <f>Grade14!M12-M12</f>
        <v>111.40699999999924</v>
      </c>
      <c r="P12" s="22">
        <f t="shared" ref="P12:P56" si="12">(spart-initialspart)*(L12*J12+nptrans)</f>
        <v>36.523844451965424</v>
      </c>
      <c r="Q12" s="22"/>
      <c r="R12" s="22"/>
      <c r="S12" s="22">
        <f t="shared" si="6"/>
        <v>240.12883505854958</v>
      </c>
      <c r="T12" s="22">
        <f t="shared" si="7"/>
        <v>248.38040342257594</v>
      </c>
    </row>
    <row r="13" spans="1:20" x14ac:dyDescent="0.2">
      <c r="A13" s="5">
        <v>22</v>
      </c>
      <c r="B13" s="1">
        <f t="shared" si="8"/>
        <v>1.0249999999999999</v>
      </c>
      <c r="C13" s="5">
        <f t="shared" si="9"/>
        <v>29197.288515286102</v>
      </c>
      <c r="D13" s="5">
        <f t="shared" si="0"/>
        <v>28381.451204368936</v>
      </c>
      <c r="E13" s="5">
        <f t="shared" si="1"/>
        <v>18881.451204368936</v>
      </c>
      <c r="F13" s="5">
        <f t="shared" si="2"/>
        <v>6466.543818226457</v>
      </c>
      <c r="G13" s="5">
        <f t="shared" si="3"/>
        <v>21914.907386142477</v>
      </c>
      <c r="H13" s="22">
        <f t="shared" si="10"/>
        <v>13219.128959188256</v>
      </c>
      <c r="I13" s="5">
        <f t="shared" si="4"/>
        <v>34340.888607779438</v>
      </c>
      <c r="J13" s="26">
        <f t="shared" si="5"/>
        <v>0.13870943384063608</v>
      </c>
      <c r="L13" s="22">
        <f t="shared" si="11"/>
        <v>37712.490983924137</v>
      </c>
      <c r="M13" s="5">
        <f>scrimecost*Meta!O10</f>
        <v>12884.232</v>
      </c>
      <c r="N13" s="5">
        <f>L13-Grade14!L13</f>
        <v>370.06753698330431</v>
      </c>
      <c r="O13" s="5">
        <f>Grade14!M13-M13</f>
        <v>101.60200000000077</v>
      </c>
      <c r="P13" s="22">
        <f t="shared" si="12"/>
        <v>35.355234819300662</v>
      </c>
      <c r="Q13" s="22"/>
      <c r="R13" s="22"/>
      <c r="S13" s="22">
        <f t="shared" si="6"/>
        <v>237.72506826872618</v>
      </c>
      <c r="T13" s="22">
        <f t="shared" si="7"/>
        <v>254.34371424788603</v>
      </c>
    </row>
    <row r="14" spans="1:20" x14ac:dyDescent="0.2">
      <c r="A14" s="5">
        <v>23</v>
      </c>
      <c r="B14" s="1">
        <f t="shared" si="8"/>
        <v>1.0506249999999999</v>
      </c>
      <c r="C14" s="5">
        <f t="shared" si="9"/>
        <v>29927.220728168253</v>
      </c>
      <c r="D14" s="5">
        <f t="shared" si="0"/>
        <v>29067.587484478157</v>
      </c>
      <c r="E14" s="5">
        <f t="shared" si="1"/>
        <v>19567.587484478157</v>
      </c>
      <c r="F14" s="5">
        <f t="shared" si="2"/>
        <v>6690.5673136821188</v>
      </c>
      <c r="G14" s="5">
        <f t="shared" si="3"/>
        <v>22377.020170796037</v>
      </c>
      <c r="H14" s="22">
        <f t="shared" si="10"/>
        <v>13549.607183167962</v>
      </c>
      <c r="I14" s="5">
        <f t="shared" si="4"/>
        <v>35113.650922973917</v>
      </c>
      <c r="J14" s="26">
        <f t="shared" si="5"/>
        <v>0.14080788353333837</v>
      </c>
      <c r="L14" s="22">
        <f t="shared" si="11"/>
        <v>38655.303258522239</v>
      </c>
      <c r="M14" s="5">
        <f>scrimecost*Meta!O11</f>
        <v>12011.52</v>
      </c>
      <c r="N14" s="5">
        <f>L14-Grade14!L14</f>
        <v>379.31922540788219</v>
      </c>
      <c r="O14" s="5">
        <f>Grade14!M14-M14</f>
        <v>94.719999999999345</v>
      </c>
      <c r="P14" s="22">
        <f t="shared" si="12"/>
        <v>35.990914317515653</v>
      </c>
      <c r="Q14" s="22"/>
      <c r="R14" s="22"/>
      <c r="S14" s="22">
        <f t="shared" si="6"/>
        <v>238.12714093913215</v>
      </c>
      <c r="T14" s="22">
        <f t="shared" si="7"/>
        <v>263.52871245054746</v>
      </c>
    </row>
    <row r="15" spans="1:20" x14ac:dyDescent="0.2">
      <c r="A15" s="5">
        <v>24</v>
      </c>
      <c r="B15" s="1">
        <f t="shared" si="8"/>
        <v>1.0768906249999999</v>
      </c>
      <c r="C15" s="5">
        <f t="shared" si="9"/>
        <v>30675.401246372461</v>
      </c>
      <c r="D15" s="5">
        <f t="shared" si="0"/>
        <v>29770.877171590113</v>
      </c>
      <c r="E15" s="5">
        <f t="shared" si="1"/>
        <v>20270.877171590113</v>
      </c>
      <c r="F15" s="5">
        <f t="shared" si="2"/>
        <v>6920.191396524172</v>
      </c>
      <c r="G15" s="5">
        <f t="shared" si="3"/>
        <v>22850.68577506594</v>
      </c>
      <c r="H15" s="22">
        <f t="shared" si="10"/>
        <v>13888.347362747159</v>
      </c>
      <c r="I15" s="5">
        <f t="shared" si="4"/>
        <v>35905.732296048271</v>
      </c>
      <c r="J15" s="26">
        <f t="shared" si="5"/>
        <v>0.14285515152621864</v>
      </c>
      <c r="L15" s="22">
        <f t="shared" si="11"/>
        <v>39621.685839985294</v>
      </c>
      <c r="M15" s="5">
        <f>scrimecost*Meta!O12</f>
        <v>11457.864000000001</v>
      </c>
      <c r="N15" s="5">
        <f>L15-Grade14!L15</f>
        <v>388.80220604308124</v>
      </c>
      <c r="O15" s="5">
        <f>Grade14!M15-M15</f>
        <v>90.35399999999936</v>
      </c>
      <c r="P15" s="22">
        <f t="shared" si="12"/>
        <v>36.642485803186027</v>
      </c>
      <c r="Q15" s="22"/>
      <c r="R15" s="22"/>
      <c r="S15" s="22">
        <f t="shared" si="6"/>
        <v>240.07951807630207</v>
      </c>
      <c r="T15" s="22">
        <f t="shared" si="7"/>
        <v>274.81926090041526</v>
      </c>
    </row>
    <row r="16" spans="1:20" x14ac:dyDescent="0.2">
      <c r="A16" s="5">
        <v>25</v>
      </c>
      <c r="B16" s="1">
        <f t="shared" si="8"/>
        <v>1.1038128906249998</v>
      </c>
      <c r="C16" s="5">
        <f t="shared" si="9"/>
        <v>31442.286277531766</v>
      </c>
      <c r="D16" s="5">
        <f t="shared" si="0"/>
        <v>30491.749100879857</v>
      </c>
      <c r="E16" s="5">
        <f t="shared" si="1"/>
        <v>20991.749100879857</v>
      </c>
      <c r="F16" s="5">
        <f t="shared" si="2"/>
        <v>7155.556081437273</v>
      </c>
      <c r="G16" s="5">
        <f t="shared" si="3"/>
        <v>23336.193019442584</v>
      </c>
      <c r="H16" s="22">
        <f t="shared" si="10"/>
        <v>14235.556046815838</v>
      </c>
      <c r="I16" s="5">
        <f t="shared" si="4"/>
        <v>36717.615703449468</v>
      </c>
      <c r="J16" s="26">
        <f t="shared" si="5"/>
        <v>0.14485248615341881</v>
      </c>
      <c r="L16" s="22">
        <f t="shared" si="11"/>
        <v>40612.227985984922</v>
      </c>
      <c r="M16" s="5">
        <f>scrimecost*Meta!O13</f>
        <v>9538.8359999999993</v>
      </c>
      <c r="N16" s="5">
        <f>L16-Grade14!L16</f>
        <v>398.52226119416446</v>
      </c>
      <c r="O16" s="5">
        <f>Grade14!M16-M16</f>
        <v>75.220999999999549</v>
      </c>
      <c r="P16" s="22">
        <f t="shared" si="12"/>
        <v>37.310346575998139</v>
      </c>
      <c r="Q16" s="22"/>
      <c r="R16" s="22"/>
      <c r="S16" s="22">
        <f t="shared" si="6"/>
        <v>235.97375659190308</v>
      </c>
      <c r="T16" s="22">
        <f t="shared" si="7"/>
        <v>279.40152819337135</v>
      </c>
    </row>
    <row r="17" spans="1:20" x14ac:dyDescent="0.2">
      <c r="A17" s="5">
        <v>26</v>
      </c>
      <c r="B17" s="1">
        <f t="shared" si="8"/>
        <v>1.1314082128906247</v>
      </c>
      <c r="C17" s="5">
        <f t="shared" si="9"/>
        <v>32228.343434470062</v>
      </c>
      <c r="D17" s="5">
        <f t="shared" si="0"/>
        <v>31230.642828401855</v>
      </c>
      <c r="E17" s="5">
        <f t="shared" si="1"/>
        <v>21730.642828401855</v>
      </c>
      <c r="F17" s="5">
        <f t="shared" si="2"/>
        <v>7396.8048834732053</v>
      </c>
      <c r="G17" s="5">
        <f t="shared" si="3"/>
        <v>23833.837944928651</v>
      </c>
      <c r="H17" s="22">
        <f t="shared" si="10"/>
        <v>14591.444947986231</v>
      </c>
      <c r="I17" s="5">
        <f t="shared" si="4"/>
        <v>37549.796196035706</v>
      </c>
      <c r="J17" s="26">
        <f t="shared" si="5"/>
        <v>0.1468011053019069</v>
      </c>
      <c r="L17" s="22">
        <f t="shared" si="11"/>
        <v>41627.533685634538</v>
      </c>
      <c r="M17" s="5">
        <f>scrimecost*Meta!O14</f>
        <v>9538.8359999999993</v>
      </c>
      <c r="N17" s="5">
        <f>L17-Grade14!L17</f>
        <v>408.48531772400747</v>
      </c>
      <c r="O17" s="5">
        <f>Grade14!M17-M17</f>
        <v>75.220999999999549</v>
      </c>
      <c r="P17" s="22">
        <f t="shared" si="12"/>
        <v>37.994903868130571</v>
      </c>
      <c r="Q17" s="22"/>
      <c r="R17" s="22"/>
      <c r="S17" s="22">
        <f t="shared" si="6"/>
        <v>240.65334029538661</v>
      </c>
      <c r="T17" s="22">
        <f t="shared" si="7"/>
        <v>294.73382415765383</v>
      </c>
    </row>
    <row r="18" spans="1:20" x14ac:dyDescent="0.2">
      <c r="A18" s="5">
        <v>27</v>
      </c>
      <c r="B18" s="1">
        <f t="shared" si="8"/>
        <v>1.1596934182128902</v>
      </c>
      <c r="C18" s="5">
        <f t="shared" si="9"/>
        <v>33034.052020331808</v>
      </c>
      <c r="D18" s="5">
        <f t="shared" si="0"/>
        <v>31988.008899111897</v>
      </c>
      <c r="E18" s="5">
        <f t="shared" si="1"/>
        <v>22488.008899111897</v>
      </c>
      <c r="F18" s="5">
        <f t="shared" si="2"/>
        <v>7644.0849055600338</v>
      </c>
      <c r="G18" s="5">
        <f t="shared" si="3"/>
        <v>24343.923993551864</v>
      </c>
      <c r="H18" s="22">
        <f t="shared" si="10"/>
        <v>14956.231071685886</v>
      </c>
      <c r="I18" s="5">
        <f t="shared" si="4"/>
        <v>38402.781200936595</v>
      </c>
      <c r="J18" s="26">
        <f t="shared" si="5"/>
        <v>0.14870219715409036</v>
      </c>
      <c r="L18" s="22">
        <f t="shared" si="11"/>
        <v>42668.222027775402</v>
      </c>
      <c r="M18" s="5">
        <f>scrimecost*Meta!O15</f>
        <v>9538.8359999999993</v>
      </c>
      <c r="N18" s="5">
        <f>L18-Grade14!L18</f>
        <v>418.69745066711039</v>
      </c>
      <c r="O18" s="5">
        <f>Grade14!M18-M18</f>
        <v>75.220999999999549</v>
      </c>
      <c r="P18" s="22">
        <f t="shared" si="12"/>
        <v>38.696575092566313</v>
      </c>
      <c r="Q18" s="22"/>
      <c r="R18" s="22"/>
      <c r="S18" s="22">
        <f t="shared" si="6"/>
        <v>245.44991359146317</v>
      </c>
      <c r="T18" s="22">
        <f t="shared" si="7"/>
        <v>310.93813023102007</v>
      </c>
    </row>
    <row r="19" spans="1:20" x14ac:dyDescent="0.2">
      <c r="A19" s="5">
        <v>28</v>
      </c>
      <c r="B19" s="1">
        <f t="shared" si="8"/>
        <v>1.1886857536682125</v>
      </c>
      <c r="C19" s="5">
        <f t="shared" si="9"/>
        <v>33859.903320840109</v>
      </c>
      <c r="D19" s="5">
        <f t="shared" si="0"/>
        <v>32764.3091215897</v>
      </c>
      <c r="E19" s="5">
        <f t="shared" si="1"/>
        <v>23264.3091215897</v>
      </c>
      <c r="F19" s="5">
        <f t="shared" si="2"/>
        <v>7897.5469281990372</v>
      </c>
      <c r="G19" s="5">
        <f t="shared" si="3"/>
        <v>24866.762193390663</v>
      </c>
      <c r="H19" s="22">
        <f t="shared" si="10"/>
        <v>15330.136848478036</v>
      </c>
      <c r="I19" s="5">
        <f t="shared" si="4"/>
        <v>39277.09083096002</v>
      </c>
      <c r="J19" s="26">
        <f t="shared" si="5"/>
        <v>0.15055692091231815</v>
      </c>
      <c r="L19" s="22">
        <f t="shared" si="11"/>
        <v>43734.927578469797</v>
      </c>
      <c r="M19" s="5">
        <f>scrimecost*Meta!O16</f>
        <v>9538.8359999999993</v>
      </c>
      <c r="N19" s="5">
        <f>L19-Grade14!L19</f>
        <v>429.16488693380234</v>
      </c>
      <c r="O19" s="5">
        <f>Grade14!M19-M19</f>
        <v>75.220999999999549</v>
      </c>
      <c r="P19" s="22">
        <f t="shared" si="12"/>
        <v>39.415788097612953</v>
      </c>
      <c r="Q19" s="22"/>
      <c r="R19" s="22"/>
      <c r="S19" s="22">
        <f t="shared" si="6"/>
        <v>250.36640121994657</v>
      </c>
      <c r="T19" s="22">
        <f t="shared" si="7"/>
        <v>328.06519675731852</v>
      </c>
    </row>
    <row r="20" spans="1:20" x14ac:dyDescent="0.2">
      <c r="A20" s="5">
        <v>29</v>
      </c>
      <c r="B20" s="1">
        <f t="shared" si="8"/>
        <v>1.2184028975099177</v>
      </c>
      <c r="C20" s="5">
        <f t="shared" si="9"/>
        <v>34706.400903861104</v>
      </c>
      <c r="D20" s="5">
        <f t="shared" si="0"/>
        <v>33560.016849629435</v>
      </c>
      <c r="E20" s="5">
        <f t="shared" si="1"/>
        <v>24060.016849629435</v>
      </c>
      <c r="F20" s="5">
        <f t="shared" si="2"/>
        <v>8157.3455014040101</v>
      </c>
      <c r="G20" s="5">
        <f t="shared" si="3"/>
        <v>25402.671348225427</v>
      </c>
      <c r="H20" s="22">
        <f t="shared" si="10"/>
        <v>15713.390269689984</v>
      </c>
      <c r="I20" s="5">
        <f t="shared" si="4"/>
        <v>40173.25820173401</v>
      </c>
      <c r="J20" s="26">
        <f t="shared" si="5"/>
        <v>0.15236640750571107</v>
      </c>
      <c r="L20" s="22">
        <f t="shared" si="11"/>
        <v>44828.300767931534</v>
      </c>
      <c r="M20" s="5">
        <f>scrimecost*Meta!O17</f>
        <v>9538.8359999999993</v>
      </c>
      <c r="N20" s="5">
        <f>L20-Grade14!L20</f>
        <v>439.89400910714903</v>
      </c>
      <c r="O20" s="5">
        <f>Grade14!M20-M20</f>
        <v>75.220999999999549</v>
      </c>
      <c r="P20" s="22">
        <f t="shared" si="12"/>
        <v>40.152981427785747</v>
      </c>
      <c r="Q20" s="22"/>
      <c r="R20" s="22"/>
      <c r="S20" s="22">
        <f t="shared" si="6"/>
        <v>255.40580103913663</v>
      </c>
      <c r="T20" s="22">
        <f t="shared" si="7"/>
        <v>346.16876975973554</v>
      </c>
    </row>
    <row r="21" spans="1:20" x14ac:dyDescent="0.2">
      <c r="A21" s="5">
        <v>30</v>
      </c>
      <c r="B21" s="1">
        <f t="shared" si="8"/>
        <v>1.2488629699476654</v>
      </c>
      <c r="C21" s="5">
        <f t="shared" si="9"/>
        <v>35574.060926457627</v>
      </c>
      <c r="D21" s="5">
        <f t="shared" si="0"/>
        <v>34375.617270870171</v>
      </c>
      <c r="E21" s="5">
        <f t="shared" si="1"/>
        <v>24875.617270870171</v>
      </c>
      <c r="F21" s="5">
        <f t="shared" si="2"/>
        <v>8423.6390389391108</v>
      </c>
      <c r="G21" s="5">
        <f t="shared" si="3"/>
        <v>25951.978231931062</v>
      </c>
      <c r="H21" s="22">
        <f t="shared" si="10"/>
        <v>16106.22502643223</v>
      </c>
      <c r="I21" s="5">
        <f t="shared" si="4"/>
        <v>41091.829756777355</v>
      </c>
      <c r="J21" s="26">
        <f t="shared" si="5"/>
        <v>0.15413176027975301</v>
      </c>
      <c r="L21" s="22">
        <f t="shared" si="11"/>
        <v>45949.008287129807</v>
      </c>
      <c r="M21" s="5">
        <f>scrimecost*Meta!O18</f>
        <v>7859.1</v>
      </c>
      <c r="N21" s="5">
        <f>L21-Grade14!L21</f>
        <v>450.89135933480429</v>
      </c>
      <c r="O21" s="5">
        <f>Grade14!M21-M21</f>
        <v>61.974999999999454</v>
      </c>
      <c r="P21" s="22">
        <f t="shared" si="12"/>
        <v>40.908604591212864</v>
      </c>
      <c r="Q21" s="22"/>
      <c r="R21" s="22"/>
      <c r="S21" s="22">
        <f t="shared" si="6"/>
        <v>252.98122785379564</v>
      </c>
      <c r="T21" s="22">
        <f t="shared" si="7"/>
        <v>354.66508604053149</v>
      </c>
    </row>
    <row r="22" spans="1:20" x14ac:dyDescent="0.2">
      <c r="A22" s="5">
        <v>31</v>
      </c>
      <c r="B22" s="1">
        <f t="shared" si="8"/>
        <v>1.2800845441963571</v>
      </c>
      <c r="C22" s="5">
        <f t="shared" si="9"/>
        <v>36463.412449619071</v>
      </c>
      <c r="D22" s="5">
        <f t="shared" si="0"/>
        <v>35211.607702641923</v>
      </c>
      <c r="E22" s="5">
        <f t="shared" si="1"/>
        <v>25711.607702641923</v>
      </c>
      <c r="F22" s="5">
        <f t="shared" si="2"/>
        <v>8696.5899149125871</v>
      </c>
      <c r="G22" s="5">
        <f t="shared" si="3"/>
        <v>26515.017787729335</v>
      </c>
      <c r="H22" s="22">
        <f t="shared" si="10"/>
        <v>16508.880652093037</v>
      </c>
      <c r="I22" s="5">
        <f t="shared" si="4"/>
        <v>42033.365600696794</v>
      </c>
      <c r="J22" s="26">
        <f t="shared" si="5"/>
        <v>0.15585405566906213</v>
      </c>
      <c r="L22" s="22">
        <f t="shared" si="11"/>
        <v>47097.733494308064</v>
      </c>
      <c r="M22" s="5">
        <f>scrimecost*Meta!O19</f>
        <v>7859.1</v>
      </c>
      <c r="N22" s="5">
        <f>L22-Grade14!L22</f>
        <v>462.16364331819204</v>
      </c>
      <c r="O22" s="5">
        <f>Grade14!M22-M22</f>
        <v>61.974999999999454</v>
      </c>
      <c r="P22" s="22">
        <f t="shared" si="12"/>
        <v>41.683118333725666</v>
      </c>
      <c r="Q22" s="22"/>
      <c r="R22" s="22"/>
      <c r="S22" s="22">
        <f t="shared" si="6"/>
        <v>258.27574728883883</v>
      </c>
      <c r="T22" s="22">
        <f t="shared" si="7"/>
        <v>374.53014832907616</v>
      </c>
    </row>
    <row r="23" spans="1:20" x14ac:dyDescent="0.2">
      <c r="A23" s="5">
        <v>32</v>
      </c>
      <c r="B23" s="1">
        <f t="shared" si="8"/>
        <v>1.312086657801266</v>
      </c>
      <c r="C23" s="5">
        <f t="shared" si="9"/>
        <v>37374.997760859551</v>
      </c>
      <c r="D23" s="5">
        <f t="shared" si="0"/>
        <v>36068.497895207976</v>
      </c>
      <c r="E23" s="5">
        <f t="shared" si="1"/>
        <v>26568.497895207976</v>
      </c>
      <c r="F23" s="5">
        <f t="shared" si="2"/>
        <v>8976.3645627854039</v>
      </c>
      <c r="G23" s="5">
        <f t="shared" si="3"/>
        <v>27092.133332422571</v>
      </c>
      <c r="H23" s="22">
        <f t="shared" si="10"/>
        <v>16921.602668395361</v>
      </c>
      <c r="I23" s="5">
        <f t="shared" si="4"/>
        <v>42998.439840714207</v>
      </c>
      <c r="J23" s="26">
        <f t="shared" si="5"/>
        <v>0.15753434385375403</v>
      </c>
      <c r="L23" s="22">
        <f t="shared" si="11"/>
        <v>48275.176831665754</v>
      </c>
      <c r="M23" s="5">
        <f>scrimecost*Meta!O20</f>
        <v>7859.1</v>
      </c>
      <c r="N23" s="5">
        <f>L23-Grade14!L23</f>
        <v>473.71773440113611</v>
      </c>
      <c r="O23" s="5">
        <f>Grade14!M23-M23</f>
        <v>61.974999999999454</v>
      </c>
      <c r="P23" s="22">
        <f t="shared" si="12"/>
        <v>42.476994919801278</v>
      </c>
      <c r="Q23" s="22"/>
      <c r="R23" s="22"/>
      <c r="S23" s="22">
        <f t="shared" si="6"/>
        <v>263.70262970974591</v>
      </c>
      <c r="T23" s="22">
        <f t="shared" si="7"/>
        <v>395.54020169882824</v>
      </c>
    </row>
    <row r="24" spans="1:20" x14ac:dyDescent="0.2">
      <c r="A24" s="5">
        <v>33</v>
      </c>
      <c r="B24" s="1">
        <f t="shared" si="8"/>
        <v>1.3448888242462975</v>
      </c>
      <c r="C24" s="5">
        <f t="shared" si="9"/>
        <v>38309.372704881025</v>
      </c>
      <c r="D24" s="5">
        <f t="shared" si="0"/>
        <v>36946.810342588164</v>
      </c>
      <c r="E24" s="5">
        <f t="shared" si="1"/>
        <v>27446.810342588164</v>
      </c>
      <c r="F24" s="5">
        <f t="shared" si="2"/>
        <v>9263.1335768550343</v>
      </c>
      <c r="G24" s="5">
        <f t="shared" si="3"/>
        <v>27683.676765733129</v>
      </c>
      <c r="H24" s="22">
        <f t="shared" si="10"/>
        <v>17344.642735105244</v>
      </c>
      <c r="I24" s="5">
        <f t="shared" si="4"/>
        <v>43987.640936732059</v>
      </c>
      <c r="J24" s="26">
        <f t="shared" si="5"/>
        <v>0.15917364939979486</v>
      </c>
      <c r="L24" s="22">
        <f t="shared" si="11"/>
        <v>49482.056252457398</v>
      </c>
      <c r="M24" s="5">
        <f>scrimecost*Meta!O21</f>
        <v>7859.1</v>
      </c>
      <c r="N24" s="5">
        <f>L24-Grade14!L24</f>
        <v>485.56067776116834</v>
      </c>
      <c r="O24" s="5">
        <f>Grade14!M24-M24</f>
        <v>61.974999999999454</v>
      </c>
      <c r="P24" s="22">
        <f t="shared" si="12"/>
        <v>43.290718420528776</v>
      </c>
      <c r="Q24" s="22"/>
      <c r="R24" s="22"/>
      <c r="S24" s="22">
        <f t="shared" si="6"/>
        <v>269.2651841911819</v>
      </c>
      <c r="T24" s="22">
        <f t="shared" si="7"/>
        <v>417.76243627276642</v>
      </c>
    </row>
    <row r="25" spans="1:20" x14ac:dyDescent="0.2">
      <c r="A25" s="5">
        <v>34</v>
      </c>
      <c r="B25" s="1">
        <f t="shared" si="8"/>
        <v>1.3785110448524549</v>
      </c>
      <c r="C25" s="5">
        <f t="shared" si="9"/>
        <v>39267.107022503056</v>
      </c>
      <c r="D25" s="5">
        <f t="shared" si="0"/>
        <v>37847.080601152869</v>
      </c>
      <c r="E25" s="5">
        <f t="shared" si="1"/>
        <v>28347.080601152869</v>
      </c>
      <c r="F25" s="5">
        <f t="shared" si="2"/>
        <v>9557.0718162764115</v>
      </c>
      <c r="G25" s="5">
        <f t="shared" si="3"/>
        <v>28290.00878487646</v>
      </c>
      <c r="H25" s="22">
        <f t="shared" si="10"/>
        <v>17778.258803482877</v>
      </c>
      <c r="I25" s="5">
        <f t="shared" si="4"/>
        <v>45001.572060150364</v>
      </c>
      <c r="J25" s="26">
        <f t="shared" si="5"/>
        <v>0.16077297188373713</v>
      </c>
      <c r="L25" s="22">
        <f t="shared" si="11"/>
        <v>50719.107658768829</v>
      </c>
      <c r="M25" s="5">
        <f>scrimecost*Meta!O22</f>
        <v>7859.1</v>
      </c>
      <c r="N25" s="5">
        <f>L25-Grade14!L25</f>
        <v>497.699694705203</v>
      </c>
      <c r="O25" s="5">
        <f>Grade14!M25-M25</f>
        <v>61.974999999999454</v>
      </c>
      <c r="P25" s="22">
        <f t="shared" si="12"/>
        <v>44.124785008774467</v>
      </c>
      <c r="Q25" s="22"/>
      <c r="R25" s="22"/>
      <c r="S25" s="22">
        <f t="shared" si="6"/>
        <v>274.96680253465451</v>
      </c>
      <c r="T25" s="22">
        <f t="shared" si="7"/>
        <v>441.26802790169336</v>
      </c>
    </row>
    <row r="26" spans="1:20" x14ac:dyDescent="0.2">
      <c r="A26" s="5">
        <v>35</v>
      </c>
      <c r="B26" s="1">
        <f t="shared" si="8"/>
        <v>1.4129738209737661</v>
      </c>
      <c r="C26" s="5">
        <f t="shared" si="9"/>
        <v>40248.784698065625</v>
      </c>
      <c r="D26" s="5">
        <f t="shared" si="0"/>
        <v>38769.857616181682</v>
      </c>
      <c r="E26" s="5">
        <f t="shared" si="1"/>
        <v>29269.857616181682</v>
      </c>
      <c r="F26" s="5">
        <f t="shared" si="2"/>
        <v>9858.3585116833201</v>
      </c>
      <c r="G26" s="5">
        <f t="shared" si="3"/>
        <v>28911.499104498362</v>
      </c>
      <c r="H26" s="22">
        <f t="shared" si="10"/>
        <v>18222.715273569946</v>
      </c>
      <c r="I26" s="5">
        <f t="shared" si="4"/>
        <v>46040.851461654107</v>
      </c>
      <c r="J26" s="26">
        <f t="shared" si="5"/>
        <v>0.16233328650221746</v>
      </c>
      <c r="L26" s="22">
        <f t="shared" si="11"/>
        <v>51987.085350238049</v>
      </c>
      <c r="M26" s="5">
        <f>scrimecost*Meta!O23</f>
        <v>5940.0720000000001</v>
      </c>
      <c r="N26" s="5">
        <f>L26-Grade14!L26</f>
        <v>510.14218707281543</v>
      </c>
      <c r="O26" s="5">
        <f>Grade14!M26-M26</f>
        <v>46.841999999999643</v>
      </c>
      <c r="P26" s="22">
        <f t="shared" si="12"/>
        <v>44.979703261726314</v>
      </c>
      <c r="Q26" s="22"/>
      <c r="R26" s="22"/>
      <c r="S26" s="22">
        <f t="shared" si="6"/>
        <v>272.13975233670408</v>
      </c>
      <c r="T26" s="22">
        <f t="shared" si="7"/>
        <v>451.73859591188113</v>
      </c>
    </row>
    <row r="27" spans="1:20" x14ac:dyDescent="0.2">
      <c r="A27" s="5">
        <v>36</v>
      </c>
      <c r="B27" s="1">
        <f t="shared" si="8"/>
        <v>1.4482981664981105</v>
      </c>
      <c r="C27" s="5">
        <f t="shared" si="9"/>
        <v>41255.004315517268</v>
      </c>
      <c r="D27" s="5">
        <f t="shared" si="0"/>
        <v>39715.704056586226</v>
      </c>
      <c r="E27" s="5">
        <f t="shared" si="1"/>
        <v>30215.704056586226</v>
      </c>
      <c r="F27" s="5">
        <f t="shared" si="2"/>
        <v>10167.177374475403</v>
      </c>
      <c r="G27" s="5">
        <f t="shared" si="3"/>
        <v>29548.526682110823</v>
      </c>
      <c r="H27" s="22">
        <f t="shared" si="10"/>
        <v>18678.283155409194</v>
      </c>
      <c r="I27" s="5">
        <f t="shared" si="4"/>
        <v>47106.112848195466</v>
      </c>
      <c r="J27" s="26">
        <f t="shared" si="5"/>
        <v>0.16385554466658844</v>
      </c>
      <c r="L27" s="22">
        <f t="shared" si="11"/>
        <v>53286.762483994011</v>
      </c>
      <c r="M27" s="5">
        <f>scrimecost*Meta!O24</f>
        <v>5940.0720000000001</v>
      </c>
      <c r="N27" s="5">
        <f>L27-Grade14!L27</f>
        <v>522.89574174965674</v>
      </c>
      <c r="O27" s="5">
        <f>Grade14!M27-M27</f>
        <v>46.841999999999643</v>
      </c>
      <c r="P27" s="22">
        <f t="shared" si="12"/>
        <v>45.855994471001949</v>
      </c>
      <c r="Q27" s="22"/>
      <c r="R27" s="22"/>
      <c r="S27" s="22">
        <f t="shared" si="6"/>
        <v>278.13001510882145</v>
      </c>
      <c r="T27" s="22">
        <f t="shared" si="7"/>
        <v>477.54696136533011</v>
      </c>
    </row>
    <row r="28" spans="1:20" x14ac:dyDescent="0.2">
      <c r="A28" s="5">
        <v>37</v>
      </c>
      <c r="B28" s="1">
        <f t="shared" si="8"/>
        <v>1.4845056206605631</v>
      </c>
      <c r="C28" s="5">
        <f t="shared" si="9"/>
        <v>42286.379423405204</v>
      </c>
      <c r="D28" s="5">
        <f t="shared" si="0"/>
        <v>40685.196658000888</v>
      </c>
      <c r="E28" s="5">
        <f t="shared" si="1"/>
        <v>31185.196658000888</v>
      </c>
      <c r="F28" s="5">
        <f t="shared" si="2"/>
        <v>10483.71670883729</v>
      </c>
      <c r="G28" s="5">
        <f t="shared" si="3"/>
        <v>30201.4799491636</v>
      </c>
      <c r="H28" s="22">
        <f t="shared" si="10"/>
        <v>19145.240234294422</v>
      </c>
      <c r="I28" s="5">
        <f t="shared" si="4"/>
        <v>48198.005769400355</v>
      </c>
      <c r="J28" s="26">
        <f t="shared" si="5"/>
        <v>0.16534067458304796</v>
      </c>
      <c r="L28" s="22">
        <f t="shared" si="11"/>
        <v>54618.931546093852</v>
      </c>
      <c r="M28" s="5">
        <f>scrimecost*Meta!O25</f>
        <v>5940.0720000000001</v>
      </c>
      <c r="N28" s="5">
        <f>L28-Grade14!L28</f>
        <v>535.96813529339852</v>
      </c>
      <c r="O28" s="5">
        <f>Grade14!M28-M28</f>
        <v>46.841999999999643</v>
      </c>
      <c r="P28" s="22">
        <f t="shared" si="12"/>
        <v>46.754192960509471</v>
      </c>
      <c r="Q28" s="22"/>
      <c r="R28" s="22"/>
      <c r="S28" s="22">
        <f t="shared" si="6"/>
        <v>284.27003445023286</v>
      </c>
      <c r="T28" s="22">
        <f t="shared" si="7"/>
        <v>504.8615809152239</v>
      </c>
    </row>
    <row r="29" spans="1:20" x14ac:dyDescent="0.2">
      <c r="A29" s="5">
        <v>38</v>
      </c>
      <c r="B29" s="1">
        <f t="shared" si="8"/>
        <v>1.521618261177077</v>
      </c>
      <c r="C29" s="5">
        <f t="shared" si="9"/>
        <v>43343.538908990326</v>
      </c>
      <c r="D29" s="5">
        <f t="shared" si="0"/>
        <v>41678.926574450903</v>
      </c>
      <c r="E29" s="5">
        <f t="shared" si="1"/>
        <v>32178.926574450903</v>
      </c>
      <c r="F29" s="5">
        <f t="shared" si="2"/>
        <v>10808.16952655822</v>
      </c>
      <c r="G29" s="5">
        <f t="shared" si="3"/>
        <v>30870.757047892683</v>
      </c>
      <c r="H29" s="22">
        <f t="shared" si="10"/>
        <v>19623.871240151781</v>
      </c>
      <c r="I29" s="5">
        <f t="shared" si="4"/>
        <v>49317.196013635359</v>
      </c>
      <c r="J29" s="26">
        <f t="shared" si="5"/>
        <v>0.16678958181861825</v>
      </c>
      <c r="L29" s="22">
        <f t="shared" si="11"/>
        <v>55984.404834746187</v>
      </c>
      <c r="M29" s="5">
        <f>scrimecost*Meta!O26</f>
        <v>5940.0720000000001</v>
      </c>
      <c r="N29" s="5">
        <f>L29-Grade14!L29</f>
        <v>549.36733867571456</v>
      </c>
      <c r="O29" s="5">
        <f>Grade14!M29-M29</f>
        <v>46.841999999999643</v>
      </c>
      <c r="P29" s="22">
        <f t="shared" si="12"/>
        <v>47.674846412254681</v>
      </c>
      <c r="Q29" s="22"/>
      <c r="R29" s="22"/>
      <c r="S29" s="22">
        <f t="shared" si="6"/>
        <v>290.56355427517121</v>
      </c>
      <c r="T29" s="22">
        <f t="shared" si="7"/>
        <v>533.77151565049792</v>
      </c>
    </row>
    <row r="30" spans="1:20" x14ac:dyDescent="0.2">
      <c r="A30" s="5">
        <v>39</v>
      </c>
      <c r="B30" s="1">
        <f t="shared" si="8"/>
        <v>1.559658717706504</v>
      </c>
      <c r="C30" s="5">
        <f t="shared" si="9"/>
        <v>44427.127381715087</v>
      </c>
      <c r="D30" s="5">
        <f t="shared" si="0"/>
        <v>42697.499738812177</v>
      </c>
      <c r="E30" s="5">
        <f t="shared" si="1"/>
        <v>33197.499738812177</v>
      </c>
      <c r="F30" s="5">
        <f t="shared" si="2"/>
        <v>11140.733664722176</v>
      </c>
      <c r="G30" s="5">
        <f t="shared" si="3"/>
        <v>31556.766074090003</v>
      </c>
      <c r="H30" s="22">
        <f t="shared" si="10"/>
        <v>20114.468021155579</v>
      </c>
      <c r="I30" s="5">
        <f t="shared" si="4"/>
        <v>50464.366013976251</v>
      </c>
      <c r="J30" s="26">
        <f t="shared" si="5"/>
        <v>0.16820314985332097</v>
      </c>
      <c r="L30" s="22">
        <f t="shared" si="11"/>
        <v>57384.014955614854</v>
      </c>
      <c r="M30" s="5">
        <f>scrimecost*Meta!O27</f>
        <v>5940.0720000000001</v>
      </c>
      <c r="N30" s="5">
        <f>L30-Grade14!L30</f>
        <v>563.10152214262052</v>
      </c>
      <c r="O30" s="5">
        <f>Grade14!M30-M30</f>
        <v>46.841999999999643</v>
      </c>
      <c r="P30" s="22">
        <f t="shared" si="12"/>
        <v>48.618516200293534</v>
      </c>
      <c r="Q30" s="22"/>
      <c r="R30" s="22"/>
      <c r="S30" s="22">
        <f t="shared" si="6"/>
        <v>297.01441209574688</v>
      </c>
      <c r="T30" s="22">
        <f t="shared" si="7"/>
        <v>564.37113345409375</v>
      </c>
    </row>
    <row r="31" spans="1:20" x14ac:dyDescent="0.2">
      <c r="A31" s="5">
        <v>40</v>
      </c>
      <c r="B31" s="1">
        <f t="shared" si="8"/>
        <v>1.5986501856491666</v>
      </c>
      <c r="C31" s="5">
        <f t="shared" si="9"/>
        <v>45537.805566257965</v>
      </c>
      <c r="D31" s="5">
        <f t="shared" si="0"/>
        <v>43741.537232282484</v>
      </c>
      <c r="E31" s="5">
        <f t="shared" si="1"/>
        <v>34241.537232282484</v>
      </c>
      <c r="F31" s="5">
        <f t="shared" si="2"/>
        <v>11481.611906340231</v>
      </c>
      <c r="G31" s="5">
        <f t="shared" si="3"/>
        <v>32259.925325942255</v>
      </c>
      <c r="H31" s="22">
        <f t="shared" si="10"/>
        <v>20617.329721684469</v>
      </c>
      <c r="I31" s="5">
        <f t="shared" si="4"/>
        <v>51640.215264325656</v>
      </c>
      <c r="J31" s="26">
        <f t="shared" si="5"/>
        <v>0.16958224061888455</v>
      </c>
      <c r="L31" s="22">
        <f t="shared" si="11"/>
        <v>58818.615329505221</v>
      </c>
      <c r="M31" s="5">
        <f>scrimecost*Meta!O28</f>
        <v>5306.652</v>
      </c>
      <c r="N31" s="5">
        <f>L31-Grade14!L31</f>
        <v>577.17906019619113</v>
      </c>
      <c r="O31" s="5">
        <f>Grade14!M31-M31</f>
        <v>41.846999999999753</v>
      </c>
      <c r="P31" s="22">
        <f t="shared" si="12"/>
        <v>49.585777733033339</v>
      </c>
      <c r="Q31" s="22"/>
      <c r="R31" s="22"/>
      <c r="S31" s="22">
        <f t="shared" si="6"/>
        <v>300.76440636183349</v>
      </c>
      <c r="T31" s="22">
        <f t="shared" si="7"/>
        <v>591.13506564462523</v>
      </c>
    </row>
    <row r="32" spans="1:20" x14ac:dyDescent="0.2">
      <c r="A32" s="5">
        <v>41</v>
      </c>
      <c r="B32" s="1">
        <f t="shared" si="8"/>
        <v>1.6386164402903955</v>
      </c>
      <c r="C32" s="5">
        <f t="shared" si="9"/>
        <v>46676.250705414408</v>
      </c>
      <c r="D32" s="5">
        <f t="shared" si="0"/>
        <v>44811.67566308954</v>
      </c>
      <c r="E32" s="5">
        <f t="shared" si="1"/>
        <v>35311.67566308954</v>
      </c>
      <c r="F32" s="5">
        <f t="shared" si="2"/>
        <v>11912.179670307689</v>
      </c>
      <c r="G32" s="5">
        <f t="shared" si="3"/>
        <v>32899.495992781849</v>
      </c>
      <c r="H32" s="22">
        <f t="shared" si="10"/>
        <v>21132.762964726579</v>
      </c>
      <c r="I32" s="5">
        <f t="shared" si="4"/>
        <v>52764.29317962483</v>
      </c>
      <c r="J32" s="26">
        <f t="shared" si="5"/>
        <v>0.17220110205566677</v>
      </c>
      <c r="L32" s="22">
        <f t="shared" si="11"/>
        <v>60289.080712742842</v>
      </c>
      <c r="M32" s="5">
        <f>scrimecost*Meta!O29</f>
        <v>5306.652</v>
      </c>
      <c r="N32" s="5">
        <f>L32-Grade14!L32</f>
        <v>591.60853670109645</v>
      </c>
      <c r="O32" s="5">
        <f>Grade14!M32-M32</f>
        <v>41.846999999999753</v>
      </c>
      <c r="P32" s="22">
        <f t="shared" si="12"/>
        <v>50.807538421972133</v>
      </c>
      <c r="Q32" s="22"/>
      <c r="R32" s="22"/>
      <c r="S32" s="22">
        <f t="shared" si="6"/>
        <v>307.67381085461579</v>
      </c>
      <c r="T32" s="22">
        <f t="shared" si="7"/>
        <v>625.49497943778897</v>
      </c>
    </row>
    <row r="33" spans="1:20" x14ac:dyDescent="0.2">
      <c r="A33" s="5">
        <v>42</v>
      </c>
      <c r="B33" s="1">
        <f t="shared" si="8"/>
        <v>1.6795818512976552</v>
      </c>
      <c r="C33" s="5">
        <f t="shared" si="9"/>
        <v>47843.156973049765</v>
      </c>
      <c r="D33" s="5">
        <f t="shared" si="0"/>
        <v>45908.567554666777</v>
      </c>
      <c r="E33" s="5">
        <f t="shared" si="1"/>
        <v>36408.567554666777</v>
      </c>
      <c r="F33" s="5">
        <f t="shared" si="2"/>
        <v>12380.00406206538</v>
      </c>
      <c r="G33" s="5">
        <f t="shared" si="3"/>
        <v>33528.563492601395</v>
      </c>
      <c r="H33" s="22">
        <f t="shared" si="10"/>
        <v>21661.082038844739</v>
      </c>
      <c r="I33" s="5">
        <f t="shared" si="4"/>
        <v>53889.980609115446</v>
      </c>
      <c r="J33" s="26">
        <f t="shared" si="5"/>
        <v>0.17516158121476696</v>
      </c>
      <c r="L33" s="22">
        <f t="shared" si="11"/>
        <v>61796.307730561406</v>
      </c>
      <c r="M33" s="5">
        <f>scrimecost*Meta!O30</f>
        <v>5306.652</v>
      </c>
      <c r="N33" s="5">
        <f>L33-Grade14!L33</f>
        <v>606.39875011861295</v>
      </c>
      <c r="O33" s="5">
        <f>Grade14!M33-M33</f>
        <v>41.846999999999753</v>
      </c>
      <c r="P33" s="22">
        <f t="shared" si="12"/>
        <v>52.135016925958439</v>
      </c>
      <c r="Q33" s="22"/>
      <c r="R33" s="22"/>
      <c r="S33" s="22">
        <f t="shared" si="6"/>
        <v>314.7990250458659</v>
      </c>
      <c r="T33" s="22">
        <f t="shared" si="7"/>
        <v>661.97210689207259</v>
      </c>
    </row>
    <row r="34" spans="1:20" x14ac:dyDescent="0.2">
      <c r="A34" s="5">
        <v>43</v>
      </c>
      <c r="B34" s="1">
        <f t="shared" si="8"/>
        <v>1.7215713975800966</v>
      </c>
      <c r="C34" s="5">
        <f t="shared" si="9"/>
        <v>49039.235897376006</v>
      </c>
      <c r="D34" s="5">
        <f t="shared" si="0"/>
        <v>47032.881743533442</v>
      </c>
      <c r="E34" s="5">
        <f t="shared" si="1"/>
        <v>37532.881743533442</v>
      </c>
      <c r="F34" s="5">
        <f t="shared" si="2"/>
        <v>12859.524063617015</v>
      </c>
      <c r="G34" s="5">
        <f t="shared" si="3"/>
        <v>34173.357679916429</v>
      </c>
      <c r="H34" s="22">
        <f t="shared" si="10"/>
        <v>22202.609089815858</v>
      </c>
      <c r="I34" s="5">
        <f t="shared" si="4"/>
        <v>55043.810224343339</v>
      </c>
      <c r="J34" s="26">
        <f t="shared" si="5"/>
        <v>0.17804985356510855</v>
      </c>
      <c r="L34" s="22">
        <f t="shared" si="11"/>
        <v>63341.215423825444</v>
      </c>
      <c r="M34" s="5">
        <f>scrimecost*Meta!O31</f>
        <v>5306.652</v>
      </c>
      <c r="N34" s="5">
        <f>L34-Grade14!L34</f>
        <v>621.55871887158719</v>
      </c>
      <c r="O34" s="5">
        <f>Grade14!M34-M34</f>
        <v>41.846999999999753</v>
      </c>
      <c r="P34" s="22">
        <f t="shared" si="12"/>
        <v>53.495682392544396</v>
      </c>
      <c r="Q34" s="22"/>
      <c r="R34" s="22"/>
      <c r="S34" s="22">
        <f t="shared" si="6"/>
        <v>322.10236959190576</v>
      </c>
      <c r="T34" s="22">
        <f t="shared" si="7"/>
        <v>700.60502114040662</v>
      </c>
    </row>
    <row r="35" spans="1:20" x14ac:dyDescent="0.2">
      <c r="A35" s="5">
        <v>44</v>
      </c>
      <c r="B35" s="1">
        <f t="shared" si="8"/>
        <v>1.7646106825195991</v>
      </c>
      <c r="C35" s="5">
        <f t="shared" si="9"/>
        <v>50265.216794810411</v>
      </c>
      <c r="D35" s="5">
        <f t="shared" si="0"/>
        <v>48185.303787121782</v>
      </c>
      <c r="E35" s="5">
        <f t="shared" si="1"/>
        <v>38685.303787121782</v>
      </c>
      <c r="F35" s="5">
        <f t="shared" si="2"/>
        <v>13351.032065207439</v>
      </c>
      <c r="G35" s="5">
        <f t="shared" si="3"/>
        <v>34834.271721914345</v>
      </c>
      <c r="H35" s="22">
        <f t="shared" si="10"/>
        <v>22757.674317061254</v>
      </c>
      <c r="I35" s="5">
        <f t="shared" si="4"/>
        <v>56226.485579951921</v>
      </c>
      <c r="J35" s="26">
        <f t="shared" si="5"/>
        <v>0.18086768024836866</v>
      </c>
      <c r="L35" s="22">
        <f t="shared" si="11"/>
        <v>64924.745809421082</v>
      </c>
      <c r="M35" s="5">
        <f>scrimecost*Meta!O32</f>
        <v>5306.652</v>
      </c>
      <c r="N35" s="5">
        <f>L35-Grade14!L35</f>
        <v>637.09768684337905</v>
      </c>
      <c r="O35" s="5">
        <f>Grade14!M35-M35</f>
        <v>41.846999999999753</v>
      </c>
      <c r="P35" s="22">
        <f t="shared" si="12"/>
        <v>54.890364495795005</v>
      </c>
      <c r="Q35" s="22"/>
      <c r="R35" s="22"/>
      <c r="S35" s="22">
        <f t="shared" si="6"/>
        <v>329.58829775159376</v>
      </c>
      <c r="T35" s="22">
        <f t="shared" si="7"/>
        <v>741.52214134166661</v>
      </c>
    </row>
    <row r="36" spans="1:20" x14ac:dyDescent="0.2">
      <c r="A36" s="5">
        <v>45</v>
      </c>
      <c r="B36" s="1">
        <f t="shared" si="8"/>
        <v>1.8087259495825889</v>
      </c>
      <c r="C36" s="5">
        <f t="shared" si="9"/>
        <v>51521.847214680667</v>
      </c>
      <c r="D36" s="5">
        <f t="shared" si="0"/>
        <v>49366.536381799822</v>
      </c>
      <c r="E36" s="5">
        <f t="shared" si="1"/>
        <v>39866.536381799822</v>
      </c>
      <c r="F36" s="5">
        <f t="shared" si="2"/>
        <v>13854.827766837625</v>
      </c>
      <c r="G36" s="5">
        <f t="shared" si="3"/>
        <v>35511.708614962197</v>
      </c>
      <c r="H36" s="22">
        <f t="shared" si="10"/>
        <v>23326.616174987783</v>
      </c>
      <c r="I36" s="5">
        <f t="shared" si="4"/>
        <v>57438.727819450709</v>
      </c>
      <c r="J36" s="26">
        <f t="shared" si="5"/>
        <v>0.18361677945154925</v>
      </c>
      <c r="L36" s="22">
        <f t="shared" si="11"/>
        <v>66547.864454656607</v>
      </c>
      <c r="M36" s="5">
        <f>scrimecost*Meta!O33</f>
        <v>4499.6279999999997</v>
      </c>
      <c r="N36" s="5">
        <f>L36-Grade14!L36</f>
        <v>653.02512901446607</v>
      </c>
      <c r="O36" s="5">
        <f>Grade14!M36-M36</f>
        <v>35.483000000000175</v>
      </c>
      <c r="P36" s="22">
        <f t="shared" si="12"/>
        <v>56.319913651626884</v>
      </c>
      <c r="Q36" s="22"/>
      <c r="R36" s="22"/>
      <c r="S36" s="22">
        <f t="shared" si="6"/>
        <v>333.6148021152743</v>
      </c>
      <c r="T36" s="22">
        <f t="shared" si="7"/>
        <v>776.37343287024601</v>
      </c>
    </row>
    <row r="37" spans="1:20" x14ac:dyDescent="0.2">
      <c r="A37" s="5">
        <v>46</v>
      </c>
      <c r="B37" s="1">
        <f t="shared" ref="B37:B56" si="13">(1+experiencepremium)^(A37-startage)</f>
        <v>1.8539440983221533</v>
      </c>
      <c r="C37" s="5">
        <f t="shared" ref="C37:C56" si="14">pretaxincome*B37/expnorm</f>
        <v>52809.893395047671</v>
      </c>
      <c r="D37" s="5">
        <f t="shared" ref="D37:D56" si="15">IF(A37&lt;startage,1,0)*(C37*(1-initialunempprob))+IF(A37=startage,1,0)*(C37*(1-unempprob))+IF(A37&gt;startage,1,0)*(C37*(1-unempprob)+unempprob*300*52)</f>
        <v>50577.299791344805</v>
      </c>
      <c r="E37" s="5">
        <f t="shared" si="1"/>
        <v>41077.299791344805</v>
      </c>
      <c r="F37" s="5">
        <f t="shared" si="2"/>
        <v>14371.218361008559</v>
      </c>
      <c r="G37" s="5">
        <f t="shared" si="3"/>
        <v>36206.081430336242</v>
      </c>
      <c r="H37" s="22">
        <f t="shared" ref="H37:H56" si="16">benefits*B37/expnorm</f>
        <v>23909.781579362472</v>
      </c>
      <c r="I37" s="5">
        <f t="shared" ref="I37:I56" si="17">G37+IF(A37&lt;startage,1,0)*(H37*(1-initialunempprob))+IF(A37&gt;=startage,1,0)*(H37*(1-unempprob))</f>
        <v>58681.276114936962</v>
      </c>
      <c r="J37" s="26">
        <f t="shared" si="5"/>
        <v>0.18629882745465229</v>
      </c>
      <c r="L37" s="22">
        <f t="shared" ref="L37:L56" si="18">(sincome+sbenefits)*(1-sunemp)*B37/expnorm</f>
        <v>68211.561066023001</v>
      </c>
      <c r="M37" s="5">
        <f>scrimecost*Meta!O34</f>
        <v>4499.6279999999997</v>
      </c>
      <c r="N37" s="5">
        <f>L37-Grade14!L37</f>
        <v>669.35075723980844</v>
      </c>
      <c r="O37" s="5">
        <f>Grade14!M37-M37</f>
        <v>35.483000000000175</v>
      </c>
      <c r="P37" s="22">
        <f t="shared" si="12"/>
        <v>57.785201536354542</v>
      </c>
      <c r="Q37" s="22"/>
      <c r="R37" s="22"/>
      <c r="S37" s="22">
        <f t="shared" si="6"/>
        <v>341.47970538803725</v>
      </c>
      <c r="T37" s="22">
        <f t="shared" si="7"/>
        <v>821.98381499736718</v>
      </c>
    </row>
    <row r="38" spans="1:20" x14ac:dyDescent="0.2">
      <c r="A38" s="5">
        <v>47</v>
      </c>
      <c r="B38" s="1">
        <f t="shared" si="13"/>
        <v>1.9002927007802071</v>
      </c>
      <c r="C38" s="5">
        <f t="shared" si="14"/>
        <v>54130.140729923856</v>
      </c>
      <c r="D38" s="5">
        <f t="shared" si="15"/>
        <v>51818.332286128425</v>
      </c>
      <c r="E38" s="5">
        <f t="shared" si="1"/>
        <v>42318.332286128425</v>
      </c>
      <c r="F38" s="5">
        <f t="shared" si="2"/>
        <v>14900.518720033773</v>
      </c>
      <c r="G38" s="5">
        <f t="shared" si="3"/>
        <v>36917.81356609465</v>
      </c>
      <c r="H38" s="22">
        <f t="shared" si="16"/>
        <v>24507.526118846534</v>
      </c>
      <c r="I38" s="5">
        <f t="shared" si="17"/>
        <v>59954.888117810391</v>
      </c>
      <c r="J38" s="26">
        <f t="shared" si="5"/>
        <v>0.18891545965280157</v>
      </c>
      <c r="L38" s="22">
        <f t="shared" si="18"/>
        <v>69916.850092673572</v>
      </c>
      <c r="M38" s="5">
        <f>scrimecost*Meta!O35</f>
        <v>4499.6279999999997</v>
      </c>
      <c r="N38" s="5">
        <f>L38-Grade14!L38</f>
        <v>686.08452617081639</v>
      </c>
      <c r="O38" s="5">
        <f>Grade14!M38-M38</f>
        <v>35.483000000000175</v>
      </c>
      <c r="P38" s="22">
        <f t="shared" si="12"/>
        <v>59.287121618200402</v>
      </c>
      <c r="Q38" s="22"/>
      <c r="R38" s="22"/>
      <c r="S38" s="22">
        <f t="shared" si="6"/>
        <v>349.54123124263316</v>
      </c>
      <c r="T38" s="22">
        <f t="shared" si="7"/>
        <v>870.3016243025146</v>
      </c>
    </row>
    <row r="39" spans="1:20" x14ac:dyDescent="0.2">
      <c r="A39" s="5">
        <v>48</v>
      </c>
      <c r="B39" s="1">
        <f t="shared" si="13"/>
        <v>1.9478000182997122</v>
      </c>
      <c r="C39" s="5">
        <f t="shared" si="14"/>
        <v>55483.39424817195</v>
      </c>
      <c r="D39" s="5">
        <f t="shared" si="15"/>
        <v>53090.390593281627</v>
      </c>
      <c r="E39" s="5">
        <f t="shared" si="1"/>
        <v>43590.390593281627</v>
      </c>
      <c r="F39" s="5">
        <f t="shared" si="2"/>
        <v>15443.051588034614</v>
      </c>
      <c r="G39" s="5">
        <f t="shared" si="3"/>
        <v>37647.339005247013</v>
      </c>
      <c r="H39" s="22">
        <f t="shared" si="16"/>
        <v>25120.214271817698</v>
      </c>
      <c r="I39" s="5">
        <f t="shared" si="17"/>
        <v>61260.340420755645</v>
      </c>
      <c r="J39" s="26">
        <f t="shared" si="5"/>
        <v>0.19146827155343499</v>
      </c>
      <c r="L39" s="22">
        <f t="shared" si="18"/>
        <v>71664.771344990411</v>
      </c>
      <c r="M39" s="5">
        <f>scrimecost*Meta!O36</f>
        <v>4499.6279999999997</v>
      </c>
      <c r="N39" s="5">
        <f>L39-Grade14!L39</f>
        <v>703.23663932508498</v>
      </c>
      <c r="O39" s="5">
        <f>Grade14!M39-M39</f>
        <v>35.483000000000175</v>
      </c>
      <c r="P39" s="22">
        <f t="shared" si="12"/>
        <v>60.826589702092413</v>
      </c>
      <c r="Q39" s="22"/>
      <c r="R39" s="22"/>
      <c r="S39" s="22">
        <f t="shared" si="6"/>
        <v>357.80429524358755</v>
      </c>
      <c r="T39" s="22">
        <f t="shared" si="7"/>
        <v>921.48855645411834</v>
      </c>
    </row>
    <row r="40" spans="1:20" x14ac:dyDescent="0.2">
      <c r="A40" s="5">
        <v>49</v>
      </c>
      <c r="B40" s="1">
        <f t="shared" si="13"/>
        <v>1.9964950187572048</v>
      </c>
      <c r="C40" s="5">
        <f t="shared" si="14"/>
        <v>56870.479104376245</v>
      </c>
      <c r="D40" s="5">
        <f t="shared" si="15"/>
        <v>54394.25035811367</v>
      </c>
      <c r="E40" s="5">
        <f t="shared" si="1"/>
        <v>44894.25035811367</v>
      </c>
      <c r="F40" s="5">
        <f t="shared" si="2"/>
        <v>15999.147777735481</v>
      </c>
      <c r="G40" s="5">
        <f t="shared" si="3"/>
        <v>38395.102580378189</v>
      </c>
      <c r="H40" s="22">
        <f t="shared" si="16"/>
        <v>25748.219628613137</v>
      </c>
      <c r="I40" s="5">
        <f t="shared" si="17"/>
        <v>62598.429031274536</v>
      </c>
      <c r="J40" s="26">
        <f t="shared" si="5"/>
        <v>0.193958819749175</v>
      </c>
      <c r="L40" s="22">
        <f t="shared" si="18"/>
        <v>73456.390628615176</v>
      </c>
      <c r="M40" s="5">
        <f>scrimecost*Meta!O37</f>
        <v>4499.6279999999997</v>
      </c>
      <c r="N40" s="5">
        <f>L40-Grade14!L40</f>
        <v>720.81755530821101</v>
      </c>
      <c r="O40" s="5">
        <f>Grade14!M40-M40</f>
        <v>35.483000000000175</v>
      </c>
      <c r="P40" s="22">
        <f t="shared" si="12"/>
        <v>62.404544488081733</v>
      </c>
      <c r="Q40" s="22"/>
      <c r="R40" s="22"/>
      <c r="S40" s="22">
        <f t="shared" si="6"/>
        <v>366.27393584456621</v>
      </c>
      <c r="T40" s="22">
        <f t="shared" si="7"/>
        <v>975.71599834367294</v>
      </c>
    </row>
    <row r="41" spans="1:20" x14ac:dyDescent="0.2">
      <c r="A41" s="5">
        <v>50</v>
      </c>
      <c r="B41" s="1">
        <f t="shared" si="13"/>
        <v>2.0464073942261352</v>
      </c>
      <c r="C41" s="5">
        <f t="shared" si="14"/>
        <v>58292.24108198566</v>
      </c>
      <c r="D41" s="5">
        <f t="shared" si="15"/>
        <v>55730.70661706652</v>
      </c>
      <c r="E41" s="5">
        <f t="shared" si="1"/>
        <v>46230.70661706652</v>
      </c>
      <c r="F41" s="5">
        <f t="shared" si="2"/>
        <v>16569.146372178871</v>
      </c>
      <c r="G41" s="5">
        <f t="shared" si="3"/>
        <v>39161.560244887645</v>
      </c>
      <c r="H41" s="22">
        <f t="shared" si="16"/>
        <v>26391.925119328469</v>
      </c>
      <c r="I41" s="5">
        <f t="shared" si="17"/>
        <v>63969.969857056407</v>
      </c>
      <c r="J41" s="26">
        <f t="shared" si="5"/>
        <v>0.19638862286697006</v>
      </c>
      <c r="L41" s="22">
        <f t="shared" si="18"/>
        <v>75292.800394330567</v>
      </c>
      <c r="M41" s="5">
        <f>scrimecost*Meta!O38</f>
        <v>3256.2479999999996</v>
      </c>
      <c r="N41" s="5">
        <f>L41-Grade14!L41</f>
        <v>738.83799419095158</v>
      </c>
      <c r="O41" s="5">
        <f>Grade14!M41-M41</f>
        <v>25.678000000000338</v>
      </c>
      <c r="P41" s="22">
        <f t="shared" si="12"/>
        <v>64.021948143720778</v>
      </c>
      <c r="Q41" s="22"/>
      <c r="R41" s="22"/>
      <c r="S41" s="22">
        <f t="shared" si="6"/>
        <v>369.33705246058503</v>
      </c>
      <c r="T41" s="22">
        <f t="shared" si="7"/>
        <v>1017.6848370315722</v>
      </c>
    </row>
    <row r="42" spans="1:20" x14ac:dyDescent="0.2">
      <c r="A42" s="5">
        <v>51</v>
      </c>
      <c r="B42" s="1">
        <f t="shared" si="13"/>
        <v>2.097567579081788</v>
      </c>
      <c r="C42" s="5">
        <f t="shared" si="14"/>
        <v>59749.547109035288</v>
      </c>
      <c r="D42" s="5">
        <f t="shared" si="15"/>
        <v>57100.574282493166</v>
      </c>
      <c r="E42" s="5">
        <f t="shared" si="1"/>
        <v>47600.574282493166</v>
      </c>
      <c r="F42" s="5">
        <f t="shared" si="2"/>
        <v>17153.394931483337</v>
      </c>
      <c r="G42" s="5">
        <f t="shared" si="3"/>
        <v>39947.179351009829</v>
      </c>
      <c r="H42" s="22">
        <f t="shared" si="16"/>
        <v>27051.723247311675</v>
      </c>
      <c r="I42" s="5">
        <f t="shared" si="17"/>
        <v>65375.799203482806</v>
      </c>
      <c r="J42" s="26">
        <f t="shared" si="5"/>
        <v>0.19875916249408718</v>
      </c>
      <c r="L42" s="22">
        <f t="shared" si="18"/>
        <v>77175.120404188798</v>
      </c>
      <c r="M42" s="5">
        <f>scrimecost*Meta!O39</f>
        <v>3256.2479999999996</v>
      </c>
      <c r="N42" s="5">
        <f>L42-Grade14!L42</f>
        <v>757.30894404565333</v>
      </c>
      <c r="O42" s="5">
        <f>Grade14!M42-M42</f>
        <v>25.678000000000338</v>
      </c>
      <c r="P42" s="22">
        <f t="shared" si="12"/>
        <v>65.679786890750762</v>
      </c>
      <c r="Q42" s="22"/>
      <c r="R42" s="22"/>
      <c r="S42" s="22">
        <f t="shared" si="6"/>
        <v>378.23546861695803</v>
      </c>
      <c r="T42" s="22">
        <f t="shared" si="7"/>
        <v>1078.0172019401348</v>
      </c>
    </row>
    <row r="43" spans="1:20" x14ac:dyDescent="0.2">
      <c r="A43" s="5">
        <v>52</v>
      </c>
      <c r="B43" s="1">
        <f t="shared" si="13"/>
        <v>2.1500067685588333</v>
      </c>
      <c r="C43" s="5">
        <f t="shared" si="14"/>
        <v>61243.285786761182</v>
      </c>
      <c r="D43" s="5">
        <f t="shared" si="15"/>
        <v>58504.688639555505</v>
      </c>
      <c r="E43" s="5">
        <f t="shared" si="1"/>
        <v>49004.688639555505</v>
      </c>
      <c r="F43" s="5">
        <f t="shared" si="2"/>
        <v>17752.249704770424</v>
      </c>
      <c r="G43" s="5">
        <f t="shared" si="3"/>
        <v>40752.438934785081</v>
      </c>
      <c r="H43" s="22">
        <f t="shared" si="16"/>
        <v>27728.016328494472</v>
      </c>
      <c r="I43" s="5">
        <f t="shared" si="17"/>
        <v>66816.774283569888</v>
      </c>
      <c r="J43" s="26">
        <f t="shared" si="5"/>
        <v>0.20107188408151858</v>
      </c>
      <c r="L43" s="22">
        <f t="shared" si="18"/>
        <v>79104.498414293543</v>
      </c>
      <c r="M43" s="5">
        <f>scrimecost*Meta!O40</f>
        <v>3256.2479999999996</v>
      </c>
      <c r="N43" s="5">
        <f>L43-Grade14!L43</f>
        <v>776.24166764684196</v>
      </c>
      <c r="O43" s="5">
        <f>Grade14!M43-M43</f>
        <v>25.678000000000338</v>
      </c>
      <c r="P43" s="22">
        <f t="shared" si="12"/>
        <v>67.379071606456563</v>
      </c>
      <c r="Q43" s="22"/>
      <c r="R43" s="22"/>
      <c r="S43" s="22">
        <f t="shared" ref="S43:S69" si="19">IF(A43&lt;startage,1,0)*(N43-Q43-R43)+IF(A43&gt;=startage,1,0)*completionprob*(N43*spart+O43+P43)</f>
        <v>387.35634517729176</v>
      </c>
      <c r="T43" s="22">
        <f t="shared" ref="T43:T69" si="20">S43/sreturn^(A43-startage+1)</f>
        <v>1141.9501019575243</v>
      </c>
    </row>
    <row r="44" spans="1:20" x14ac:dyDescent="0.2">
      <c r="A44" s="5">
        <v>53</v>
      </c>
      <c r="B44" s="1">
        <f t="shared" si="13"/>
        <v>2.2037569377728037</v>
      </c>
      <c r="C44" s="5">
        <f t="shared" si="14"/>
        <v>62774.367931430206</v>
      </c>
      <c r="D44" s="5">
        <f t="shared" si="15"/>
        <v>59943.905855544392</v>
      </c>
      <c r="E44" s="5">
        <f t="shared" si="1"/>
        <v>50443.905855544392</v>
      </c>
      <c r="F44" s="5">
        <f t="shared" si="2"/>
        <v>18366.075847389686</v>
      </c>
      <c r="G44" s="5">
        <f t="shared" si="3"/>
        <v>41577.830008154706</v>
      </c>
      <c r="H44" s="22">
        <f t="shared" si="16"/>
        <v>28421.216736706832</v>
      </c>
      <c r="I44" s="5">
        <f t="shared" si="17"/>
        <v>68293.773740659119</v>
      </c>
      <c r="J44" s="26">
        <f t="shared" si="5"/>
        <v>0.20332819782535405</v>
      </c>
      <c r="L44" s="22">
        <f t="shared" si="18"/>
        <v>81082.110874650854</v>
      </c>
      <c r="M44" s="5">
        <f>scrimecost*Meta!O41</f>
        <v>3256.2479999999996</v>
      </c>
      <c r="N44" s="5">
        <f>L44-Grade14!L44</f>
        <v>795.64770933799446</v>
      </c>
      <c r="O44" s="5">
        <f>Grade14!M44-M44</f>
        <v>25.678000000000338</v>
      </c>
      <c r="P44" s="22">
        <f t="shared" si="12"/>
        <v>69.120838440054968</v>
      </c>
      <c r="Q44" s="22"/>
      <c r="R44" s="22"/>
      <c r="S44" s="22">
        <f t="shared" si="19"/>
        <v>396.70524365160549</v>
      </c>
      <c r="T44" s="22">
        <f t="shared" si="20"/>
        <v>1209.6992416327141</v>
      </c>
    </row>
    <row r="45" spans="1:20" x14ac:dyDescent="0.2">
      <c r="A45" s="5">
        <v>54</v>
      </c>
      <c r="B45" s="1">
        <f t="shared" si="13"/>
        <v>2.2588508612171236</v>
      </c>
      <c r="C45" s="5">
        <f t="shared" si="14"/>
        <v>64343.72712971596</v>
      </c>
      <c r="D45" s="5">
        <f t="shared" si="15"/>
        <v>61419.103501933001</v>
      </c>
      <c r="E45" s="5">
        <f t="shared" si="1"/>
        <v>51919.103501933001</v>
      </c>
      <c r="F45" s="5">
        <f t="shared" si="2"/>
        <v>18995.247643574425</v>
      </c>
      <c r="G45" s="5">
        <f t="shared" si="3"/>
        <v>42423.855858358576</v>
      </c>
      <c r="H45" s="22">
        <f t="shared" si="16"/>
        <v>29131.7471551245</v>
      </c>
      <c r="I45" s="5">
        <f t="shared" si="17"/>
        <v>69807.698184175606</v>
      </c>
      <c r="J45" s="26">
        <f t="shared" si="5"/>
        <v>0.20552947952665696</v>
      </c>
      <c r="L45" s="22">
        <f t="shared" si="18"/>
        <v>83109.163646517132</v>
      </c>
      <c r="M45" s="5">
        <f>scrimecost*Meta!O42</f>
        <v>3256.2479999999996</v>
      </c>
      <c r="N45" s="5">
        <f>L45-Grade14!L45</f>
        <v>815.53890207145014</v>
      </c>
      <c r="O45" s="5">
        <f>Grade14!M45-M45</f>
        <v>25.678000000000338</v>
      </c>
      <c r="P45" s="22">
        <f t="shared" si="12"/>
        <v>70.906149444493337</v>
      </c>
      <c r="Q45" s="22"/>
      <c r="R45" s="22"/>
      <c r="S45" s="22">
        <f t="shared" si="19"/>
        <v>406.28786458778751</v>
      </c>
      <c r="T45" s="22">
        <f t="shared" si="20"/>
        <v>1281.4932769666545</v>
      </c>
    </row>
    <row r="46" spans="1:20" x14ac:dyDescent="0.2">
      <c r="A46" s="5">
        <v>55</v>
      </c>
      <c r="B46" s="1">
        <f t="shared" si="13"/>
        <v>2.3153221327475517</v>
      </c>
      <c r="C46" s="5">
        <f t="shared" si="14"/>
        <v>65952.320307958857</v>
      </c>
      <c r="D46" s="5">
        <f t="shared" si="15"/>
        <v>62931.181089481324</v>
      </c>
      <c r="E46" s="5">
        <f t="shared" si="1"/>
        <v>53431.181089481324</v>
      </c>
      <c r="F46" s="5">
        <f t="shared" si="2"/>
        <v>19640.148734663784</v>
      </c>
      <c r="G46" s="5">
        <f t="shared" si="3"/>
        <v>43291.032354817537</v>
      </c>
      <c r="H46" s="22">
        <f t="shared" si="16"/>
        <v>29860.040834002612</v>
      </c>
      <c r="I46" s="5">
        <f t="shared" si="17"/>
        <v>71359.470738779986</v>
      </c>
      <c r="J46" s="26">
        <f t="shared" si="5"/>
        <v>0.20767707143036707</v>
      </c>
      <c r="L46" s="22">
        <f t="shared" si="18"/>
        <v>85186.892737680042</v>
      </c>
      <c r="M46" s="5">
        <f>scrimecost*Meta!O43</f>
        <v>1947.1799999999998</v>
      </c>
      <c r="N46" s="5">
        <f>L46-Grade14!L46</f>
        <v>835.92737462323566</v>
      </c>
      <c r="O46" s="5">
        <f>Grade14!M46-M46</f>
        <v>15.355000000000018</v>
      </c>
      <c r="P46" s="22">
        <f t="shared" si="12"/>
        <v>72.736093224042648</v>
      </c>
      <c r="Q46" s="22"/>
      <c r="R46" s="22"/>
      <c r="S46" s="22">
        <f t="shared" si="19"/>
        <v>410.19497204737104</v>
      </c>
      <c r="T46" s="22">
        <f t="shared" si="20"/>
        <v>1338.2764277257904</v>
      </c>
    </row>
    <row r="47" spans="1:20" x14ac:dyDescent="0.2">
      <c r="A47" s="5">
        <v>56</v>
      </c>
      <c r="B47" s="1">
        <f t="shared" si="13"/>
        <v>2.3732051860662402</v>
      </c>
      <c r="C47" s="5">
        <f t="shared" si="14"/>
        <v>67601.128315657814</v>
      </c>
      <c r="D47" s="5">
        <f t="shared" si="15"/>
        <v>64481.060616718343</v>
      </c>
      <c r="E47" s="5">
        <f t="shared" si="1"/>
        <v>54981.060616718343</v>
      </c>
      <c r="F47" s="5">
        <f t="shared" si="2"/>
        <v>20301.172353030375</v>
      </c>
      <c r="G47" s="5">
        <f t="shared" si="3"/>
        <v>44179.888263687972</v>
      </c>
      <c r="H47" s="22">
        <f t="shared" si="16"/>
        <v>30606.541854852672</v>
      </c>
      <c r="I47" s="5">
        <f t="shared" si="17"/>
        <v>72950.037607249484</v>
      </c>
      <c r="J47" s="26">
        <f t="shared" si="5"/>
        <v>0.20977228304374287</v>
      </c>
      <c r="L47" s="22">
        <f t="shared" si="18"/>
        <v>87316.565056122039</v>
      </c>
      <c r="M47" s="5">
        <f>scrimecost*Meta!O44</f>
        <v>1947.1799999999998</v>
      </c>
      <c r="N47" s="5">
        <f>L47-Grade14!L47</f>
        <v>856.82555898881401</v>
      </c>
      <c r="O47" s="5">
        <f>Grade14!M47-M47</f>
        <v>15.355000000000018</v>
      </c>
      <c r="P47" s="22">
        <f t="shared" si="12"/>
        <v>74.611785598080729</v>
      </c>
      <c r="Q47" s="22"/>
      <c r="R47" s="22"/>
      <c r="S47" s="22">
        <f t="shared" si="19"/>
        <v>420.26271316844361</v>
      </c>
      <c r="T47" s="22">
        <f t="shared" si="20"/>
        <v>1418.2388236036977</v>
      </c>
    </row>
    <row r="48" spans="1:20" x14ac:dyDescent="0.2">
      <c r="A48" s="5">
        <v>57</v>
      </c>
      <c r="B48" s="1">
        <f t="shared" si="13"/>
        <v>2.4325353157178964</v>
      </c>
      <c r="C48" s="5">
        <f t="shared" si="14"/>
        <v>69291.15652354926</v>
      </c>
      <c r="D48" s="5">
        <f t="shared" si="15"/>
        <v>66069.6871321363</v>
      </c>
      <c r="E48" s="5">
        <f t="shared" si="1"/>
        <v>56569.6871321363</v>
      </c>
      <c r="F48" s="5">
        <f t="shared" si="2"/>
        <v>20978.721561856131</v>
      </c>
      <c r="G48" s="5">
        <f t="shared" si="3"/>
        <v>45090.965570280168</v>
      </c>
      <c r="H48" s="22">
        <f t="shared" si="16"/>
        <v>31371.705401223993</v>
      </c>
      <c r="I48" s="5">
        <f t="shared" si="17"/>
        <v>74580.368647430718</v>
      </c>
      <c r="J48" s="26">
        <f t="shared" si="5"/>
        <v>0.21181639193484111</v>
      </c>
      <c r="L48" s="22">
        <f t="shared" si="18"/>
        <v>89499.479182525101</v>
      </c>
      <c r="M48" s="5">
        <f>scrimecost*Meta!O45</f>
        <v>1947.1799999999998</v>
      </c>
      <c r="N48" s="5">
        <f>L48-Grade14!L48</f>
        <v>878.24619796354091</v>
      </c>
      <c r="O48" s="5">
        <f>Grade14!M48-M48</f>
        <v>15.355000000000018</v>
      </c>
      <c r="P48" s="22">
        <f t="shared" si="12"/>
        <v>76.534370281469748</v>
      </c>
      <c r="Q48" s="22"/>
      <c r="R48" s="22"/>
      <c r="S48" s="22">
        <f t="shared" si="19"/>
        <v>430.58214781754697</v>
      </c>
      <c r="T48" s="22">
        <f t="shared" si="20"/>
        <v>1502.9950275333601</v>
      </c>
    </row>
    <row r="49" spans="1:20" x14ac:dyDescent="0.2">
      <c r="A49" s="5">
        <v>58</v>
      </c>
      <c r="B49" s="1">
        <f t="shared" si="13"/>
        <v>2.4933486986108435</v>
      </c>
      <c r="C49" s="5">
        <f t="shared" si="14"/>
        <v>71023.435436637985</v>
      </c>
      <c r="D49" s="5">
        <f t="shared" si="15"/>
        <v>67698.029310439699</v>
      </c>
      <c r="E49" s="5">
        <f t="shared" si="1"/>
        <v>58198.029310439699</v>
      </c>
      <c r="F49" s="5">
        <f t="shared" si="2"/>
        <v>21673.209500902532</v>
      </c>
      <c r="G49" s="5">
        <f t="shared" si="3"/>
        <v>46024.819809537163</v>
      </c>
      <c r="H49" s="22">
        <f t="shared" si="16"/>
        <v>32155.99803625459</v>
      </c>
      <c r="I49" s="5">
        <f t="shared" si="17"/>
        <v>76251.457963616471</v>
      </c>
      <c r="J49" s="26">
        <f t="shared" si="5"/>
        <v>0.21381064451152237</v>
      </c>
      <c r="L49" s="22">
        <f t="shared" si="18"/>
        <v>91736.966162088211</v>
      </c>
      <c r="M49" s="5">
        <f>scrimecost*Meta!O46</f>
        <v>1947.1799999999998</v>
      </c>
      <c r="N49" s="5">
        <f>L49-Grade14!L49</f>
        <v>900.20235291263089</v>
      </c>
      <c r="O49" s="5">
        <f>Grade14!M49-M49</f>
        <v>15.355000000000018</v>
      </c>
      <c r="P49" s="22">
        <f t="shared" si="12"/>
        <v>78.505019581943472</v>
      </c>
      <c r="Q49" s="22"/>
      <c r="R49" s="22"/>
      <c r="S49" s="22">
        <f t="shared" si="19"/>
        <v>441.15956833287561</v>
      </c>
      <c r="T49" s="22">
        <f t="shared" si="20"/>
        <v>1592.8329873174803</v>
      </c>
    </row>
    <row r="50" spans="1:20" x14ac:dyDescent="0.2">
      <c r="A50" s="5">
        <v>59</v>
      </c>
      <c r="B50" s="1">
        <f t="shared" si="13"/>
        <v>2.555682416076114</v>
      </c>
      <c r="C50" s="5">
        <f t="shared" si="14"/>
        <v>72799.021322553919</v>
      </c>
      <c r="D50" s="5">
        <f t="shared" si="15"/>
        <v>69367.08004320068</v>
      </c>
      <c r="E50" s="5">
        <f t="shared" si="1"/>
        <v>59867.08004320068</v>
      </c>
      <c r="F50" s="5">
        <f t="shared" si="2"/>
        <v>22385.059638425089</v>
      </c>
      <c r="G50" s="5">
        <f t="shared" si="3"/>
        <v>46982.020404775591</v>
      </c>
      <c r="H50" s="22">
        <f t="shared" si="16"/>
        <v>32959.897987160948</v>
      </c>
      <c r="I50" s="5">
        <f t="shared" si="17"/>
        <v>77964.32451270688</v>
      </c>
      <c r="J50" s="26">
        <f t="shared" si="5"/>
        <v>0.21575625678145532</v>
      </c>
      <c r="L50" s="22">
        <f t="shared" si="18"/>
        <v>94030.390316140416</v>
      </c>
      <c r="M50" s="5">
        <f>scrimecost*Meta!O47</f>
        <v>1947.1799999999998</v>
      </c>
      <c r="N50" s="5">
        <f>L50-Grade14!L50</f>
        <v>922.70741173544957</v>
      </c>
      <c r="O50" s="5">
        <f>Grade14!M50-M50</f>
        <v>15.355000000000018</v>
      </c>
      <c r="P50" s="22">
        <f t="shared" si="12"/>
        <v>80.524935114929065</v>
      </c>
      <c r="Q50" s="22"/>
      <c r="R50" s="22"/>
      <c r="S50" s="22">
        <f t="shared" si="19"/>
        <v>452.00142436108825</v>
      </c>
      <c r="T50" s="22">
        <f t="shared" si="20"/>
        <v>1688.0579659744974</v>
      </c>
    </row>
    <row r="51" spans="1:20" x14ac:dyDescent="0.2">
      <c r="A51" s="5">
        <v>60</v>
      </c>
      <c r="B51" s="1">
        <f t="shared" si="13"/>
        <v>2.6195744764780171</v>
      </c>
      <c r="C51" s="5">
        <f t="shared" si="14"/>
        <v>74618.996855617777</v>
      </c>
      <c r="D51" s="5">
        <f t="shared" si="15"/>
        <v>71077.85704428071</v>
      </c>
      <c r="E51" s="5">
        <f t="shared" si="1"/>
        <v>61577.85704428071</v>
      </c>
      <c r="F51" s="5">
        <f t="shared" si="2"/>
        <v>23114.706029385725</v>
      </c>
      <c r="G51" s="5">
        <f t="shared" si="3"/>
        <v>47963.151014894989</v>
      </c>
      <c r="H51" s="22">
        <f t="shared" si="16"/>
        <v>33783.895436839972</v>
      </c>
      <c r="I51" s="5">
        <f t="shared" si="17"/>
        <v>79720.012725524561</v>
      </c>
      <c r="J51" s="26">
        <f t="shared" si="5"/>
        <v>0.21765441509358507</v>
      </c>
      <c r="L51" s="22">
        <f t="shared" si="18"/>
        <v>96381.150074043922</v>
      </c>
      <c r="M51" s="5">
        <f>scrimecost*Meta!O48</f>
        <v>1069.7760000000001</v>
      </c>
      <c r="N51" s="5">
        <f>L51-Grade14!L51</f>
        <v>945.77509702883253</v>
      </c>
      <c r="O51" s="5">
        <f>Grade14!M51-M51</f>
        <v>8.4359999999999218</v>
      </c>
      <c r="P51" s="22">
        <f t="shared" si="12"/>
        <v>82.595348536239285</v>
      </c>
      <c r="Q51" s="22"/>
      <c r="R51" s="22"/>
      <c r="S51" s="22">
        <f t="shared" si="19"/>
        <v>459.14973979000331</v>
      </c>
      <c r="T51" s="22">
        <f t="shared" si="20"/>
        <v>1773.6785300890881</v>
      </c>
    </row>
    <row r="52" spans="1:20" x14ac:dyDescent="0.2">
      <c r="A52" s="5">
        <v>61</v>
      </c>
      <c r="B52" s="1">
        <f t="shared" si="13"/>
        <v>2.6850638383899672</v>
      </c>
      <c r="C52" s="5">
        <f t="shared" si="14"/>
        <v>76484.471777008221</v>
      </c>
      <c r="D52" s="5">
        <f t="shared" si="15"/>
        <v>72831.403470387726</v>
      </c>
      <c r="E52" s="5">
        <f t="shared" si="1"/>
        <v>63331.403470387726</v>
      </c>
      <c r="F52" s="5">
        <f t="shared" si="2"/>
        <v>23862.593580120367</v>
      </c>
      <c r="G52" s="5">
        <f t="shared" si="3"/>
        <v>48968.809890267359</v>
      </c>
      <c r="H52" s="22">
        <f t="shared" si="16"/>
        <v>34628.492822760963</v>
      </c>
      <c r="I52" s="5">
        <f t="shared" si="17"/>
        <v>81519.593143662671</v>
      </c>
      <c r="J52" s="26">
        <f t="shared" si="5"/>
        <v>0.2195062768615165</v>
      </c>
      <c r="L52" s="22">
        <f t="shared" si="18"/>
        <v>98790.678825895011</v>
      </c>
      <c r="M52" s="5">
        <f>scrimecost*Meta!O49</f>
        <v>1069.7760000000001</v>
      </c>
      <c r="N52" s="5">
        <f>L52-Grade14!L52</f>
        <v>969.41947445453843</v>
      </c>
      <c r="O52" s="5">
        <f>Grade14!M52-M52</f>
        <v>8.4359999999999218</v>
      </c>
      <c r="P52" s="22">
        <f t="shared" si="12"/>
        <v>84.717522293082283</v>
      </c>
      <c r="Q52" s="22"/>
      <c r="R52" s="22"/>
      <c r="S52" s="22">
        <f t="shared" si="19"/>
        <v>470.54046477963641</v>
      </c>
      <c r="T52" s="22">
        <f t="shared" si="20"/>
        <v>1880.1415959833651</v>
      </c>
    </row>
    <row r="53" spans="1:20" x14ac:dyDescent="0.2">
      <c r="A53" s="5">
        <v>62</v>
      </c>
      <c r="B53" s="1">
        <f t="shared" si="13"/>
        <v>2.7521904343497163</v>
      </c>
      <c r="C53" s="5">
        <f t="shared" si="14"/>
        <v>78396.58357143341</v>
      </c>
      <c r="D53" s="5">
        <f t="shared" si="15"/>
        <v>74628.788557147403</v>
      </c>
      <c r="E53" s="5">
        <f t="shared" si="1"/>
        <v>65128.788557147403</v>
      </c>
      <c r="F53" s="5">
        <f t="shared" si="2"/>
        <v>24629.17831962337</v>
      </c>
      <c r="G53" s="5">
        <f t="shared" si="3"/>
        <v>49999.61023752403</v>
      </c>
      <c r="H53" s="22">
        <f t="shared" si="16"/>
        <v>35494.205143329986</v>
      </c>
      <c r="I53" s="5">
        <f t="shared" si="17"/>
        <v>83364.163072254218</v>
      </c>
      <c r="J53" s="26">
        <f t="shared" si="5"/>
        <v>0.22131297126925448</v>
      </c>
      <c r="L53" s="22">
        <f t="shared" si="18"/>
        <v>101260.44579654238</v>
      </c>
      <c r="M53" s="5">
        <f>scrimecost*Meta!O50</f>
        <v>1069.7760000000001</v>
      </c>
      <c r="N53" s="5">
        <f>L53-Grade14!L53</f>
        <v>993.65496131590044</v>
      </c>
      <c r="O53" s="5">
        <f>Grade14!M53-M53</f>
        <v>8.4359999999999218</v>
      </c>
      <c r="P53" s="22">
        <f t="shared" si="12"/>
        <v>86.892750393846327</v>
      </c>
      <c r="Q53" s="22"/>
      <c r="R53" s="22"/>
      <c r="S53" s="22">
        <f t="shared" si="19"/>
        <v>482.21595789401607</v>
      </c>
      <c r="T53" s="22">
        <f t="shared" si="20"/>
        <v>1993.0040128884798</v>
      </c>
    </row>
    <row r="54" spans="1:20" x14ac:dyDescent="0.2">
      <c r="A54" s="5">
        <v>63</v>
      </c>
      <c r="B54" s="1">
        <f t="shared" si="13"/>
        <v>2.8209951952084591</v>
      </c>
      <c r="C54" s="5">
        <f t="shared" si="14"/>
        <v>80356.498160719246</v>
      </c>
      <c r="D54" s="5">
        <f t="shared" si="15"/>
        <v>76471.108271076082</v>
      </c>
      <c r="E54" s="5">
        <f t="shared" si="1"/>
        <v>66971.108271076082</v>
      </c>
      <c r="F54" s="5">
        <f t="shared" si="2"/>
        <v>25414.927677613949</v>
      </c>
      <c r="G54" s="5">
        <f t="shared" si="3"/>
        <v>51056.180593462137</v>
      </c>
      <c r="H54" s="22">
        <f t="shared" si="16"/>
        <v>36381.560271913237</v>
      </c>
      <c r="I54" s="5">
        <f t="shared" si="17"/>
        <v>85254.847249060578</v>
      </c>
      <c r="J54" s="26">
        <f t="shared" si="5"/>
        <v>0.22307559995973048</v>
      </c>
      <c r="L54" s="22">
        <f t="shared" si="18"/>
        <v>103791.95694145595</v>
      </c>
      <c r="M54" s="5">
        <f>scrimecost*Meta!O51</f>
        <v>1069.7760000000001</v>
      </c>
      <c r="N54" s="5">
        <f>L54-Grade14!L54</f>
        <v>1018.4963353488129</v>
      </c>
      <c r="O54" s="5">
        <f>Grade14!M54-M54</f>
        <v>8.4359999999999218</v>
      </c>
      <c r="P54" s="22">
        <f t="shared" si="12"/>
        <v>89.122359197129484</v>
      </c>
      <c r="Q54" s="22"/>
      <c r="R54" s="22"/>
      <c r="S54" s="22">
        <f t="shared" si="19"/>
        <v>494.18333833626235</v>
      </c>
      <c r="T54" s="22">
        <f t="shared" si="20"/>
        <v>2112.6507482897464</v>
      </c>
    </row>
    <row r="55" spans="1:20" x14ac:dyDescent="0.2">
      <c r="A55" s="5">
        <v>64</v>
      </c>
      <c r="B55" s="1">
        <f t="shared" si="13"/>
        <v>2.8915200750886707</v>
      </c>
      <c r="C55" s="5">
        <f t="shared" si="14"/>
        <v>82365.410614737222</v>
      </c>
      <c r="D55" s="5">
        <f t="shared" si="15"/>
        <v>78359.485977852979</v>
      </c>
      <c r="E55" s="5">
        <f t="shared" si="1"/>
        <v>68859.485977852979</v>
      </c>
      <c r="F55" s="5">
        <f t="shared" si="2"/>
        <v>26220.320769554295</v>
      </c>
      <c r="G55" s="5">
        <f t="shared" si="3"/>
        <v>52139.165208298684</v>
      </c>
      <c r="H55" s="22">
        <f t="shared" si="16"/>
        <v>37291.099278711074</v>
      </c>
      <c r="I55" s="5">
        <f t="shared" si="17"/>
        <v>87192.79853028708</v>
      </c>
      <c r="J55" s="26">
        <f t="shared" si="5"/>
        <v>0.22479523770653637</v>
      </c>
      <c r="L55" s="22">
        <f t="shared" si="18"/>
        <v>106386.75586499234</v>
      </c>
      <c r="M55" s="5">
        <f>scrimecost*Meta!O52</f>
        <v>1069.7760000000001</v>
      </c>
      <c r="N55" s="5">
        <f>L55-Grade14!L55</f>
        <v>1043.9587437325536</v>
      </c>
      <c r="O55" s="5">
        <f>Grade14!M55-M55</f>
        <v>8.4359999999999218</v>
      </c>
      <c r="P55" s="22">
        <f t="shared" si="12"/>
        <v>91.407708220494698</v>
      </c>
      <c r="Q55" s="22"/>
      <c r="R55" s="22"/>
      <c r="S55" s="22">
        <f t="shared" si="19"/>
        <v>506.44990328956703</v>
      </c>
      <c r="T55" s="22">
        <f t="shared" si="20"/>
        <v>2239.4899389774064</v>
      </c>
    </row>
    <row r="56" spans="1:20" x14ac:dyDescent="0.2">
      <c r="A56" s="5">
        <v>65</v>
      </c>
      <c r="B56" s="1">
        <f t="shared" si="13"/>
        <v>2.9638080769658868</v>
      </c>
      <c r="C56" s="5">
        <f t="shared" si="14"/>
        <v>84424.545880105652</v>
      </c>
      <c r="D56" s="5">
        <f t="shared" si="15"/>
        <v>80295.073127299314</v>
      </c>
      <c r="E56" s="5">
        <f t="shared" si="1"/>
        <v>70795.073127299314</v>
      </c>
      <c r="F56" s="5">
        <f t="shared" si="2"/>
        <v>27045.848688793158</v>
      </c>
      <c r="G56" s="5">
        <f t="shared" si="3"/>
        <v>53249.224438506157</v>
      </c>
      <c r="H56" s="22">
        <f t="shared" si="16"/>
        <v>38223.376760678839</v>
      </c>
      <c r="I56" s="5">
        <f t="shared" si="17"/>
        <v>89179.198593544264</v>
      </c>
      <c r="J56" s="26">
        <f t="shared" si="5"/>
        <v>0.22647293306927391</v>
      </c>
      <c r="L56" s="22">
        <f t="shared" si="18"/>
        <v>109046.42476161712</v>
      </c>
      <c r="M56" s="5">
        <f>scrimecost*Meta!O53</f>
        <v>337.82399999999996</v>
      </c>
      <c r="N56" s="5">
        <f>L56-Grade14!L56</f>
        <v>1070.0577123258117</v>
      </c>
      <c r="O56" s="5">
        <f>Grade14!M56-M56</f>
        <v>2.6640000000000441</v>
      </c>
      <c r="P56" s="22">
        <f t="shared" si="12"/>
        <v>93.750190969444063</v>
      </c>
      <c r="Q56" s="22"/>
      <c r="R56" s="22"/>
      <c r="S56" s="22">
        <f t="shared" si="19"/>
        <v>515.71577636667178</v>
      </c>
      <c r="T56" s="22">
        <f t="shared" si="20"/>
        <v>2358.8268060609621</v>
      </c>
    </row>
    <row r="57" spans="1:20" x14ac:dyDescent="0.2">
      <c r="A57" s="5">
        <v>66</v>
      </c>
      <c r="C57" s="5"/>
      <c r="H57" s="21"/>
      <c r="I57" s="5"/>
      <c r="M57" s="5">
        <f>scrimecost*Meta!O54</f>
        <v>337.82399999999996</v>
      </c>
      <c r="N57" s="5">
        <f>L57-Grade14!L57</f>
        <v>0</v>
      </c>
      <c r="O57" s="5">
        <f>Grade14!M57-M57</f>
        <v>2.6640000000000441</v>
      </c>
      <c r="Q57" s="22"/>
      <c r="R57" s="22"/>
      <c r="S57" s="22">
        <f t="shared" si="19"/>
        <v>1.5264720000000251</v>
      </c>
      <c r="T57" s="22">
        <f t="shared" si="20"/>
        <v>7.2218338731416098</v>
      </c>
    </row>
    <row r="58" spans="1:20" x14ac:dyDescent="0.2">
      <c r="A58" s="5">
        <v>67</v>
      </c>
      <c r="C58" s="5"/>
      <c r="H58" s="21"/>
      <c r="I58" s="5"/>
      <c r="M58" s="5">
        <f>scrimecost*Meta!O55</f>
        <v>337.82399999999996</v>
      </c>
      <c r="N58" s="5">
        <f>L58-Grade14!L58</f>
        <v>0</v>
      </c>
      <c r="O58" s="5">
        <f>Grade14!M58-M58</f>
        <v>2.6640000000000441</v>
      </c>
      <c r="Q58" s="22"/>
      <c r="R58" s="22"/>
      <c r="S58" s="22">
        <f t="shared" si="19"/>
        <v>1.5264720000000251</v>
      </c>
      <c r="T58" s="22">
        <f t="shared" si="20"/>
        <v>7.4699983882584178</v>
      </c>
    </row>
    <row r="59" spans="1:20" x14ac:dyDescent="0.2">
      <c r="A59" s="5">
        <v>68</v>
      </c>
      <c r="H59" s="21"/>
      <c r="I59" s="5"/>
      <c r="M59" s="5">
        <f>scrimecost*Meta!O56</f>
        <v>337.82399999999996</v>
      </c>
      <c r="N59" s="5">
        <f>L59-Grade14!L59</f>
        <v>0</v>
      </c>
      <c r="O59" s="5">
        <f>Grade14!M59-M59</f>
        <v>2.6640000000000441</v>
      </c>
      <c r="Q59" s="22"/>
      <c r="R59" s="22"/>
      <c r="S59" s="22">
        <f t="shared" si="19"/>
        <v>1.5264720000000251</v>
      </c>
      <c r="T59" s="22">
        <f t="shared" si="20"/>
        <v>7.7266906025226971</v>
      </c>
    </row>
    <row r="60" spans="1:20" x14ac:dyDescent="0.2">
      <c r="A60" s="5">
        <v>69</v>
      </c>
      <c r="H60" s="21"/>
      <c r="I60" s="5"/>
      <c r="M60" s="5">
        <f>scrimecost*Meta!O57</f>
        <v>337.82399999999996</v>
      </c>
      <c r="N60" s="5">
        <f>L60-Grade14!L60</f>
        <v>0</v>
      </c>
      <c r="O60" s="5">
        <f>Grade14!M60-M60</f>
        <v>2.6640000000000441</v>
      </c>
      <c r="Q60" s="22"/>
      <c r="R60" s="22"/>
      <c r="S60" s="22">
        <f t="shared" si="19"/>
        <v>1.5264720000000251</v>
      </c>
      <c r="T60" s="22">
        <f t="shared" si="20"/>
        <v>7.992203554013301</v>
      </c>
    </row>
    <row r="61" spans="1:20" x14ac:dyDescent="0.2">
      <c r="A61" s="5">
        <v>70</v>
      </c>
      <c r="H61" s="21"/>
      <c r="I61" s="5"/>
      <c r="M61" s="5">
        <f>scrimecost*Meta!O58</f>
        <v>337.82399999999996</v>
      </c>
      <c r="N61" s="5">
        <f>L61-Grade14!L61</f>
        <v>0</v>
      </c>
      <c r="O61" s="5">
        <f>Grade14!M61-M61</f>
        <v>2.6640000000000441</v>
      </c>
      <c r="Q61" s="22"/>
      <c r="R61" s="22"/>
      <c r="S61" s="22">
        <f t="shared" si="19"/>
        <v>1.5264720000000251</v>
      </c>
      <c r="T61" s="22">
        <f t="shared" si="20"/>
        <v>8.2668403505024664</v>
      </c>
    </row>
    <row r="62" spans="1:20" x14ac:dyDescent="0.2">
      <c r="A62" s="5">
        <v>71</v>
      </c>
      <c r="H62" s="21"/>
      <c r="I62" s="5"/>
      <c r="M62" s="5">
        <f>scrimecost*Meta!O59</f>
        <v>337.82399999999996</v>
      </c>
      <c r="N62" s="5">
        <f>L62-Grade14!L62</f>
        <v>0</v>
      </c>
      <c r="O62" s="5">
        <f>Grade14!M62-M62</f>
        <v>2.6640000000000441</v>
      </c>
      <c r="Q62" s="22"/>
      <c r="R62" s="22"/>
      <c r="S62" s="22">
        <f t="shared" si="19"/>
        <v>1.5264720000000251</v>
      </c>
      <c r="T62" s="22">
        <f t="shared" si="20"/>
        <v>8.5509145154815727</v>
      </c>
    </row>
    <row r="63" spans="1:20" x14ac:dyDescent="0.2">
      <c r="A63" s="5">
        <v>72</v>
      </c>
      <c r="H63" s="21"/>
      <c r="M63" s="5">
        <f>scrimecost*Meta!O60</f>
        <v>337.82399999999996</v>
      </c>
      <c r="N63" s="5">
        <f>L63-Grade14!L63</f>
        <v>0</v>
      </c>
      <c r="O63" s="5">
        <f>Grade14!M63-M63</f>
        <v>2.6640000000000441</v>
      </c>
      <c r="Q63" s="22"/>
      <c r="R63" s="22"/>
      <c r="S63" s="22">
        <f t="shared" si="19"/>
        <v>1.5264720000000251</v>
      </c>
      <c r="T63" s="22">
        <f t="shared" si="20"/>
        <v>8.8447503460774151</v>
      </c>
    </row>
    <row r="64" spans="1:20" x14ac:dyDescent="0.2">
      <c r="A64" s="5">
        <v>73</v>
      </c>
      <c r="H64" s="21"/>
      <c r="M64" s="5">
        <f>scrimecost*Meta!O61</f>
        <v>337.82399999999996</v>
      </c>
      <c r="N64" s="5">
        <f>L64-Grade14!L64</f>
        <v>0</v>
      </c>
      <c r="O64" s="5">
        <f>Grade14!M64-M64</f>
        <v>2.6640000000000441</v>
      </c>
      <c r="Q64" s="22"/>
      <c r="R64" s="22"/>
      <c r="S64" s="22">
        <f t="shared" si="19"/>
        <v>1.5264720000000251</v>
      </c>
      <c r="T64" s="22">
        <f t="shared" si="20"/>
        <v>9.148683283267605</v>
      </c>
    </row>
    <row r="65" spans="1:20" x14ac:dyDescent="0.2">
      <c r="A65" s="5">
        <v>74</v>
      </c>
      <c r="H65" s="21"/>
      <c r="M65" s="5">
        <f>scrimecost*Meta!O62</f>
        <v>337.82399999999996</v>
      </c>
      <c r="N65" s="5">
        <f>L65-Grade14!L65</f>
        <v>0</v>
      </c>
      <c r="O65" s="5">
        <f>Grade14!M65-M65</f>
        <v>2.6640000000000441</v>
      </c>
      <c r="Q65" s="22"/>
      <c r="R65" s="22"/>
      <c r="S65" s="22">
        <f t="shared" si="19"/>
        <v>1.5264720000000251</v>
      </c>
      <c r="T65" s="22">
        <f t="shared" si="20"/>
        <v>9.4630602948176819</v>
      </c>
    </row>
    <row r="66" spans="1:20" x14ac:dyDescent="0.2">
      <c r="A66" s="5">
        <v>75</v>
      </c>
      <c r="H66" s="21"/>
      <c r="M66" s="5">
        <f>scrimecost*Meta!O63</f>
        <v>337.82399999999996</v>
      </c>
      <c r="N66" s="5">
        <f>L66-Grade14!L66</f>
        <v>0</v>
      </c>
      <c r="O66" s="5">
        <f>Grade14!M66-M66</f>
        <v>2.6640000000000441</v>
      </c>
      <c r="Q66" s="22"/>
      <c r="R66" s="22"/>
      <c r="S66" s="22">
        <f t="shared" si="19"/>
        <v>1.5264720000000251</v>
      </c>
      <c r="T66" s="22">
        <f t="shared" si="20"/>
        <v>9.7882402713771501</v>
      </c>
    </row>
    <row r="67" spans="1:20" x14ac:dyDescent="0.2">
      <c r="A67" s="5">
        <v>76</v>
      </c>
      <c r="H67" s="21"/>
      <c r="M67" s="5">
        <f>scrimecost*Meta!O64</f>
        <v>337.82399999999996</v>
      </c>
      <c r="N67" s="5">
        <f>L67-Grade14!L67</f>
        <v>0</v>
      </c>
      <c r="O67" s="5">
        <f>Grade14!M67-M67</f>
        <v>2.6640000000000441</v>
      </c>
      <c r="Q67" s="22"/>
      <c r="R67" s="22"/>
      <c r="S67" s="22">
        <f t="shared" si="19"/>
        <v>1.5264720000000251</v>
      </c>
      <c r="T67" s="22">
        <f t="shared" si="20"/>
        <v>10.1245944361866</v>
      </c>
    </row>
    <row r="68" spans="1:20" x14ac:dyDescent="0.2">
      <c r="A68" s="5">
        <v>77</v>
      </c>
      <c r="H68" s="21"/>
      <c r="M68" s="5">
        <f>scrimecost*Meta!O65</f>
        <v>337.82399999999996</v>
      </c>
      <c r="N68" s="5">
        <f>L68-Grade14!L68</f>
        <v>0</v>
      </c>
      <c r="O68" s="5">
        <f>Grade14!M68-M68</f>
        <v>2.6640000000000441</v>
      </c>
      <c r="Q68" s="22"/>
      <c r="R68" s="22"/>
      <c r="S68" s="22">
        <f t="shared" si="19"/>
        <v>1.5264720000000251</v>
      </c>
      <c r="T68" s="22">
        <f t="shared" si="20"/>
        <v>10.472506768863614</v>
      </c>
    </row>
    <row r="69" spans="1:20" x14ac:dyDescent="0.2">
      <c r="A69" s="5">
        <v>78</v>
      </c>
      <c r="H69" s="21"/>
      <c r="M69" s="5">
        <f>scrimecost*Meta!O66</f>
        <v>337.82399999999996</v>
      </c>
      <c r="N69" s="5">
        <f>L69-Grade14!L69</f>
        <v>0</v>
      </c>
      <c r="O69" s="5">
        <f>Grade14!M69-M69</f>
        <v>2.6640000000000441</v>
      </c>
      <c r="Q69" s="22"/>
      <c r="R69" s="22"/>
      <c r="S69" s="22">
        <f t="shared" si="19"/>
        <v>1.5264720000000251</v>
      </c>
      <c r="T69" s="22">
        <f t="shared" si="20"/>
        <v>10.832374443751291</v>
      </c>
    </row>
    <row r="70" spans="1:20" x14ac:dyDescent="0.2">
      <c r="A70" s="5">
        <v>79</v>
      </c>
      <c r="H70" s="21"/>
      <c r="M70" s="5"/>
      <c r="Q70" s="22"/>
      <c r="R70" s="22"/>
      <c r="S70" s="22">
        <f>SUM(T5:T69)</f>
        <v>2.7741538843883973E-8</v>
      </c>
    </row>
    <row r="71" spans="1:20" x14ac:dyDescent="0.2">
      <c r="A71" s="5">
        <v>80</v>
      </c>
      <c r="H71" s="21"/>
      <c r="M71" s="5"/>
      <c r="Q71" s="22"/>
      <c r="R71" s="22"/>
    </row>
    <row r="72" spans="1:20" x14ac:dyDescent="0.2">
      <c r="A72" s="5">
        <v>81</v>
      </c>
      <c r="H72" s="21"/>
      <c r="M72" s="5"/>
      <c r="Q72" s="22"/>
      <c r="R72" s="22"/>
    </row>
    <row r="73" spans="1:20" x14ac:dyDescent="0.2">
      <c r="A73" s="5">
        <v>82</v>
      </c>
      <c r="H73" s="21"/>
      <c r="M73" s="5"/>
    </row>
    <row r="74" spans="1:20" x14ac:dyDescent="0.2">
      <c r="A74" s="5">
        <v>83</v>
      </c>
      <c r="H74" s="21"/>
      <c r="M74" s="5"/>
    </row>
    <row r="75" spans="1:20" x14ac:dyDescent="0.2">
      <c r="A75" s="5">
        <v>84</v>
      </c>
      <c r="H75" s="21"/>
      <c r="M75" s="5"/>
    </row>
    <row r="76" spans="1:20" x14ac:dyDescent="0.2">
      <c r="A76" s="5">
        <v>85</v>
      </c>
      <c r="H76" s="21"/>
    </row>
    <row r="77" spans="1:20" x14ac:dyDescent="0.2">
      <c r="A77" s="5">
        <v>86</v>
      </c>
      <c r="H77" s="21"/>
    </row>
    <row r="78" spans="1:20" x14ac:dyDescent="0.2">
      <c r="A78" s="5">
        <v>87</v>
      </c>
      <c r="H78" s="21"/>
    </row>
    <row r="79" spans="1:20" x14ac:dyDescent="0.2">
      <c r="A79" s="5">
        <v>88</v>
      </c>
      <c r="H79" s="21"/>
    </row>
    <row r="80" spans="1:20" x14ac:dyDescent="0.2">
      <c r="A80" s="5">
        <v>89</v>
      </c>
      <c r="H80" s="21"/>
    </row>
    <row r="81" spans="1:8" x14ac:dyDescent="0.2">
      <c r="A81" s="5">
        <v>90</v>
      </c>
      <c r="H81" s="21"/>
    </row>
  </sheetData>
  <pageMargins left="0.75" right="0.75" top="1" bottom="1" header="0.5" footer="0.5"/>
  <pageSetup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1"/>
  <sheetViews>
    <sheetView workbookViewId="0">
      <selection activeCell="S12" sqref="S12"/>
    </sheetView>
  </sheetViews>
  <sheetFormatPr defaultRowHeight="12.75" x14ac:dyDescent="0.2"/>
  <cols>
    <col min="1" max="1" width="13.7109375" style="5" customWidth="1"/>
    <col min="2" max="7" width="13.7109375" style="1" customWidth="1"/>
    <col min="8" max="8" width="9.5703125" style="1" customWidth="1"/>
    <col min="9" max="9" width="9.140625" style="1"/>
    <col min="10" max="11" width="9.28515625" style="1" customWidth="1"/>
    <col min="12" max="12" width="9.140625" style="1"/>
    <col min="13" max="13" width="9.5703125" style="1" customWidth="1"/>
    <col min="14" max="14" width="9.28515625" style="1" customWidth="1"/>
    <col min="15" max="17" width="9.140625" style="1"/>
    <col min="18" max="18" width="9.5703125" style="1" bestFit="1" customWidth="1"/>
    <col min="19" max="19" width="10.140625" style="1" bestFit="1" customWidth="1"/>
    <col min="20" max="16384" width="9.140625" style="1"/>
  </cols>
  <sheetData>
    <row r="1" spans="1:20" x14ac:dyDescent="0.2">
      <c r="B1" s="1" t="s">
        <v>11</v>
      </c>
      <c r="C1" s="27" t="s">
        <v>35</v>
      </c>
      <c r="D1" s="27" t="s">
        <v>36</v>
      </c>
      <c r="E1" s="6" t="s">
        <v>9</v>
      </c>
      <c r="F1" s="6" t="s">
        <v>49</v>
      </c>
      <c r="G1" s="1" t="s">
        <v>4</v>
      </c>
      <c r="H1" s="1" t="s">
        <v>8</v>
      </c>
      <c r="J1" s="1" t="s">
        <v>56</v>
      </c>
      <c r="K1" s="1" t="s">
        <v>20</v>
      </c>
      <c r="N1" s="1" t="s">
        <v>43</v>
      </c>
      <c r="O1" s="1" t="s">
        <v>44</v>
      </c>
      <c r="P1" s="1" t="s">
        <v>45</v>
      </c>
      <c r="Q1" s="1" t="s">
        <v>46</v>
      </c>
      <c r="R1" s="1" t="s">
        <v>53</v>
      </c>
      <c r="T1" s="12" t="s">
        <v>57</v>
      </c>
    </row>
    <row r="2" spans="1:20" x14ac:dyDescent="0.2">
      <c r="B2" s="5">
        <f>Meta!A10+6</f>
        <v>22</v>
      </c>
      <c r="C2" s="7">
        <f>Meta!B10</f>
        <v>64997</v>
      </c>
      <c r="D2" s="7">
        <f>Meta!C10</f>
        <v>28570</v>
      </c>
      <c r="E2" s="1">
        <f>Meta!D10</f>
        <v>4.8000000000000001E-2</v>
      </c>
      <c r="F2" s="1">
        <f>Meta!F10</f>
        <v>0.80300000000000005</v>
      </c>
      <c r="G2" s="1">
        <f>Meta!I10</f>
        <v>1.7852800699689915</v>
      </c>
      <c r="H2" s="1">
        <f>Meta!E10</f>
        <v>0.57299999999999995</v>
      </c>
      <c r="I2" s="13"/>
      <c r="J2" s="1">
        <f>Meta!X9</f>
        <v>0.751</v>
      </c>
      <c r="K2" s="1">
        <f>Meta!D9</f>
        <v>0.06</v>
      </c>
      <c r="L2" s="29"/>
      <c r="N2" s="22">
        <f>Meta!T10</f>
        <v>49830</v>
      </c>
      <c r="O2" s="22">
        <f>Meta!U10</f>
        <v>22656</v>
      </c>
      <c r="P2" s="1">
        <f>Meta!V10</f>
        <v>6.2E-2</v>
      </c>
      <c r="Q2" s="1">
        <f>Meta!X10</f>
        <v>0.754</v>
      </c>
      <c r="R2" s="22">
        <f>Meta!W10</f>
        <v>4655</v>
      </c>
      <c r="T2" s="12">
        <f>IRR(S5:S69)+1</f>
        <v>0.96516124514519297</v>
      </c>
    </row>
    <row r="3" spans="1:20" ht="14.25" x14ac:dyDescent="0.2">
      <c r="C3" s="3"/>
      <c r="G3" s="4"/>
      <c r="L3" s="1" t="s">
        <v>10</v>
      </c>
    </row>
    <row r="4" spans="1:20" x14ac:dyDescent="0.2">
      <c r="A4" s="7" t="s">
        <v>0</v>
      </c>
      <c r="B4" s="2" t="s">
        <v>1</v>
      </c>
      <c r="C4" s="1" t="s">
        <v>37</v>
      </c>
      <c r="D4" s="1" t="s">
        <v>2</v>
      </c>
      <c r="E4" t="s">
        <v>12</v>
      </c>
      <c r="F4" t="s">
        <v>19</v>
      </c>
      <c r="G4" t="s">
        <v>18</v>
      </c>
      <c r="H4" t="s">
        <v>38</v>
      </c>
      <c r="I4" t="s">
        <v>6</v>
      </c>
      <c r="J4" s="1" t="s">
        <v>47</v>
      </c>
      <c r="L4" s="1" t="s">
        <v>48</v>
      </c>
      <c r="M4" s="1" t="s">
        <v>54</v>
      </c>
      <c r="N4" s="1" t="s">
        <v>59</v>
      </c>
      <c r="O4" s="1" t="s">
        <v>58</v>
      </c>
      <c r="P4" s="1" t="s">
        <v>55</v>
      </c>
      <c r="Q4" s="1" t="s">
        <v>17</v>
      </c>
      <c r="R4" s="1" t="s">
        <v>7</v>
      </c>
      <c r="S4" s="5" t="s">
        <v>14</v>
      </c>
      <c r="T4" s="5" t="s">
        <v>15</v>
      </c>
    </row>
    <row r="5" spans="1:20" x14ac:dyDescent="0.2">
      <c r="A5" s="5">
        <v>14</v>
      </c>
      <c r="C5" s="5"/>
      <c r="D5" s="5"/>
      <c r="E5" s="5"/>
      <c r="F5" s="5"/>
      <c r="G5" s="5"/>
      <c r="H5" s="22"/>
      <c r="I5" s="5"/>
      <c r="J5" s="26"/>
      <c r="L5" s="22"/>
      <c r="M5" s="5"/>
      <c r="N5" s="5"/>
      <c r="O5" s="5"/>
      <c r="P5" s="22"/>
      <c r="Q5" s="22"/>
      <c r="R5" s="22"/>
      <c r="S5" s="22"/>
      <c r="T5" s="22"/>
    </row>
    <row r="6" spans="1:20" x14ac:dyDescent="0.2">
      <c r="A6" s="5">
        <v>15</v>
      </c>
      <c r="C6" s="5"/>
      <c r="D6" s="5"/>
      <c r="E6" s="5"/>
      <c r="F6" s="5"/>
      <c r="G6" s="5"/>
      <c r="H6" s="22"/>
      <c r="I6" s="5"/>
      <c r="J6" s="26"/>
      <c r="L6" s="22"/>
      <c r="M6" s="5"/>
      <c r="N6" s="5"/>
      <c r="O6" s="5"/>
      <c r="P6" s="22"/>
      <c r="Q6" s="22"/>
      <c r="R6" s="22"/>
      <c r="S6" s="22"/>
      <c r="T6" s="22"/>
    </row>
    <row r="7" spans="1:20" x14ac:dyDescent="0.2">
      <c r="A7" s="5">
        <v>16</v>
      </c>
      <c r="C7" s="5"/>
      <c r="D7" s="5"/>
      <c r="E7" s="5"/>
      <c r="F7" s="5"/>
      <c r="G7" s="5"/>
      <c r="H7" s="22"/>
      <c r="I7" s="5"/>
      <c r="J7" s="26"/>
      <c r="L7" s="22"/>
      <c r="M7" s="5"/>
      <c r="N7" s="5"/>
      <c r="O7" s="5"/>
      <c r="P7" s="22"/>
      <c r="Q7" s="22"/>
      <c r="R7" s="22"/>
      <c r="S7" s="22"/>
      <c r="T7" s="22"/>
    </row>
    <row r="8" spans="1:20" x14ac:dyDescent="0.2">
      <c r="A8" s="5">
        <v>17</v>
      </c>
      <c r="C8" s="5"/>
      <c r="D8" s="5"/>
      <c r="E8" s="5"/>
      <c r="F8" s="5"/>
      <c r="G8" s="5"/>
      <c r="H8" s="22"/>
      <c r="I8" s="5"/>
      <c r="J8" s="26"/>
      <c r="L8" s="22"/>
      <c r="M8" s="5"/>
      <c r="N8" s="5"/>
      <c r="O8" s="5"/>
      <c r="P8" s="22"/>
      <c r="Q8" s="22"/>
      <c r="R8" s="22"/>
      <c r="S8" s="22"/>
      <c r="T8" s="22"/>
    </row>
    <row r="9" spans="1:20" x14ac:dyDescent="0.2">
      <c r="A9" s="5">
        <v>18</v>
      </c>
      <c r="C9" s="5"/>
      <c r="D9" s="5"/>
      <c r="E9" s="5"/>
      <c r="F9" s="5"/>
      <c r="G9" s="5"/>
      <c r="H9" s="22"/>
      <c r="I9" s="5"/>
      <c r="J9" s="26"/>
      <c r="L9" s="22"/>
      <c r="M9" s="5"/>
      <c r="N9" s="5"/>
      <c r="O9" s="5"/>
      <c r="P9" s="22"/>
      <c r="Q9" s="22"/>
      <c r="R9" s="22"/>
      <c r="S9" s="22"/>
      <c r="T9" s="22"/>
    </row>
    <row r="10" spans="1:20" x14ac:dyDescent="0.2">
      <c r="A10" s="5">
        <v>19</v>
      </c>
      <c r="C10" s="5"/>
      <c r="D10" s="5"/>
      <c r="E10" s="5"/>
      <c r="F10" s="5"/>
      <c r="G10" s="5"/>
      <c r="H10" s="22"/>
      <c r="I10" s="5"/>
      <c r="J10" s="26"/>
      <c r="L10" s="22"/>
      <c r="M10" s="5"/>
      <c r="N10" s="5"/>
      <c r="O10" s="5"/>
      <c r="P10" s="22"/>
      <c r="Q10" s="22"/>
      <c r="R10" s="22"/>
      <c r="S10" s="22"/>
      <c r="T10" s="22"/>
    </row>
    <row r="11" spans="1:20" x14ac:dyDescent="0.2">
      <c r="A11" s="5">
        <v>20</v>
      </c>
      <c r="C11" s="5"/>
      <c r="D11" s="5"/>
      <c r="E11" s="5"/>
      <c r="F11" s="5"/>
      <c r="G11" s="5"/>
      <c r="H11" s="22"/>
      <c r="I11" s="5"/>
      <c r="J11" s="26"/>
      <c r="L11" s="22"/>
      <c r="M11" s="5"/>
      <c r="N11" s="5"/>
      <c r="O11" s="5"/>
      <c r="P11" s="22"/>
      <c r="Q11" s="22"/>
      <c r="R11" s="22"/>
      <c r="S11" s="22"/>
      <c r="T11" s="22"/>
    </row>
    <row r="12" spans="1:20" x14ac:dyDescent="0.2">
      <c r="A12" s="5">
        <v>21</v>
      </c>
      <c r="B12" s="1">
        <v>1</v>
      </c>
      <c r="C12" s="5">
        <f>0.1*Grade15!C12</f>
        <v>2848.5159527108399</v>
      </c>
      <c r="D12" s="5">
        <f t="shared" ref="D12:D36" si="0">IF(A12&lt;startage,1,0)*(C12*(1-initialunempprob))+IF(A12=startage,1,0)*(C12*(1-unempprob))+IF(A12&gt;startage,1,0)*(C12*(1-unempprob)+unempprob*300*52)</f>
        <v>2677.6049955481894</v>
      </c>
      <c r="E12" s="5">
        <f t="shared" ref="E12:E56" si="1">IF(D12-9500&gt;0,1,0)*(D12-9500)</f>
        <v>0</v>
      </c>
      <c r="F12" s="5">
        <f t="shared" ref="F12:F56" si="2">IF(E12&lt;=8500,1,0)*(0.1*E12+0.1*E12+0.0765*D12)+IF(AND(E12&gt;8500,E12&lt;=34500),1,0)*(850+0.15*(E12-8500)+0.1*E12+0.0765*D12)+IF(AND(E12&gt;34500,E12&lt;=83600),1,0)*(4750+0.25*(E12-34500)+0.1*E12+0.0765*D12)+IF(AND(E12&gt;83600,E12&lt;=174400,D12&lt;=106800),1,0)*(17025+0.28*(E12-83600)+0.1*E12+0.0765*D12)+IF(AND(E12&gt;83600,E12&lt;=174400,D12&gt;106800),1,0)*(17025+0.28*(E12-83600)+0.1*E12+8170.2+0.0145*(D12-106800))+IF(AND(E12&gt;174400,E12&lt;=379150),1,0)*(42449+0.33*(E12-174400)+0.1*E12+8170.2+0.0145*(D12-106800))+IF(E12&gt;379150,1,0)*(110016.5+0.35*(E12-379150)+0.1*E12+8170.2+0.0145*(D12-106800))</f>
        <v>204.8367821594365</v>
      </c>
      <c r="G12" s="5">
        <f t="shared" ref="G12:G56" si="3">D12-F12</f>
        <v>2472.7682133887529</v>
      </c>
      <c r="H12" s="22">
        <f>0.1*Grade15!H12</f>
        <v>1289.671117969586</v>
      </c>
      <c r="I12" s="5">
        <f t="shared" ref="I12:I36" si="4">G12+IF(A12&lt;startage,1,0)*(H12*(1-initialunempprob))+IF(A12&gt;=startage,1,0)*(H12*(1-unempprob))</f>
        <v>3685.0590642801635</v>
      </c>
      <c r="J12" s="26">
        <f t="shared" ref="J12:J56" si="5">(F12-(IF(A12&gt;startage,1,0)*(unempprob*300*52)))/(IF(A12&lt;startage,1,0)*((C12+H12)*(1-initialunempprob))+IF(A12&gt;=startage,1,0)*((C12+H12)*(1-unempprob)))</f>
        <v>5.2658680398068362E-2</v>
      </c>
      <c r="L12" s="22">
        <f>0.1*Grade15!L12</f>
        <v>3679.2674130657697</v>
      </c>
      <c r="M12" s="5">
        <f>scrimecost*Meta!O9</f>
        <v>14016.205</v>
      </c>
      <c r="N12" s="5">
        <f>L12-Grade15!L12</f>
        <v>-33113.406717591926</v>
      </c>
      <c r="O12" s="5"/>
      <c r="P12" s="22"/>
      <c r="Q12" s="22">
        <f>0.05*feel*Grade15!G12</f>
        <v>291.67137503023883</v>
      </c>
      <c r="R12" s="22">
        <f>coltuition</f>
        <v>8279</v>
      </c>
      <c r="S12" s="22">
        <f t="shared" ref="S12:S43" si="6">IF(A12&lt;startage,1,0)*(N12-Q12-R12)+IF(A12&gt;=startage,1,0)*completionprob*(N12*spart+O12+P12)</f>
        <v>-41684.078092622163</v>
      </c>
      <c r="T12" s="22">
        <f t="shared" ref="T12:T43" si="7">S12/sreturn^(A12-startage+1)</f>
        <v>-41684.078092622163</v>
      </c>
    </row>
    <row r="13" spans="1:20" x14ac:dyDescent="0.2">
      <c r="A13" s="5">
        <v>22</v>
      </c>
      <c r="B13" s="1">
        <f t="shared" ref="B13:B36" si="8">(1+experiencepremium)^(A13-startage)</f>
        <v>1</v>
      </c>
      <c r="C13" s="5">
        <f t="shared" ref="C13:C36" si="9">pretaxincome*B13/expnorm</f>
        <v>36407.17279789548</v>
      </c>
      <c r="D13" s="5">
        <f t="shared" si="0"/>
        <v>34659.628503596497</v>
      </c>
      <c r="E13" s="5">
        <f t="shared" si="1"/>
        <v>25159.628503596497</v>
      </c>
      <c r="F13" s="5">
        <f t="shared" si="2"/>
        <v>8516.3687064242567</v>
      </c>
      <c r="G13" s="5">
        <f t="shared" si="3"/>
        <v>26143.259797172243</v>
      </c>
      <c r="H13" s="22">
        <f t="shared" ref="H13:H36" si="10">benefits*B13/expnorm</f>
        <v>16003.091324766894</v>
      </c>
      <c r="I13" s="5">
        <f t="shared" si="4"/>
        <v>41378.202738350323</v>
      </c>
      <c r="J13" s="26">
        <f t="shared" si="5"/>
        <v>0.17068728039583492</v>
      </c>
      <c r="L13" s="22">
        <f t="shared" ref="L13:L36" si="11">(sincome+sbenefits)*(1-sunemp)*B13/expnorm</f>
        <v>38084.706788431773</v>
      </c>
      <c r="M13" s="5">
        <f>scrimecost*Meta!O10</f>
        <v>12782.63</v>
      </c>
      <c r="N13" s="5">
        <f>L13-Grade15!L13</f>
        <v>372.21580450763577</v>
      </c>
      <c r="O13" s="5">
        <f>Grade15!M13-M13</f>
        <v>101.60200000000077</v>
      </c>
      <c r="P13" s="22">
        <f t="shared" ref="P13:P56" si="12">(spart-initialspart)*(L13*J13+nptrans)</f>
        <v>39.163725079170668</v>
      </c>
      <c r="Q13" s="22"/>
      <c r="R13" s="22"/>
      <c r="S13" s="22">
        <f t="shared" si="6"/>
        <v>241.47162108145318</v>
      </c>
      <c r="T13" s="22">
        <f t="shared" si="7"/>
        <v>250.18785440885338</v>
      </c>
    </row>
    <row r="14" spans="1:20" x14ac:dyDescent="0.2">
      <c r="A14" s="5">
        <v>23</v>
      </c>
      <c r="B14" s="1">
        <f t="shared" si="8"/>
        <v>1.0249999999999999</v>
      </c>
      <c r="C14" s="5">
        <f t="shared" si="9"/>
        <v>37317.352117842856</v>
      </c>
      <c r="D14" s="5">
        <f t="shared" si="0"/>
        <v>36274.919216186398</v>
      </c>
      <c r="E14" s="5">
        <f t="shared" si="1"/>
        <v>26774.919216186398</v>
      </c>
      <c r="F14" s="5">
        <f t="shared" si="2"/>
        <v>9043.7611240848582</v>
      </c>
      <c r="G14" s="5">
        <f t="shared" si="3"/>
        <v>27231.158092101541</v>
      </c>
      <c r="H14" s="22">
        <f t="shared" si="10"/>
        <v>16403.168607886062</v>
      </c>
      <c r="I14" s="5">
        <f t="shared" si="4"/>
        <v>42846.974606809075</v>
      </c>
      <c r="J14" s="26">
        <f t="shared" si="5"/>
        <v>0.1621948994604446</v>
      </c>
      <c r="L14" s="22">
        <f t="shared" si="11"/>
        <v>39036.824458142561</v>
      </c>
      <c r="M14" s="5">
        <f>scrimecost*Meta!O11</f>
        <v>11916.800000000001</v>
      </c>
      <c r="N14" s="5">
        <f>L14-Grade15!L14</f>
        <v>381.52119962032157</v>
      </c>
      <c r="O14" s="5">
        <f>Grade15!M14-M14</f>
        <v>94.719999999999345</v>
      </c>
      <c r="P14" s="22">
        <f t="shared" si="12"/>
        <v>38.656721454730409</v>
      </c>
      <c r="Q14" s="22"/>
      <c r="R14" s="22"/>
      <c r="S14" s="22">
        <f t="shared" si="6"/>
        <v>241.25804351992312</v>
      </c>
      <c r="T14" s="22">
        <f t="shared" si="7"/>
        <v>258.98943699182496</v>
      </c>
    </row>
    <row r="15" spans="1:20" x14ac:dyDescent="0.2">
      <c r="A15" s="5">
        <v>24</v>
      </c>
      <c r="B15" s="1">
        <f t="shared" si="8"/>
        <v>1.0506249999999999</v>
      </c>
      <c r="C15" s="5">
        <f t="shared" si="9"/>
        <v>38250.285920788927</v>
      </c>
      <c r="D15" s="5">
        <f t="shared" si="0"/>
        <v>37163.072196591056</v>
      </c>
      <c r="E15" s="5">
        <f t="shared" si="1"/>
        <v>27663.072196591056</v>
      </c>
      <c r="F15" s="5">
        <f t="shared" si="2"/>
        <v>9333.7430721869787</v>
      </c>
      <c r="G15" s="5">
        <f t="shared" si="3"/>
        <v>27829.329124404077</v>
      </c>
      <c r="H15" s="22">
        <f t="shared" si="10"/>
        <v>16813.247823083217</v>
      </c>
      <c r="I15" s="5">
        <f t="shared" si="4"/>
        <v>43835.5410519793</v>
      </c>
      <c r="J15" s="26">
        <f t="shared" si="5"/>
        <v>0.16377077044638069</v>
      </c>
      <c r="L15" s="22">
        <f t="shared" si="11"/>
        <v>40012.745069596131</v>
      </c>
      <c r="M15" s="5">
        <f>scrimecost*Meta!O12</f>
        <v>11367.51</v>
      </c>
      <c r="N15" s="5">
        <f>L15-Grade15!L15</f>
        <v>391.05922961083706</v>
      </c>
      <c r="O15" s="5">
        <f>Grade15!M15-M15</f>
        <v>90.354000000001179</v>
      </c>
      <c r="P15" s="22">
        <f t="shared" si="12"/>
        <v>39.320754263167174</v>
      </c>
      <c r="Q15" s="22"/>
      <c r="R15" s="22"/>
      <c r="S15" s="22">
        <f t="shared" si="6"/>
        <v>243.25764587232072</v>
      </c>
      <c r="T15" s="22">
        <f t="shared" si="7"/>
        <v>270.56204602043738</v>
      </c>
    </row>
    <row r="16" spans="1:20" x14ac:dyDescent="0.2">
      <c r="A16" s="5">
        <v>25</v>
      </c>
      <c r="B16" s="1">
        <f t="shared" si="8"/>
        <v>1.0768906249999999</v>
      </c>
      <c r="C16" s="5">
        <f t="shared" si="9"/>
        <v>39206.543068808656</v>
      </c>
      <c r="D16" s="5">
        <f t="shared" si="0"/>
        <v>38073.429001505843</v>
      </c>
      <c r="E16" s="5">
        <f t="shared" si="1"/>
        <v>28573.429001505843</v>
      </c>
      <c r="F16" s="5">
        <f t="shared" si="2"/>
        <v>9630.9745689916581</v>
      </c>
      <c r="G16" s="5">
        <f t="shared" si="3"/>
        <v>28442.454432514183</v>
      </c>
      <c r="H16" s="22">
        <f t="shared" si="10"/>
        <v>17233.579018660297</v>
      </c>
      <c r="I16" s="5">
        <f t="shared" si="4"/>
        <v>44848.821658278786</v>
      </c>
      <c r="J16" s="26">
        <f t="shared" si="5"/>
        <v>0.16530820555461115</v>
      </c>
      <c r="L16" s="22">
        <f t="shared" si="11"/>
        <v>41013.06369633603</v>
      </c>
      <c r="M16" s="5">
        <f>scrimecost*Meta!O13</f>
        <v>9463.6149999999998</v>
      </c>
      <c r="N16" s="5">
        <f>L16-Grade15!L16</f>
        <v>400.83571035110799</v>
      </c>
      <c r="O16" s="5">
        <f>Grade15!M16-M16</f>
        <v>75.220999999999549</v>
      </c>
      <c r="P16" s="22">
        <f t="shared" si="12"/>
        <v>40.001387891814858</v>
      </c>
      <c r="Q16" s="22"/>
      <c r="R16" s="22"/>
      <c r="S16" s="22">
        <f t="shared" si="6"/>
        <v>239.20029023352305</v>
      </c>
      <c r="T16" s="22">
        <f t="shared" si="7"/>
        <v>275.65266917015225</v>
      </c>
    </row>
    <row r="17" spans="1:20" x14ac:dyDescent="0.2">
      <c r="A17" s="5">
        <v>26</v>
      </c>
      <c r="B17" s="1">
        <f t="shared" si="8"/>
        <v>1.1038128906249998</v>
      </c>
      <c r="C17" s="5">
        <f t="shared" si="9"/>
        <v>40186.706645528866</v>
      </c>
      <c r="D17" s="5">
        <f t="shared" si="0"/>
        <v>39006.544726543485</v>
      </c>
      <c r="E17" s="5">
        <f t="shared" si="1"/>
        <v>29506.544726543485</v>
      </c>
      <c r="F17" s="5">
        <f t="shared" si="2"/>
        <v>9935.6368532164488</v>
      </c>
      <c r="G17" s="5">
        <f t="shared" si="3"/>
        <v>29070.907873327036</v>
      </c>
      <c r="H17" s="22">
        <f t="shared" si="10"/>
        <v>17664.418494126803</v>
      </c>
      <c r="I17" s="5">
        <f t="shared" si="4"/>
        <v>45887.434279735753</v>
      </c>
      <c r="J17" s="26">
        <f t="shared" si="5"/>
        <v>0.16680814224556764</v>
      </c>
      <c r="L17" s="22">
        <f t="shared" si="11"/>
        <v>42038.390288744427</v>
      </c>
      <c r="M17" s="5">
        <f>scrimecost*Meta!O14</f>
        <v>9463.6149999999998</v>
      </c>
      <c r="N17" s="5">
        <f>L17-Grade15!L17</f>
        <v>410.85660310988897</v>
      </c>
      <c r="O17" s="5">
        <f>Grade15!M17-M17</f>
        <v>75.220999999999549</v>
      </c>
      <c r="P17" s="22">
        <f t="shared" si="12"/>
        <v>40.699037361178746</v>
      </c>
      <c r="Q17" s="22"/>
      <c r="R17" s="22"/>
      <c r="S17" s="22">
        <f t="shared" si="6"/>
        <v>243.92948992875779</v>
      </c>
      <c r="T17" s="22">
        <f t="shared" si="7"/>
        <v>291.24932834475771</v>
      </c>
    </row>
    <row r="18" spans="1:20" x14ac:dyDescent="0.2">
      <c r="A18" s="5">
        <v>27</v>
      </c>
      <c r="B18" s="1">
        <f t="shared" si="8"/>
        <v>1.1314082128906247</v>
      </c>
      <c r="C18" s="5">
        <f t="shared" si="9"/>
        <v>41191.374311667081</v>
      </c>
      <c r="D18" s="5">
        <f t="shared" si="0"/>
        <v>39962.988344707061</v>
      </c>
      <c r="E18" s="5">
        <f t="shared" si="1"/>
        <v>30462.988344707061</v>
      </c>
      <c r="F18" s="5">
        <f t="shared" si="2"/>
        <v>10247.915694546855</v>
      </c>
      <c r="G18" s="5">
        <f t="shared" si="3"/>
        <v>29715.072650160204</v>
      </c>
      <c r="H18" s="22">
        <f t="shared" si="10"/>
        <v>18106.028956479971</v>
      </c>
      <c r="I18" s="5">
        <f t="shared" si="4"/>
        <v>46952.012216729141</v>
      </c>
      <c r="J18" s="26">
        <f t="shared" si="5"/>
        <v>0.16827149511479339</v>
      </c>
      <c r="L18" s="22">
        <f t="shared" si="11"/>
        <v>43089.350045963038</v>
      </c>
      <c r="M18" s="5">
        <f>scrimecost*Meta!O15</f>
        <v>9463.6149999999998</v>
      </c>
      <c r="N18" s="5">
        <f>L18-Grade15!L18</f>
        <v>421.12801818763546</v>
      </c>
      <c r="O18" s="5">
        <f>Grade15!M18-M18</f>
        <v>75.220999999999549</v>
      </c>
      <c r="P18" s="22">
        <f t="shared" si="12"/>
        <v>41.414128067276714</v>
      </c>
      <c r="Q18" s="22"/>
      <c r="R18" s="22"/>
      <c r="S18" s="22">
        <f t="shared" si="6"/>
        <v>248.77691961637166</v>
      </c>
      <c r="T18" s="22">
        <f t="shared" si="7"/>
        <v>307.75905223133731</v>
      </c>
    </row>
    <row r="19" spans="1:20" x14ac:dyDescent="0.2">
      <c r="A19" s="5">
        <v>28</v>
      </c>
      <c r="B19" s="1">
        <f t="shared" si="8"/>
        <v>1.1596934182128902</v>
      </c>
      <c r="C19" s="5">
        <f t="shared" si="9"/>
        <v>42221.158669458753</v>
      </c>
      <c r="D19" s="5">
        <f t="shared" si="0"/>
        <v>40943.343053324737</v>
      </c>
      <c r="E19" s="5">
        <f t="shared" si="1"/>
        <v>31443.343053324737</v>
      </c>
      <c r="F19" s="5">
        <f t="shared" si="2"/>
        <v>10568.001506910527</v>
      </c>
      <c r="G19" s="5">
        <f t="shared" si="3"/>
        <v>30375.341546414209</v>
      </c>
      <c r="H19" s="22">
        <f t="shared" si="10"/>
        <v>18558.679680391968</v>
      </c>
      <c r="I19" s="5">
        <f t="shared" si="4"/>
        <v>48043.204602147365</v>
      </c>
      <c r="J19" s="26">
        <f t="shared" si="5"/>
        <v>0.1696991564506235</v>
      </c>
      <c r="L19" s="22">
        <f t="shared" si="11"/>
        <v>44166.583797112107</v>
      </c>
      <c r="M19" s="5">
        <f>scrimecost*Meta!O16</f>
        <v>9463.6149999999998</v>
      </c>
      <c r="N19" s="5">
        <f>L19-Grade15!L19</f>
        <v>431.65621864231071</v>
      </c>
      <c r="O19" s="5">
        <f>Grade15!M19-M19</f>
        <v>75.220999999999549</v>
      </c>
      <c r="P19" s="22">
        <f t="shared" si="12"/>
        <v>42.14709604102714</v>
      </c>
      <c r="Q19" s="22"/>
      <c r="R19" s="22"/>
      <c r="S19" s="22">
        <f t="shared" si="6"/>
        <v>253.74553504616949</v>
      </c>
      <c r="T19" s="22">
        <f t="shared" si="7"/>
        <v>325.236503784197</v>
      </c>
    </row>
    <row r="20" spans="1:20" x14ac:dyDescent="0.2">
      <c r="A20" s="5">
        <v>29</v>
      </c>
      <c r="B20" s="1">
        <f t="shared" si="8"/>
        <v>1.1886857536682125</v>
      </c>
      <c r="C20" s="5">
        <f t="shared" si="9"/>
        <v>43276.687636195231</v>
      </c>
      <c r="D20" s="5">
        <f t="shared" si="0"/>
        <v>41948.206629657863</v>
      </c>
      <c r="E20" s="5">
        <f t="shared" si="1"/>
        <v>32448.206629657863</v>
      </c>
      <c r="F20" s="5">
        <f t="shared" si="2"/>
        <v>10896.089464583292</v>
      </c>
      <c r="G20" s="5">
        <f t="shared" si="3"/>
        <v>31052.117165074571</v>
      </c>
      <c r="H20" s="22">
        <f t="shared" si="10"/>
        <v>19022.64667240177</v>
      </c>
      <c r="I20" s="5">
        <f t="shared" si="4"/>
        <v>49161.676797201057</v>
      </c>
      <c r="J20" s="26">
        <f t="shared" si="5"/>
        <v>0.17109199677826262</v>
      </c>
      <c r="L20" s="22">
        <f t="shared" si="11"/>
        <v>45270.74839203991</v>
      </c>
      <c r="M20" s="5">
        <f>scrimecost*Meta!O17</f>
        <v>9463.6149999999998</v>
      </c>
      <c r="N20" s="5">
        <f>L20-Grade15!L20</f>
        <v>442.44762410837575</v>
      </c>
      <c r="O20" s="5">
        <f>Grade15!M20-M20</f>
        <v>75.220999999999549</v>
      </c>
      <c r="P20" s="22">
        <f t="shared" si="12"/>
        <v>42.898388214121333</v>
      </c>
      <c r="Q20" s="22"/>
      <c r="R20" s="22"/>
      <c r="S20" s="22">
        <f t="shared" si="6"/>
        <v>258.83836586172214</v>
      </c>
      <c r="T20" s="22">
        <f t="shared" si="7"/>
        <v>343.73966475130544</v>
      </c>
    </row>
    <row r="21" spans="1:20" x14ac:dyDescent="0.2">
      <c r="A21" s="5">
        <v>30</v>
      </c>
      <c r="B21" s="1">
        <f t="shared" si="8"/>
        <v>1.2184028975099177</v>
      </c>
      <c r="C21" s="5">
        <f t="shared" si="9"/>
        <v>44358.604827100105</v>
      </c>
      <c r="D21" s="5">
        <f t="shared" si="0"/>
        <v>42978.191795399303</v>
      </c>
      <c r="E21" s="5">
        <f t="shared" si="1"/>
        <v>33478.191795399303</v>
      </c>
      <c r="F21" s="5">
        <f t="shared" si="2"/>
        <v>11232.379621197873</v>
      </c>
      <c r="G21" s="5">
        <f t="shared" si="3"/>
        <v>31745.81217420143</v>
      </c>
      <c r="H21" s="22">
        <f t="shared" si="10"/>
        <v>19498.21283921181</v>
      </c>
      <c r="I21" s="5">
        <f t="shared" si="4"/>
        <v>50308.11079713107</v>
      </c>
      <c r="J21" s="26">
        <f t="shared" si="5"/>
        <v>0.17245086539059346</v>
      </c>
      <c r="L21" s="22">
        <f t="shared" si="11"/>
        <v>46402.517101840909</v>
      </c>
      <c r="M21" s="5">
        <f>scrimecost*Meta!O18</f>
        <v>7797.125</v>
      </c>
      <c r="N21" s="5">
        <f>L21-Grade15!L21</f>
        <v>453.50881471110188</v>
      </c>
      <c r="O21" s="5">
        <f>Grade15!M21-M21</f>
        <v>61.975000000000364</v>
      </c>
      <c r="P21" s="22">
        <f t="shared" si="12"/>
        <v>43.668462691542871</v>
      </c>
      <c r="Q21" s="22"/>
      <c r="R21" s="22"/>
      <c r="S21" s="22">
        <f t="shared" si="6"/>
        <v>256.4685594476681</v>
      </c>
      <c r="T21" s="22">
        <f t="shared" si="7"/>
        <v>352.88667292909435</v>
      </c>
    </row>
    <row r="22" spans="1:20" x14ac:dyDescent="0.2">
      <c r="A22" s="5">
        <v>31</v>
      </c>
      <c r="B22" s="1">
        <f t="shared" si="8"/>
        <v>1.2488629699476654</v>
      </c>
      <c r="C22" s="5">
        <f t="shared" si="9"/>
        <v>45467.569947777607</v>
      </c>
      <c r="D22" s="5">
        <f t="shared" si="0"/>
        <v>44033.926590284282</v>
      </c>
      <c r="E22" s="5">
        <f t="shared" si="1"/>
        <v>34533.926590284282</v>
      </c>
      <c r="F22" s="5">
        <f t="shared" si="2"/>
        <v>11580.469690756247</v>
      </c>
      <c r="G22" s="5">
        <f t="shared" si="3"/>
        <v>32453.456899528035</v>
      </c>
      <c r="H22" s="22">
        <f t="shared" si="10"/>
        <v>19985.668160192101</v>
      </c>
      <c r="I22" s="5">
        <f t="shared" si="4"/>
        <v>51479.812988030913</v>
      </c>
      <c r="J22" s="26">
        <f t="shared" si="5"/>
        <v>0.17383103763704372</v>
      </c>
      <c r="L22" s="22">
        <f t="shared" si="11"/>
        <v>47562.580029386925</v>
      </c>
      <c r="M22" s="5">
        <f>scrimecost*Meta!O19</f>
        <v>7797.125</v>
      </c>
      <c r="N22" s="5">
        <f>L22-Grade15!L22</f>
        <v>464.84653507886105</v>
      </c>
      <c r="O22" s="5">
        <f>Grade15!M22-M22</f>
        <v>61.975000000000364</v>
      </c>
      <c r="P22" s="22">
        <f t="shared" si="12"/>
        <v>44.465557917609821</v>
      </c>
      <c r="Q22" s="22"/>
      <c r="R22" s="22"/>
      <c r="S22" s="22">
        <f t="shared" si="6"/>
        <v>261.82366639533188</v>
      </c>
      <c r="T22" s="22">
        <f t="shared" si="7"/>
        <v>373.25888106706907</v>
      </c>
    </row>
    <row r="23" spans="1:20" x14ac:dyDescent="0.2">
      <c r="A23" s="5">
        <v>32</v>
      </c>
      <c r="B23" s="1">
        <f t="shared" si="8"/>
        <v>1.2800845441963571</v>
      </c>
      <c r="C23" s="5">
        <f t="shared" si="9"/>
        <v>46604.259196472041</v>
      </c>
      <c r="D23" s="5">
        <f t="shared" si="0"/>
        <v>45116.054755041383</v>
      </c>
      <c r="E23" s="5">
        <f t="shared" si="1"/>
        <v>35616.054755041383</v>
      </c>
      <c r="F23" s="5">
        <f t="shared" si="2"/>
        <v>12041.99735302515</v>
      </c>
      <c r="G23" s="5">
        <f t="shared" si="3"/>
        <v>33074.057402016231</v>
      </c>
      <c r="H23" s="22">
        <f t="shared" si="10"/>
        <v>20485.309864196905</v>
      </c>
      <c r="I23" s="5">
        <f t="shared" si="4"/>
        <v>52576.072392731687</v>
      </c>
      <c r="J23" s="26">
        <f t="shared" si="5"/>
        <v>0.17681738648304204</v>
      </c>
      <c r="L23" s="22">
        <f t="shared" si="11"/>
        <v>48751.644530121594</v>
      </c>
      <c r="M23" s="5">
        <f>scrimecost*Meta!O20</f>
        <v>7797.125</v>
      </c>
      <c r="N23" s="5">
        <f>L23-Grade15!L23</f>
        <v>476.46769845583913</v>
      </c>
      <c r="O23" s="5">
        <f>Grade15!M23-M23</f>
        <v>61.975000000000364</v>
      </c>
      <c r="P23" s="22">
        <f t="shared" si="12"/>
        <v>45.522415117699218</v>
      </c>
      <c r="Q23" s="22"/>
      <c r="R23" s="22"/>
      <c r="S23" s="22">
        <f t="shared" si="6"/>
        <v>267.45007623869947</v>
      </c>
      <c r="T23" s="22">
        <f t="shared" si="7"/>
        <v>395.04275442404287</v>
      </c>
    </row>
    <row r="24" spans="1:20" x14ac:dyDescent="0.2">
      <c r="A24" s="5">
        <v>33</v>
      </c>
      <c r="B24" s="1">
        <f t="shared" si="8"/>
        <v>1.312086657801266</v>
      </c>
      <c r="C24" s="5">
        <f t="shared" si="9"/>
        <v>47769.365676383844</v>
      </c>
      <c r="D24" s="5">
        <f t="shared" si="0"/>
        <v>46225.236123917421</v>
      </c>
      <c r="E24" s="5">
        <f t="shared" si="1"/>
        <v>36725.236123917421</v>
      </c>
      <c r="F24" s="5">
        <f t="shared" si="2"/>
        <v>12515.06320685078</v>
      </c>
      <c r="G24" s="5">
        <f t="shared" si="3"/>
        <v>33710.172917066637</v>
      </c>
      <c r="H24" s="22">
        <f t="shared" si="10"/>
        <v>20997.442610801827</v>
      </c>
      <c r="I24" s="5">
        <f t="shared" si="4"/>
        <v>53699.738282549974</v>
      </c>
      <c r="J24" s="26">
        <f t="shared" si="5"/>
        <v>0.17973089755230875</v>
      </c>
      <c r="L24" s="22">
        <f t="shared" si="11"/>
        <v>49970.435643374636</v>
      </c>
      <c r="M24" s="5">
        <f>scrimecost*Meta!O21</f>
        <v>7797.125</v>
      </c>
      <c r="N24" s="5">
        <f>L24-Grade15!L24</f>
        <v>488.3793909172382</v>
      </c>
      <c r="O24" s="5">
        <f>Grade15!M24-M24</f>
        <v>61.975000000000364</v>
      </c>
      <c r="P24" s="22">
        <f t="shared" si="12"/>
        <v>46.605693747790852</v>
      </c>
      <c r="Q24" s="22"/>
      <c r="R24" s="22"/>
      <c r="S24" s="22">
        <f t="shared" si="6"/>
        <v>273.21714632814979</v>
      </c>
      <c r="T24" s="22">
        <f t="shared" si="7"/>
        <v>418.12819205063136</v>
      </c>
    </row>
    <row r="25" spans="1:20" x14ac:dyDescent="0.2">
      <c r="A25" s="5">
        <v>34</v>
      </c>
      <c r="B25" s="1">
        <f t="shared" si="8"/>
        <v>1.3448888242462975</v>
      </c>
      <c r="C25" s="5">
        <f t="shared" si="9"/>
        <v>48963.599818293435</v>
      </c>
      <c r="D25" s="5">
        <f t="shared" si="0"/>
        <v>47362.147027015351</v>
      </c>
      <c r="E25" s="5">
        <f t="shared" si="1"/>
        <v>37862.147027015351</v>
      </c>
      <c r="F25" s="5">
        <f t="shared" si="2"/>
        <v>12999.955707022047</v>
      </c>
      <c r="G25" s="5">
        <f t="shared" si="3"/>
        <v>34362.191319993304</v>
      </c>
      <c r="H25" s="22">
        <f t="shared" si="10"/>
        <v>21522.378676071872</v>
      </c>
      <c r="I25" s="5">
        <f t="shared" si="4"/>
        <v>54851.49581961373</v>
      </c>
      <c r="J25" s="26">
        <f t="shared" si="5"/>
        <v>0.18257334737598357</v>
      </c>
      <c r="L25" s="22">
        <f t="shared" si="11"/>
        <v>51219.696534458992</v>
      </c>
      <c r="M25" s="5">
        <f>scrimecost*Meta!O22</f>
        <v>7797.125</v>
      </c>
      <c r="N25" s="5">
        <f>L25-Grade15!L25</f>
        <v>500.58887569016224</v>
      </c>
      <c r="O25" s="5">
        <f>Grade15!M25-M25</f>
        <v>61.975000000000364</v>
      </c>
      <c r="P25" s="22">
        <f t="shared" si="12"/>
        <v>47.716054343634774</v>
      </c>
      <c r="Q25" s="22"/>
      <c r="R25" s="22"/>
      <c r="S25" s="22">
        <f t="shared" si="6"/>
        <v>279.12839316983201</v>
      </c>
      <c r="T25" s="22">
        <f t="shared" si="7"/>
        <v>442.59412025429043</v>
      </c>
    </row>
    <row r="26" spans="1:20" x14ac:dyDescent="0.2">
      <c r="A26" s="5">
        <v>35</v>
      </c>
      <c r="B26" s="1">
        <f t="shared" si="8"/>
        <v>1.3785110448524549</v>
      </c>
      <c r="C26" s="5">
        <f t="shared" si="9"/>
        <v>50187.689813750767</v>
      </c>
      <c r="D26" s="5">
        <f t="shared" si="0"/>
        <v>48527.480702690729</v>
      </c>
      <c r="E26" s="5">
        <f t="shared" si="1"/>
        <v>39027.480702690729</v>
      </c>
      <c r="F26" s="5">
        <f t="shared" si="2"/>
        <v>13496.970519697596</v>
      </c>
      <c r="G26" s="5">
        <f t="shared" si="3"/>
        <v>35030.510182993137</v>
      </c>
      <c r="H26" s="22">
        <f t="shared" si="10"/>
        <v>22060.438142973668</v>
      </c>
      <c r="I26" s="5">
        <f t="shared" si="4"/>
        <v>56032.047295104072</v>
      </c>
      <c r="J26" s="26">
        <f t="shared" si="5"/>
        <v>0.18534646915517855</v>
      </c>
      <c r="L26" s="22">
        <f t="shared" si="11"/>
        <v>52500.188947820468</v>
      </c>
      <c r="M26" s="5">
        <f>scrimecost*Meta!O23</f>
        <v>5893.2300000000005</v>
      </c>
      <c r="N26" s="5">
        <f>L26-Grade15!L26</f>
        <v>513.10359758241975</v>
      </c>
      <c r="O26" s="5">
        <f>Grade15!M26-M26</f>
        <v>46.841999999999643</v>
      </c>
      <c r="P26" s="22">
        <f t="shared" si="12"/>
        <v>48.854173954374801</v>
      </c>
      <c r="Q26" s="22"/>
      <c r="R26" s="22"/>
      <c r="S26" s="22">
        <f t="shared" si="6"/>
        <v>276.51621218256031</v>
      </c>
      <c r="T26" s="22">
        <f t="shared" si="7"/>
        <v>454.27867323613674</v>
      </c>
    </row>
    <row r="27" spans="1:20" x14ac:dyDescent="0.2">
      <c r="A27" s="5">
        <v>36</v>
      </c>
      <c r="B27" s="1">
        <f t="shared" si="8"/>
        <v>1.4129738209737661</v>
      </c>
      <c r="C27" s="5">
        <f t="shared" si="9"/>
        <v>51442.382059094532</v>
      </c>
      <c r="D27" s="5">
        <f t="shared" si="0"/>
        <v>49721.947720257995</v>
      </c>
      <c r="E27" s="5">
        <f t="shared" si="1"/>
        <v>40221.947720257995</v>
      </c>
      <c r="F27" s="5">
        <f t="shared" si="2"/>
        <v>14006.410702690035</v>
      </c>
      <c r="G27" s="5">
        <f t="shared" si="3"/>
        <v>35715.537017567956</v>
      </c>
      <c r="H27" s="22">
        <f t="shared" si="10"/>
        <v>22611.949096548004</v>
      </c>
      <c r="I27" s="5">
        <f t="shared" si="4"/>
        <v>57242.112557481654</v>
      </c>
      <c r="J27" s="26">
        <f t="shared" si="5"/>
        <v>0.18805195381780779</v>
      </c>
      <c r="L27" s="22">
        <f t="shared" si="11"/>
        <v>53812.693671515975</v>
      </c>
      <c r="M27" s="5">
        <f>scrimecost*Meta!O24</f>
        <v>5893.2300000000005</v>
      </c>
      <c r="N27" s="5">
        <f>L27-Grade15!L27</f>
        <v>525.9311875219646</v>
      </c>
      <c r="O27" s="5">
        <f>Grade15!M27-M27</f>
        <v>46.841999999999643</v>
      </c>
      <c r="P27" s="22">
        <f t="shared" si="12"/>
        <v>50.020746555383319</v>
      </c>
      <c r="Q27" s="22"/>
      <c r="R27" s="22"/>
      <c r="S27" s="22">
        <f t="shared" si="6"/>
        <v>282.72671589559906</v>
      </c>
      <c r="T27" s="22">
        <f t="shared" si="7"/>
        <v>481.24776222868866</v>
      </c>
    </row>
    <row r="28" spans="1:20" x14ac:dyDescent="0.2">
      <c r="A28" s="5">
        <v>37</v>
      </c>
      <c r="B28" s="1">
        <f t="shared" si="8"/>
        <v>1.4482981664981105</v>
      </c>
      <c r="C28" s="5">
        <f t="shared" si="9"/>
        <v>52728.441610571906</v>
      </c>
      <c r="D28" s="5">
        <f t="shared" si="0"/>
        <v>50946.276413264459</v>
      </c>
      <c r="E28" s="5">
        <f t="shared" si="1"/>
        <v>41446.276413264459</v>
      </c>
      <c r="F28" s="5">
        <f t="shared" si="2"/>
        <v>14528.586890257291</v>
      </c>
      <c r="G28" s="5">
        <f t="shared" si="3"/>
        <v>36417.689523007168</v>
      </c>
      <c r="H28" s="22">
        <f t="shared" si="10"/>
        <v>23177.247823961712</v>
      </c>
      <c r="I28" s="5">
        <f t="shared" si="4"/>
        <v>58482.42945141872</v>
      </c>
      <c r="J28" s="26">
        <f t="shared" si="5"/>
        <v>0.19069145104964119</v>
      </c>
      <c r="L28" s="22">
        <f t="shared" si="11"/>
        <v>55158.011013303883</v>
      </c>
      <c r="M28" s="5">
        <f>scrimecost*Meta!O25</f>
        <v>5893.2300000000005</v>
      </c>
      <c r="N28" s="5">
        <f>L28-Grade15!L28</f>
        <v>539.079467210031</v>
      </c>
      <c r="O28" s="5">
        <f>Grade15!M28-M28</f>
        <v>46.841999999999643</v>
      </c>
      <c r="P28" s="22">
        <f t="shared" si="12"/>
        <v>51.216483471417071</v>
      </c>
      <c r="Q28" s="22"/>
      <c r="R28" s="22"/>
      <c r="S28" s="22">
        <f t="shared" si="6"/>
        <v>289.09248220147794</v>
      </c>
      <c r="T28" s="22">
        <f t="shared" si="7"/>
        <v>509.84574313743479</v>
      </c>
    </row>
    <row r="29" spans="1:20" x14ac:dyDescent="0.2">
      <c r="A29" s="5">
        <v>38</v>
      </c>
      <c r="B29" s="1">
        <f t="shared" si="8"/>
        <v>1.4845056206605631</v>
      </c>
      <c r="C29" s="5">
        <f t="shared" si="9"/>
        <v>54046.652650836193</v>
      </c>
      <c r="D29" s="5">
        <f t="shared" si="0"/>
        <v>52201.213323596057</v>
      </c>
      <c r="E29" s="5">
        <f t="shared" si="1"/>
        <v>42701.213323596057</v>
      </c>
      <c r="F29" s="5">
        <f t="shared" si="2"/>
        <v>15063.817482513718</v>
      </c>
      <c r="G29" s="5">
        <f t="shared" si="3"/>
        <v>37137.39584108234</v>
      </c>
      <c r="H29" s="22">
        <f t="shared" si="10"/>
        <v>23756.67901956075</v>
      </c>
      <c r="I29" s="5">
        <f t="shared" si="4"/>
        <v>59753.754267704171</v>
      </c>
      <c r="J29" s="26">
        <f t="shared" si="5"/>
        <v>0.19326657030021033</v>
      </c>
      <c r="L29" s="22">
        <f t="shared" si="11"/>
        <v>56536.961288636478</v>
      </c>
      <c r="M29" s="5">
        <f>scrimecost*Meta!O26</f>
        <v>5893.2300000000005</v>
      </c>
      <c r="N29" s="5">
        <f>L29-Grade15!L29</f>
        <v>552.55645389029087</v>
      </c>
      <c r="O29" s="5">
        <f>Grade15!M29-M29</f>
        <v>46.841999999999643</v>
      </c>
      <c r="P29" s="22">
        <f t="shared" si="12"/>
        <v>52.442113810351643</v>
      </c>
      <c r="Q29" s="22"/>
      <c r="R29" s="22"/>
      <c r="S29" s="22">
        <f t="shared" si="6"/>
        <v>295.6173926650003</v>
      </c>
      <c r="T29" s="22">
        <f t="shared" si="7"/>
        <v>540.1720473602918</v>
      </c>
    </row>
    <row r="30" spans="1:20" x14ac:dyDescent="0.2">
      <c r="A30" s="5">
        <v>39</v>
      </c>
      <c r="B30" s="1">
        <f t="shared" si="8"/>
        <v>1.521618261177077</v>
      </c>
      <c r="C30" s="5">
        <f t="shared" si="9"/>
        <v>55397.818967107087</v>
      </c>
      <c r="D30" s="5">
        <f t="shared" si="0"/>
        <v>53487.523656685946</v>
      </c>
      <c r="E30" s="5">
        <f t="shared" si="1"/>
        <v>43987.523656685946</v>
      </c>
      <c r="F30" s="5">
        <f t="shared" si="2"/>
        <v>15612.428839576554</v>
      </c>
      <c r="G30" s="5">
        <f t="shared" si="3"/>
        <v>37875.094817109391</v>
      </c>
      <c r="H30" s="22">
        <f t="shared" si="10"/>
        <v>24350.595995049764</v>
      </c>
      <c r="I30" s="5">
        <f t="shared" si="4"/>
        <v>61056.862204396763</v>
      </c>
      <c r="J30" s="26">
        <f t="shared" si="5"/>
        <v>0.19577888176418021</v>
      </c>
      <c r="L30" s="22">
        <f t="shared" si="11"/>
        <v>57950.38532085238</v>
      </c>
      <c r="M30" s="5">
        <f>scrimecost*Meta!O27</f>
        <v>5893.2300000000005</v>
      </c>
      <c r="N30" s="5">
        <f>L30-Grade15!L30</f>
        <v>566.37036523752613</v>
      </c>
      <c r="O30" s="5">
        <f>Grade15!M30-M30</f>
        <v>46.841999999999643</v>
      </c>
      <c r="P30" s="22">
        <f t="shared" si="12"/>
        <v>53.698384907759568</v>
      </c>
      <c r="Q30" s="22"/>
      <c r="R30" s="22"/>
      <c r="S30" s="22">
        <f t="shared" si="6"/>
        <v>302.30542589009724</v>
      </c>
      <c r="T30" s="22">
        <f t="shared" si="7"/>
        <v>572.33221468289639</v>
      </c>
    </row>
    <row r="31" spans="1:20" x14ac:dyDescent="0.2">
      <c r="A31" s="5">
        <v>40</v>
      </c>
      <c r="B31" s="1">
        <f t="shared" si="8"/>
        <v>1.559658717706504</v>
      </c>
      <c r="C31" s="5">
        <f t="shared" si="9"/>
        <v>56782.764441284773</v>
      </c>
      <c r="D31" s="5">
        <f t="shared" si="0"/>
        <v>54805.991748103108</v>
      </c>
      <c r="E31" s="5">
        <f t="shared" si="1"/>
        <v>45305.991748103108</v>
      </c>
      <c r="F31" s="5">
        <f t="shared" si="2"/>
        <v>16174.755480565975</v>
      </c>
      <c r="G31" s="5">
        <f t="shared" si="3"/>
        <v>38631.236267537133</v>
      </c>
      <c r="H31" s="22">
        <f t="shared" si="10"/>
        <v>24959.360894926012</v>
      </c>
      <c r="I31" s="5">
        <f t="shared" si="4"/>
        <v>62392.547839506697</v>
      </c>
      <c r="J31" s="26">
        <f t="shared" si="5"/>
        <v>0.19822991733878506</v>
      </c>
      <c r="L31" s="22">
        <f t="shared" si="11"/>
        <v>59399.144953873685</v>
      </c>
      <c r="M31" s="5">
        <f>scrimecost*Meta!O28</f>
        <v>5264.8050000000003</v>
      </c>
      <c r="N31" s="5">
        <f>L31-Grade15!L31</f>
        <v>580.52962436846428</v>
      </c>
      <c r="O31" s="5">
        <f>Grade15!M31-M31</f>
        <v>41.846999999999753</v>
      </c>
      <c r="P31" s="22">
        <f t="shared" si="12"/>
        <v>54.986062782602723</v>
      </c>
      <c r="Q31" s="22"/>
      <c r="R31" s="22"/>
      <c r="S31" s="22">
        <f t="shared" si="6"/>
        <v>306.29852494583128</v>
      </c>
      <c r="T31" s="22">
        <f t="shared" si="7"/>
        <v>600.8240103780787</v>
      </c>
    </row>
    <row r="32" spans="1:20" x14ac:dyDescent="0.2">
      <c r="A32" s="5">
        <v>41</v>
      </c>
      <c r="B32" s="1">
        <f t="shared" si="8"/>
        <v>1.5986501856491666</v>
      </c>
      <c r="C32" s="5">
        <f t="shared" si="9"/>
        <v>58202.333552316893</v>
      </c>
      <c r="D32" s="5">
        <f t="shared" si="0"/>
        <v>56157.421541805685</v>
      </c>
      <c r="E32" s="5">
        <f t="shared" si="1"/>
        <v>46657.421541805685</v>
      </c>
      <c r="F32" s="5">
        <f t="shared" si="2"/>
        <v>16751.140287580125</v>
      </c>
      <c r="G32" s="5">
        <f t="shared" si="3"/>
        <v>39406.281254225556</v>
      </c>
      <c r="H32" s="22">
        <f t="shared" si="10"/>
        <v>25583.34491729916</v>
      </c>
      <c r="I32" s="5">
        <f t="shared" si="4"/>
        <v>63761.625615494355</v>
      </c>
      <c r="J32" s="26">
        <f t="shared" si="5"/>
        <v>0.20062117155791176</v>
      </c>
      <c r="L32" s="22">
        <f t="shared" si="11"/>
        <v>60884.123577720537</v>
      </c>
      <c r="M32" s="5">
        <f>scrimecost*Meta!O29</f>
        <v>5264.8050000000003</v>
      </c>
      <c r="N32" s="5">
        <f>L32-Grade15!L32</f>
        <v>595.04286497769499</v>
      </c>
      <c r="O32" s="5">
        <f>Grade15!M32-M32</f>
        <v>41.846999999999753</v>
      </c>
      <c r="P32" s="22">
        <f t="shared" si="12"/>
        <v>56.305932604316965</v>
      </c>
      <c r="Q32" s="22"/>
      <c r="R32" s="22"/>
      <c r="S32" s="22">
        <f t="shared" si="6"/>
        <v>313.32513985296674</v>
      </c>
      <c r="T32" s="22">
        <f t="shared" si="7"/>
        <v>636.79220947358112</v>
      </c>
    </row>
    <row r="33" spans="1:20" x14ac:dyDescent="0.2">
      <c r="A33" s="5">
        <v>42</v>
      </c>
      <c r="B33" s="1">
        <f t="shared" si="8"/>
        <v>1.6386164402903955</v>
      </c>
      <c r="C33" s="5">
        <f t="shared" si="9"/>
        <v>59657.391891124811</v>
      </c>
      <c r="D33" s="5">
        <f t="shared" si="0"/>
        <v>57542.637080350818</v>
      </c>
      <c r="E33" s="5">
        <f t="shared" si="1"/>
        <v>48042.637080350818</v>
      </c>
      <c r="F33" s="5">
        <f t="shared" si="2"/>
        <v>17341.934714769624</v>
      </c>
      <c r="G33" s="5">
        <f t="shared" si="3"/>
        <v>40200.702365581194</v>
      </c>
      <c r="H33" s="22">
        <f t="shared" si="10"/>
        <v>26222.928540231638</v>
      </c>
      <c r="I33" s="5">
        <f t="shared" si="4"/>
        <v>65164.930335881712</v>
      </c>
      <c r="J33" s="26">
        <f t="shared" si="5"/>
        <v>0.2029541025034011</v>
      </c>
      <c r="L33" s="22">
        <f t="shared" si="11"/>
        <v>62406.226667163537</v>
      </c>
      <c r="M33" s="5">
        <f>scrimecost*Meta!O30</f>
        <v>5264.8050000000003</v>
      </c>
      <c r="N33" s="5">
        <f>L33-Grade15!L33</f>
        <v>609.918936602131</v>
      </c>
      <c r="O33" s="5">
        <f>Grade15!M33-M33</f>
        <v>41.846999999999753</v>
      </c>
      <c r="P33" s="22">
        <f t="shared" si="12"/>
        <v>57.658799171574024</v>
      </c>
      <c r="Q33" s="22"/>
      <c r="R33" s="22"/>
      <c r="S33" s="22">
        <f t="shared" si="6"/>
        <v>320.52742013276963</v>
      </c>
      <c r="T33" s="22">
        <f t="shared" si="7"/>
        <v>674.94411095843088</v>
      </c>
    </row>
    <row r="34" spans="1:20" x14ac:dyDescent="0.2">
      <c r="A34" s="5">
        <v>43</v>
      </c>
      <c r="B34" s="1">
        <f t="shared" si="8"/>
        <v>1.6795818512976552</v>
      </c>
      <c r="C34" s="5">
        <f t="shared" si="9"/>
        <v>61148.826688402922</v>
      </c>
      <c r="D34" s="5">
        <f t="shared" si="0"/>
        <v>58962.48300735958</v>
      </c>
      <c r="E34" s="5">
        <f t="shared" si="1"/>
        <v>49462.48300735958</v>
      </c>
      <c r="F34" s="5">
        <f t="shared" si="2"/>
        <v>17947.499002638862</v>
      </c>
      <c r="G34" s="5">
        <f t="shared" si="3"/>
        <v>41014.984004720718</v>
      </c>
      <c r="H34" s="22">
        <f t="shared" si="10"/>
        <v>26878.501753737426</v>
      </c>
      <c r="I34" s="5">
        <f t="shared" si="4"/>
        <v>66603.317674278747</v>
      </c>
      <c r="J34" s="26">
        <f t="shared" si="5"/>
        <v>0.20523013269412244</v>
      </c>
      <c r="L34" s="22">
        <f t="shared" si="11"/>
        <v>63966.382333842615</v>
      </c>
      <c r="M34" s="5">
        <f>scrimecost*Meta!O31</f>
        <v>5264.8050000000003</v>
      </c>
      <c r="N34" s="5">
        <f>L34-Grade15!L34</f>
        <v>625.16691001717118</v>
      </c>
      <c r="O34" s="5">
        <f>Grade15!M34-M34</f>
        <v>41.846999999999753</v>
      </c>
      <c r="P34" s="22">
        <f t="shared" si="12"/>
        <v>59.045487403012515</v>
      </c>
      <c r="Q34" s="22"/>
      <c r="R34" s="22"/>
      <c r="S34" s="22">
        <f t="shared" si="6"/>
        <v>327.9097574195647</v>
      </c>
      <c r="T34" s="22">
        <f t="shared" si="7"/>
        <v>715.41343104533519</v>
      </c>
    </row>
    <row r="35" spans="1:20" x14ac:dyDescent="0.2">
      <c r="A35" s="5">
        <v>44</v>
      </c>
      <c r="B35" s="1">
        <f t="shared" si="8"/>
        <v>1.7215713975800966</v>
      </c>
      <c r="C35" s="5">
        <f t="shared" si="9"/>
        <v>62677.547355612987</v>
      </c>
      <c r="D35" s="5">
        <f t="shared" si="0"/>
        <v>60417.825082543561</v>
      </c>
      <c r="E35" s="5">
        <f t="shared" si="1"/>
        <v>50917.825082543561</v>
      </c>
      <c r="F35" s="5">
        <f t="shared" si="2"/>
        <v>18568.20239770483</v>
      </c>
      <c r="G35" s="5">
        <f t="shared" si="3"/>
        <v>41849.62268483873</v>
      </c>
      <c r="H35" s="22">
        <f t="shared" si="10"/>
        <v>27550.464297580857</v>
      </c>
      <c r="I35" s="5">
        <f t="shared" si="4"/>
        <v>68077.664696135704</v>
      </c>
      <c r="J35" s="26">
        <f t="shared" si="5"/>
        <v>0.20745064995336279</v>
      </c>
      <c r="L35" s="22">
        <f t="shared" si="11"/>
        <v>65565.541892188674</v>
      </c>
      <c r="M35" s="5">
        <f>scrimecost*Meta!O32</f>
        <v>5264.8050000000003</v>
      </c>
      <c r="N35" s="5">
        <f>L35-Grade15!L35</f>
        <v>640.79608276759245</v>
      </c>
      <c r="O35" s="5">
        <f>Grade15!M35-M35</f>
        <v>41.846999999999753</v>
      </c>
      <c r="P35" s="22">
        <f t="shared" si="12"/>
        <v>60.466842840236978</v>
      </c>
      <c r="Q35" s="22"/>
      <c r="R35" s="22"/>
      <c r="S35" s="22">
        <f t="shared" si="6"/>
        <v>335.47665313853179</v>
      </c>
      <c r="T35" s="22">
        <f t="shared" si="7"/>
        <v>758.34211588029984</v>
      </c>
    </row>
    <row r="36" spans="1:20" x14ac:dyDescent="0.2">
      <c r="A36" s="5">
        <v>45</v>
      </c>
      <c r="B36" s="1">
        <f t="shared" si="8"/>
        <v>1.7646106825195991</v>
      </c>
      <c r="C36" s="5">
        <f t="shared" si="9"/>
        <v>64244.486039503317</v>
      </c>
      <c r="D36" s="5">
        <f t="shared" si="0"/>
        <v>61909.55070960716</v>
      </c>
      <c r="E36" s="5">
        <f t="shared" si="1"/>
        <v>52409.55070960716</v>
      </c>
      <c r="F36" s="5">
        <f t="shared" si="2"/>
        <v>19204.423377647454</v>
      </c>
      <c r="G36" s="5">
        <f t="shared" si="3"/>
        <v>42705.127331959709</v>
      </c>
      <c r="H36" s="22">
        <f t="shared" si="10"/>
        <v>28239.225905020383</v>
      </c>
      <c r="I36" s="5">
        <f t="shared" si="4"/>
        <v>69588.87039353911</v>
      </c>
      <c r="J36" s="26">
        <f t="shared" si="5"/>
        <v>0.20961700825506072</v>
      </c>
      <c r="L36" s="22">
        <f t="shared" si="11"/>
        <v>67204.680439493401</v>
      </c>
      <c r="M36" s="5">
        <f>scrimecost*Meta!O33</f>
        <v>4464.1449999999995</v>
      </c>
      <c r="N36" s="5">
        <f>L36-Grade15!L36</f>
        <v>656.81598483679409</v>
      </c>
      <c r="O36" s="5">
        <f>Grade15!M36-M36</f>
        <v>35.483000000000175</v>
      </c>
      <c r="P36" s="22">
        <f t="shared" si="12"/>
        <v>61.923732163392067</v>
      </c>
      <c r="Q36" s="22"/>
      <c r="R36" s="22"/>
      <c r="S36" s="22">
        <f t="shared" si="6"/>
        <v>339.58614925048187</v>
      </c>
      <c r="T36" s="22">
        <f t="shared" si="7"/>
        <v>795.34026121155489</v>
      </c>
    </row>
    <row r="37" spans="1:20" x14ac:dyDescent="0.2">
      <c r="A37" s="5">
        <v>46</v>
      </c>
      <c r="B37" s="1">
        <f t="shared" ref="B37:B56" si="13">(1+experiencepremium)^(A37-startage)</f>
        <v>1.8087259495825889</v>
      </c>
      <c r="C37" s="5">
        <f t="shared" ref="C37:C56" si="14">pretaxincome*B37/expnorm</f>
        <v>65850.598190490899</v>
      </c>
      <c r="D37" s="5">
        <f t="shared" ref="D37:D56" si="15">IF(A37&lt;startage,1,0)*(C37*(1-initialunempprob))+IF(A37=startage,1,0)*(C37*(1-unempprob))+IF(A37&gt;startage,1,0)*(C37*(1-unempprob)+unempprob*300*52)</f>
        <v>63438.569477347337</v>
      </c>
      <c r="E37" s="5">
        <f t="shared" si="1"/>
        <v>53938.569477347337</v>
      </c>
      <c r="F37" s="5">
        <f t="shared" si="2"/>
        <v>19856.549882088639</v>
      </c>
      <c r="G37" s="5">
        <f t="shared" si="3"/>
        <v>43582.019595258695</v>
      </c>
      <c r="H37" s="22">
        <f t="shared" ref="H37:H56" si="16">benefits*B37/expnorm</f>
        <v>28945.20655264589</v>
      </c>
      <c r="I37" s="5">
        <f t="shared" ref="I37:I56" si="17">G37+IF(A37&lt;startage,1,0)*(H37*(1-initialunempprob))+IF(A37&gt;=startage,1,0)*(H37*(1-unempprob))</f>
        <v>71137.856233377577</v>
      </c>
      <c r="J37" s="26">
        <f t="shared" si="5"/>
        <v>0.21173052854940014</v>
      </c>
      <c r="L37" s="22">
        <f t="shared" ref="L37:L56" si="18">(sincome+sbenefits)*(1-sunemp)*B37/expnorm</f>
        <v>68884.797450480735</v>
      </c>
      <c r="M37" s="5">
        <f>scrimecost*Meta!O34</f>
        <v>4464.1449999999995</v>
      </c>
      <c r="N37" s="5">
        <f>L37-Grade15!L37</f>
        <v>673.23638445773395</v>
      </c>
      <c r="O37" s="5">
        <f>Grade15!M37-M37</f>
        <v>35.483000000000175</v>
      </c>
      <c r="P37" s="22">
        <f t="shared" si="12"/>
        <v>63.417043719626029</v>
      </c>
      <c r="Q37" s="22"/>
      <c r="R37" s="22"/>
      <c r="S37" s="22">
        <f t="shared" si="6"/>
        <v>347.53611906523406</v>
      </c>
      <c r="T37" s="22">
        <f t="shared" si="7"/>
        <v>843.34072179294537</v>
      </c>
    </row>
    <row r="38" spans="1:20" x14ac:dyDescent="0.2">
      <c r="A38" s="5">
        <v>47</v>
      </c>
      <c r="B38" s="1">
        <f t="shared" si="13"/>
        <v>1.8539440983221533</v>
      </c>
      <c r="C38" s="5">
        <f t="shared" si="14"/>
        <v>67496.863145253155</v>
      </c>
      <c r="D38" s="5">
        <f t="shared" si="15"/>
        <v>65005.813714281001</v>
      </c>
      <c r="E38" s="5">
        <f t="shared" si="1"/>
        <v>55505.813714281001</v>
      </c>
      <c r="F38" s="5">
        <f t="shared" si="2"/>
        <v>20524.979549140844</v>
      </c>
      <c r="G38" s="5">
        <f t="shared" si="3"/>
        <v>44480.834165140157</v>
      </c>
      <c r="H38" s="22">
        <f t="shared" si="16"/>
        <v>29668.836716462032</v>
      </c>
      <c r="I38" s="5">
        <f t="shared" si="17"/>
        <v>72725.566719212016</v>
      </c>
      <c r="J38" s="26">
        <f t="shared" si="5"/>
        <v>0.21379249956826779</v>
      </c>
      <c r="L38" s="22">
        <f t="shared" si="18"/>
        <v>70606.917386742745</v>
      </c>
      <c r="M38" s="5">
        <f>scrimecost*Meta!O35</f>
        <v>4464.1449999999995</v>
      </c>
      <c r="N38" s="5">
        <f>L38-Grade15!L38</f>
        <v>690.06729406917293</v>
      </c>
      <c r="O38" s="5">
        <f>Grade15!M38-M38</f>
        <v>35.483000000000175</v>
      </c>
      <c r="P38" s="22">
        <f t="shared" si="12"/>
        <v>64.947688064765813</v>
      </c>
      <c r="Q38" s="22"/>
      <c r="R38" s="22"/>
      <c r="S38" s="22">
        <f t="shared" si="6"/>
        <v>355.68483812534447</v>
      </c>
      <c r="T38" s="22">
        <f t="shared" si="7"/>
        <v>894.26987699531878</v>
      </c>
    </row>
    <row r="39" spans="1:20" x14ac:dyDescent="0.2">
      <c r="A39" s="5">
        <v>48</v>
      </c>
      <c r="B39" s="1">
        <f t="shared" si="13"/>
        <v>1.9002927007802071</v>
      </c>
      <c r="C39" s="5">
        <f t="shared" si="14"/>
        <v>69184.284723884484</v>
      </c>
      <c r="D39" s="5">
        <f t="shared" si="15"/>
        <v>66612.239057138024</v>
      </c>
      <c r="E39" s="5">
        <f t="shared" si="1"/>
        <v>57112.239057138024</v>
      </c>
      <c r="F39" s="5">
        <f t="shared" si="2"/>
        <v>21210.119957869367</v>
      </c>
      <c r="G39" s="5">
        <f t="shared" si="3"/>
        <v>45402.119099268661</v>
      </c>
      <c r="H39" s="22">
        <f t="shared" si="16"/>
        <v>30410.557634373585</v>
      </c>
      <c r="I39" s="5">
        <f t="shared" si="17"/>
        <v>74352.969967192315</v>
      </c>
      <c r="J39" s="26">
        <f t="shared" si="5"/>
        <v>0.2158041786110656</v>
      </c>
      <c r="L39" s="22">
        <f t="shared" si="18"/>
        <v>72372.090321411306</v>
      </c>
      <c r="M39" s="5">
        <f>scrimecost*Meta!O36</f>
        <v>4464.1449999999995</v>
      </c>
      <c r="N39" s="5">
        <f>L39-Grade15!L39</f>
        <v>707.31897642089461</v>
      </c>
      <c r="O39" s="5">
        <f>Grade15!M39-M39</f>
        <v>35.483000000000175</v>
      </c>
      <c r="P39" s="22">
        <f t="shared" si="12"/>
        <v>66.51659851853411</v>
      </c>
      <c r="Q39" s="22"/>
      <c r="R39" s="22"/>
      <c r="S39" s="22">
        <f t="shared" si="6"/>
        <v>364.0372751619563</v>
      </c>
      <c r="T39" s="22">
        <f t="shared" si="7"/>
        <v>948.30759576548576</v>
      </c>
    </row>
    <row r="40" spans="1:20" x14ac:dyDescent="0.2">
      <c r="A40" s="5">
        <v>49</v>
      </c>
      <c r="B40" s="1">
        <f t="shared" si="13"/>
        <v>1.9478000182997122</v>
      </c>
      <c r="C40" s="5">
        <f t="shared" si="14"/>
        <v>70913.891841981589</v>
      </c>
      <c r="D40" s="5">
        <f t="shared" si="15"/>
        <v>68258.825033566478</v>
      </c>
      <c r="E40" s="5">
        <f t="shared" si="1"/>
        <v>58758.825033566478</v>
      </c>
      <c r="F40" s="5">
        <f t="shared" si="2"/>
        <v>21912.388876816101</v>
      </c>
      <c r="G40" s="5">
        <f t="shared" si="3"/>
        <v>46346.43615675038</v>
      </c>
      <c r="H40" s="22">
        <f t="shared" si="16"/>
        <v>31170.82157523292</v>
      </c>
      <c r="I40" s="5">
        <f t="shared" si="17"/>
        <v>76021.058296372124</v>
      </c>
      <c r="J40" s="26">
        <f t="shared" si="5"/>
        <v>0.21776679231135612</v>
      </c>
      <c r="L40" s="22">
        <f t="shared" si="18"/>
        <v>74181.39257944659</v>
      </c>
      <c r="M40" s="5">
        <f>scrimecost*Meta!O37</f>
        <v>4464.1449999999995</v>
      </c>
      <c r="N40" s="5">
        <f>L40-Grade15!L40</f>
        <v>725.00195083141443</v>
      </c>
      <c r="O40" s="5">
        <f>Grade15!M40-M40</f>
        <v>35.483000000000175</v>
      </c>
      <c r="P40" s="22">
        <f t="shared" si="12"/>
        <v>68.124731733646612</v>
      </c>
      <c r="Q40" s="22"/>
      <c r="R40" s="22"/>
      <c r="S40" s="22">
        <f t="shared" si="6"/>
        <v>372.59852312448555</v>
      </c>
      <c r="T40" s="22">
        <f t="shared" si="7"/>
        <v>1005.6448371004919</v>
      </c>
    </row>
    <row r="41" spans="1:20" x14ac:dyDescent="0.2">
      <c r="A41" s="5">
        <v>50</v>
      </c>
      <c r="B41" s="1">
        <f t="shared" si="13"/>
        <v>1.9964950187572048</v>
      </c>
      <c r="C41" s="5">
        <f t="shared" si="14"/>
        <v>72686.739138031131</v>
      </c>
      <c r="D41" s="5">
        <f t="shared" si="15"/>
        <v>69946.575659405629</v>
      </c>
      <c r="E41" s="5">
        <f t="shared" si="1"/>
        <v>60446.575659405629</v>
      </c>
      <c r="F41" s="5">
        <f t="shared" si="2"/>
        <v>22632.214518736502</v>
      </c>
      <c r="G41" s="5">
        <f t="shared" si="3"/>
        <v>47314.361140669127</v>
      </c>
      <c r="H41" s="22">
        <f t="shared" si="16"/>
        <v>31950.092114613741</v>
      </c>
      <c r="I41" s="5">
        <f t="shared" si="17"/>
        <v>77730.848833781405</v>
      </c>
      <c r="J41" s="26">
        <f t="shared" si="5"/>
        <v>0.2196815373848103</v>
      </c>
      <c r="L41" s="22">
        <f t="shared" si="18"/>
        <v>76035.92739393274</v>
      </c>
      <c r="M41" s="5">
        <f>scrimecost*Meta!O38</f>
        <v>3230.5699999999997</v>
      </c>
      <c r="N41" s="5">
        <f>L41-Grade15!L41</f>
        <v>743.12699960217287</v>
      </c>
      <c r="O41" s="5">
        <f>Grade15!M41-M41</f>
        <v>25.677999999999884</v>
      </c>
      <c r="P41" s="22">
        <f t="shared" si="12"/>
        <v>69.773068279136936</v>
      </c>
      <c r="Q41" s="22"/>
      <c r="R41" s="22"/>
      <c r="S41" s="22">
        <f t="shared" si="6"/>
        <v>375.75553728606735</v>
      </c>
      <c r="T41" s="22">
        <f t="shared" si="7"/>
        <v>1050.7732624807722</v>
      </c>
    </row>
    <row r="42" spans="1:20" x14ac:dyDescent="0.2">
      <c r="A42" s="5">
        <v>51</v>
      </c>
      <c r="B42" s="1">
        <f t="shared" si="13"/>
        <v>2.0464073942261352</v>
      </c>
      <c r="C42" s="5">
        <f t="shared" si="14"/>
        <v>74503.907616481927</v>
      </c>
      <c r="D42" s="5">
        <f t="shared" si="15"/>
        <v>71676.520050890787</v>
      </c>
      <c r="E42" s="5">
        <f t="shared" si="1"/>
        <v>62176.520050890787</v>
      </c>
      <c r="F42" s="5">
        <f t="shared" si="2"/>
        <v>23370.035801704922</v>
      </c>
      <c r="G42" s="5">
        <f t="shared" si="3"/>
        <v>48306.484249185865</v>
      </c>
      <c r="H42" s="22">
        <f t="shared" si="16"/>
        <v>32748.844417479089</v>
      </c>
      <c r="I42" s="5">
        <f t="shared" si="17"/>
        <v>79483.384134625958</v>
      </c>
      <c r="J42" s="26">
        <f t="shared" si="5"/>
        <v>0.22154958135891195</v>
      </c>
      <c r="L42" s="22">
        <f t="shared" si="18"/>
        <v>77936.825578781078</v>
      </c>
      <c r="M42" s="5">
        <f>scrimecost*Meta!O39</f>
        <v>3230.5699999999997</v>
      </c>
      <c r="N42" s="5">
        <f>L42-Grade15!L42</f>
        <v>761.70517459227995</v>
      </c>
      <c r="O42" s="5">
        <f>Grade15!M42-M42</f>
        <v>25.677999999999884</v>
      </c>
      <c r="P42" s="22">
        <f t="shared" si="12"/>
        <v>71.462613238264538</v>
      </c>
      <c r="Q42" s="22"/>
      <c r="R42" s="22"/>
      <c r="S42" s="22">
        <f t="shared" si="6"/>
        <v>384.75019842672333</v>
      </c>
      <c r="T42" s="22">
        <f t="shared" si="7"/>
        <v>1114.7631435931403</v>
      </c>
    </row>
    <row r="43" spans="1:20" x14ac:dyDescent="0.2">
      <c r="A43" s="5">
        <v>52</v>
      </c>
      <c r="B43" s="1">
        <f t="shared" si="13"/>
        <v>2.097567579081788</v>
      </c>
      <c r="C43" s="5">
        <f t="shared" si="14"/>
        <v>76366.505306893945</v>
      </c>
      <c r="D43" s="5">
        <f t="shared" si="15"/>
        <v>73449.713052163032</v>
      </c>
      <c r="E43" s="5">
        <f t="shared" si="1"/>
        <v>63949.713052163032</v>
      </c>
      <c r="F43" s="5">
        <f t="shared" si="2"/>
        <v>24126.302616747533</v>
      </c>
      <c r="G43" s="5">
        <f t="shared" si="3"/>
        <v>49323.410435415499</v>
      </c>
      <c r="H43" s="22">
        <f t="shared" si="16"/>
        <v>33567.565527916056</v>
      </c>
      <c r="I43" s="5">
        <f t="shared" si="17"/>
        <v>81279.732817991578</v>
      </c>
      <c r="J43" s="26">
        <f t="shared" si="5"/>
        <v>0.22337206328486472</v>
      </c>
      <c r="L43" s="22">
        <f t="shared" si="18"/>
        <v>79885.24621825057</v>
      </c>
      <c r="M43" s="5">
        <f>scrimecost*Meta!O40</f>
        <v>3230.5699999999997</v>
      </c>
      <c r="N43" s="5">
        <f>L43-Grade15!L43</f>
        <v>780.74780395702692</v>
      </c>
      <c r="O43" s="5">
        <f>Grade15!M43-M43</f>
        <v>25.677999999999884</v>
      </c>
      <c r="P43" s="22">
        <f t="shared" si="12"/>
        <v>73.194396821370262</v>
      </c>
      <c r="Q43" s="22"/>
      <c r="R43" s="22"/>
      <c r="S43" s="22">
        <f t="shared" si="6"/>
        <v>393.96972609584691</v>
      </c>
      <c r="T43" s="22">
        <f t="shared" si="7"/>
        <v>1182.6785620600076</v>
      </c>
    </row>
    <row r="44" spans="1:20" x14ac:dyDescent="0.2">
      <c r="A44" s="5">
        <v>53</v>
      </c>
      <c r="B44" s="1">
        <f t="shared" si="13"/>
        <v>2.1500067685588333</v>
      </c>
      <c r="C44" s="5">
        <f t="shared" si="14"/>
        <v>78275.667939566309</v>
      </c>
      <c r="D44" s="5">
        <f t="shared" si="15"/>
        <v>75267.235878467123</v>
      </c>
      <c r="E44" s="5">
        <f t="shared" si="1"/>
        <v>65767.235878467123</v>
      </c>
      <c r="F44" s="5">
        <f t="shared" si="2"/>
        <v>24901.476102166227</v>
      </c>
      <c r="G44" s="5">
        <f t="shared" si="3"/>
        <v>50365.759776300896</v>
      </c>
      <c r="H44" s="22">
        <f t="shared" si="16"/>
        <v>34406.754666113964</v>
      </c>
      <c r="I44" s="5">
        <f t="shared" si="17"/>
        <v>83120.99021844138</v>
      </c>
      <c r="J44" s="26">
        <f t="shared" si="5"/>
        <v>0.22515009443213577</v>
      </c>
      <c r="L44" s="22">
        <f t="shared" si="18"/>
        <v>81882.377373706855</v>
      </c>
      <c r="M44" s="5">
        <f>scrimecost*Meta!O41</f>
        <v>3230.5699999999997</v>
      </c>
      <c r="N44" s="5">
        <f>L44-Grade15!L44</f>
        <v>800.26649905600061</v>
      </c>
      <c r="O44" s="5">
        <f>Grade15!M44-M44</f>
        <v>25.677999999999884</v>
      </c>
      <c r="P44" s="22">
        <f t="shared" si="12"/>
        <v>74.969474994053698</v>
      </c>
      <c r="Q44" s="22"/>
      <c r="R44" s="22"/>
      <c r="S44" s="22">
        <f t="shared" ref="S44:S69" si="19">IF(A44&lt;startage,1,0)*(N44-Q44-R44)+IF(A44&gt;=startage,1,0)*completionprob*(N44*spart+O44+P44)</f>
        <v>403.41974195674527</v>
      </c>
      <c r="T44" s="22">
        <f t="shared" ref="T44:T69" si="20">S44/sreturn^(A44-startage+1)</f>
        <v>1254.7613890190503</v>
      </c>
    </row>
    <row r="45" spans="1:20" x14ac:dyDescent="0.2">
      <c r="A45" s="5">
        <v>54</v>
      </c>
      <c r="B45" s="1">
        <f t="shared" si="13"/>
        <v>2.2037569377728037</v>
      </c>
      <c r="C45" s="5">
        <f t="shared" si="14"/>
        <v>80232.559638055463</v>
      </c>
      <c r="D45" s="5">
        <f t="shared" si="15"/>
        <v>77130.196775428805</v>
      </c>
      <c r="E45" s="5">
        <f t="shared" si="1"/>
        <v>67630.196775428805</v>
      </c>
      <c r="F45" s="5">
        <f t="shared" si="2"/>
        <v>25696.028924720387</v>
      </c>
      <c r="G45" s="5">
        <f t="shared" si="3"/>
        <v>51434.167850708414</v>
      </c>
      <c r="H45" s="22">
        <f t="shared" si="16"/>
        <v>35266.923532766807</v>
      </c>
      <c r="I45" s="5">
        <f t="shared" si="17"/>
        <v>85008.279053902414</v>
      </c>
      <c r="J45" s="26">
        <f t="shared" si="5"/>
        <v>0.22688475896605881</v>
      </c>
      <c r="L45" s="22">
        <f t="shared" si="18"/>
        <v>83929.436808049519</v>
      </c>
      <c r="M45" s="5">
        <f>scrimecost*Meta!O42</f>
        <v>3230.5699999999997</v>
      </c>
      <c r="N45" s="5">
        <f>L45-Grade15!L45</f>
        <v>820.27316153238644</v>
      </c>
      <c r="O45" s="5">
        <f>Grade15!M45-M45</f>
        <v>25.677999999999884</v>
      </c>
      <c r="P45" s="22">
        <f t="shared" si="12"/>
        <v>76.788930121054207</v>
      </c>
      <c r="Q45" s="22"/>
      <c r="R45" s="22"/>
      <c r="S45" s="22">
        <f t="shared" si="19"/>
        <v>413.10600821413931</v>
      </c>
      <c r="T45" s="22">
        <f t="shared" si="20"/>
        <v>1331.2684369049648</v>
      </c>
    </row>
    <row r="46" spans="1:20" x14ac:dyDescent="0.2">
      <c r="A46" s="5">
        <v>55</v>
      </c>
      <c r="B46" s="1">
        <f t="shared" si="13"/>
        <v>2.2588508612171236</v>
      </c>
      <c r="C46" s="5">
        <f t="shared" si="14"/>
        <v>82238.373629006834</v>
      </c>
      <c r="D46" s="5">
        <f t="shared" si="15"/>
        <v>79039.731694814502</v>
      </c>
      <c r="E46" s="5">
        <f t="shared" si="1"/>
        <v>69539.731694814502</v>
      </c>
      <c r="F46" s="5">
        <f t="shared" si="2"/>
        <v>26510.445567838386</v>
      </c>
      <c r="G46" s="5">
        <f t="shared" si="3"/>
        <v>52529.28612697612</v>
      </c>
      <c r="H46" s="22">
        <f t="shared" si="16"/>
        <v>36148.596621085977</v>
      </c>
      <c r="I46" s="5">
        <f t="shared" si="17"/>
        <v>86942.750110249966</v>
      </c>
      <c r="J46" s="26">
        <f t="shared" si="5"/>
        <v>0.22857711460891039</v>
      </c>
      <c r="L46" s="22">
        <f t="shared" si="18"/>
        <v>86027.672728250749</v>
      </c>
      <c r="M46" s="5">
        <f>scrimecost*Meta!O43</f>
        <v>1931.8249999999998</v>
      </c>
      <c r="N46" s="5">
        <f>L46-Grade15!L46</f>
        <v>840.77999057070701</v>
      </c>
      <c r="O46" s="5">
        <f>Grade15!M46-M46</f>
        <v>15.355000000000018</v>
      </c>
      <c r="P46" s="22">
        <f t="shared" si="12"/>
        <v>78.653871626229687</v>
      </c>
      <c r="Q46" s="22"/>
      <c r="R46" s="22"/>
      <c r="S46" s="22">
        <f t="shared" si="19"/>
        <v>417.11935212797897</v>
      </c>
      <c r="T46" s="22">
        <f t="shared" si="20"/>
        <v>1392.7224884980562</v>
      </c>
    </row>
    <row r="47" spans="1:20" x14ac:dyDescent="0.2">
      <c r="A47" s="5">
        <v>56</v>
      </c>
      <c r="B47" s="1">
        <f t="shared" si="13"/>
        <v>2.3153221327475517</v>
      </c>
      <c r="C47" s="5">
        <f t="shared" si="14"/>
        <v>84294.332969732</v>
      </c>
      <c r="D47" s="5">
        <f t="shared" si="15"/>
        <v>80997.004987184861</v>
      </c>
      <c r="E47" s="5">
        <f t="shared" si="1"/>
        <v>71497.004987184861</v>
      </c>
      <c r="F47" s="5">
        <f t="shared" si="2"/>
        <v>27345.222627034342</v>
      </c>
      <c r="G47" s="5">
        <f t="shared" si="3"/>
        <v>53651.782360150522</v>
      </c>
      <c r="H47" s="22">
        <f t="shared" si="16"/>
        <v>37052.311536613124</v>
      </c>
      <c r="I47" s="5">
        <f t="shared" si="17"/>
        <v>88925.582943006215</v>
      </c>
      <c r="J47" s="26">
        <f t="shared" si="5"/>
        <v>0.23022819328486324</v>
      </c>
      <c r="L47" s="22">
        <f t="shared" si="18"/>
        <v>88178.364546457015</v>
      </c>
      <c r="M47" s="5">
        <f>scrimecost*Meta!O44</f>
        <v>1931.8249999999998</v>
      </c>
      <c r="N47" s="5">
        <f>L47-Grade15!L47</f>
        <v>861.79949033497542</v>
      </c>
      <c r="O47" s="5">
        <f>Grade15!M47-M47</f>
        <v>15.355000000000018</v>
      </c>
      <c r="P47" s="22">
        <f t="shared" si="12"/>
        <v>80.565436669034582</v>
      </c>
      <c r="Q47" s="22"/>
      <c r="R47" s="22"/>
      <c r="S47" s="22">
        <f t="shared" si="19"/>
        <v>427.29598561466031</v>
      </c>
      <c r="T47" s="22">
        <f t="shared" si="20"/>
        <v>1478.1999616104704</v>
      </c>
    </row>
    <row r="48" spans="1:20" x14ac:dyDescent="0.2">
      <c r="A48" s="5">
        <v>57</v>
      </c>
      <c r="B48" s="1">
        <f t="shared" si="13"/>
        <v>2.3732051860662402</v>
      </c>
      <c r="C48" s="5">
        <f t="shared" si="14"/>
        <v>86401.691293975295</v>
      </c>
      <c r="D48" s="5">
        <f t="shared" si="15"/>
        <v>83003.210111864479</v>
      </c>
      <c r="E48" s="5">
        <f t="shared" si="1"/>
        <v>73503.210111864479</v>
      </c>
      <c r="F48" s="5">
        <f t="shared" si="2"/>
        <v>28200.869112710203</v>
      </c>
      <c r="G48" s="5">
        <f t="shared" si="3"/>
        <v>54802.340999154272</v>
      </c>
      <c r="H48" s="22">
        <f t="shared" si="16"/>
        <v>37978.619325028449</v>
      </c>
      <c r="I48" s="5">
        <f t="shared" si="17"/>
        <v>90957.986596581351</v>
      </c>
      <c r="J48" s="26">
        <f t="shared" si="5"/>
        <v>0.23183900174920749</v>
      </c>
      <c r="L48" s="22">
        <f t="shared" si="18"/>
        <v>90382.823660118418</v>
      </c>
      <c r="M48" s="5">
        <f>scrimecost*Meta!O45</f>
        <v>1931.8249999999998</v>
      </c>
      <c r="N48" s="5">
        <f>L48-Grade15!L48</f>
        <v>883.3444775933167</v>
      </c>
      <c r="O48" s="5">
        <f>Grade15!M48-M48</f>
        <v>15.355000000000018</v>
      </c>
      <c r="P48" s="22">
        <f t="shared" si="12"/>
        <v>82.524790837909592</v>
      </c>
      <c r="Q48" s="22"/>
      <c r="R48" s="22"/>
      <c r="S48" s="22">
        <f t="shared" si="19"/>
        <v>437.72703493849389</v>
      </c>
      <c r="T48" s="22">
        <f t="shared" si="20"/>
        <v>1568.9455412648808</v>
      </c>
    </row>
    <row r="49" spans="1:20" x14ac:dyDescent="0.2">
      <c r="A49" s="5">
        <v>58</v>
      </c>
      <c r="B49" s="1">
        <f t="shared" si="13"/>
        <v>2.4325353157178964</v>
      </c>
      <c r="C49" s="5">
        <f t="shared" si="14"/>
        <v>88561.733576324681</v>
      </c>
      <c r="D49" s="5">
        <f t="shared" si="15"/>
        <v>85059.570364661093</v>
      </c>
      <c r="E49" s="5">
        <f t="shared" si="1"/>
        <v>75559.570364661093</v>
      </c>
      <c r="F49" s="5">
        <f t="shared" si="2"/>
        <v>29077.906760527956</v>
      </c>
      <c r="G49" s="5">
        <f t="shared" si="3"/>
        <v>55981.663604133137</v>
      </c>
      <c r="H49" s="22">
        <f t="shared" si="16"/>
        <v>38928.084808154163</v>
      </c>
      <c r="I49" s="5">
        <f t="shared" si="17"/>
        <v>93041.200341495889</v>
      </c>
      <c r="J49" s="26">
        <f t="shared" si="5"/>
        <v>0.23341052220222624</v>
      </c>
      <c r="L49" s="22">
        <f t="shared" si="18"/>
        <v>92642.394251621387</v>
      </c>
      <c r="M49" s="5">
        <f>scrimecost*Meta!O46</f>
        <v>1931.8249999999998</v>
      </c>
      <c r="N49" s="5">
        <f>L49-Grade15!L49</f>
        <v>905.42808953317581</v>
      </c>
      <c r="O49" s="5">
        <f>Grade15!M49-M49</f>
        <v>15.355000000000018</v>
      </c>
      <c r="P49" s="22">
        <f t="shared" si="12"/>
        <v>84.533128861006489</v>
      </c>
      <c r="Q49" s="22"/>
      <c r="R49" s="22"/>
      <c r="S49" s="22">
        <f t="shared" si="19"/>
        <v>448.41886049544905</v>
      </c>
      <c r="T49" s="22">
        <f t="shared" si="20"/>
        <v>1665.2847103397328</v>
      </c>
    </row>
    <row r="50" spans="1:20" x14ac:dyDescent="0.2">
      <c r="A50" s="5">
        <v>59</v>
      </c>
      <c r="B50" s="1">
        <f t="shared" si="13"/>
        <v>2.4933486986108435</v>
      </c>
      <c r="C50" s="5">
        <f t="shared" si="14"/>
        <v>90775.776915732786</v>
      </c>
      <c r="D50" s="5">
        <f t="shared" si="15"/>
        <v>87167.339623777618</v>
      </c>
      <c r="E50" s="5">
        <f t="shared" si="1"/>
        <v>77667.339623777618</v>
      </c>
      <c r="F50" s="5">
        <f t="shared" si="2"/>
        <v>29976.870349541154</v>
      </c>
      <c r="G50" s="5">
        <f t="shared" si="3"/>
        <v>57190.469274236464</v>
      </c>
      <c r="H50" s="22">
        <f t="shared" si="16"/>
        <v>39901.286928358015</v>
      </c>
      <c r="I50" s="5">
        <f t="shared" si="17"/>
        <v>95176.494430033286</v>
      </c>
      <c r="J50" s="26">
        <f t="shared" si="5"/>
        <v>0.23494371288809826</v>
      </c>
      <c r="L50" s="22">
        <f t="shared" si="18"/>
        <v>94958.454107911923</v>
      </c>
      <c r="M50" s="5">
        <f>scrimecost*Meta!O47</f>
        <v>1931.8249999999998</v>
      </c>
      <c r="N50" s="5">
        <f>L50-Grade15!L50</f>
        <v>928.06379177150666</v>
      </c>
      <c r="O50" s="5">
        <f>Grade15!M50-M50</f>
        <v>15.355000000000018</v>
      </c>
      <c r="P50" s="22">
        <f t="shared" si="12"/>
        <v>86.591675334680815</v>
      </c>
      <c r="Q50" s="22"/>
      <c r="R50" s="22"/>
      <c r="S50" s="22">
        <f t="shared" si="19"/>
        <v>459.37798169131742</v>
      </c>
      <c r="T50" s="22">
        <f t="shared" si="20"/>
        <v>1767.5630903375245</v>
      </c>
    </row>
    <row r="51" spans="1:20" x14ac:dyDescent="0.2">
      <c r="A51" s="5">
        <v>60</v>
      </c>
      <c r="B51" s="1">
        <f t="shared" si="13"/>
        <v>2.555682416076114</v>
      </c>
      <c r="C51" s="5">
        <f t="shared" si="14"/>
        <v>93045.171338626082</v>
      </c>
      <c r="D51" s="5">
        <f t="shared" si="15"/>
        <v>89327.803114372029</v>
      </c>
      <c r="E51" s="5">
        <f t="shared" si="1"/>
        <v>79827.803114372029</v>
      </c>
      <c r="F51" s="5">
        <f t="shared" si="2"/>
        <v>30898.308028279673</v>
      </c>
      <c r="G51" s="5">
        <f t="shared" si="3"/>
        <v>58429.495086092356</v>
      </c>
      <c r="H51" s="22">
        <f t="shared" si="16"/>
        <v>40898.819101566958</v>
      </c>
      <c r="I51" s="5">
        <f t="shared" si="17"/>
        <v>97365.170870784088</v>
      </c>
      <c r="J51" s="26">
        <f t="shared" si="5"/>
        <v>0.23643950867919281</v>
      </c>
      <c r="L51" s="22">
        <f t="shared" si="18"/>
        <v>97332.4154606097</v>
      </c>
      <c r="M51" s="5">
        <f>scrimecost*Meta!O48</f>
        <v>1061.3400000000001</v>
      </c>
      <c r="N51" s="5">
        <f>L51-Grade15!L51</f>
        <v>951.26538656577759</v>
      </c>
      <c r="O51" s="5">
        <f>Grade15!M51-M51</f>
        <v>8.4359999999999218</v>
      </c>
      <c r="P51" s="22">
        <f t="shared" si="12"/>
        <v>88.701685470196963</v>
      </c>
      <c r="Q51" s="22"/>
      <c r="R51" s="22"/>
      <c r="S51" s="22">
        <f t="shared" si="19"/>
        <v>466.64649391707445</v>
      </c>
      <c r="T51" s="22">
        <f t="shared" si="20"/>
        <v>1860.3423854634509</v>
      </c>
    </row>
    <row r="52" spans="1:20" x14ac:dyDescent="0.2">
      <c r="A52" s="5">
        <v>61</v>
      </c>
      <c r="B52" s="1">
        <f t="shared" si="13"/>
        <v>2.6195744764780171</v>
      </c>
      <c r="C52" s="5">
        <f t="shared" si="14"/>
        <v>95371.30062209176</v>
      </c>
      <c r="D52" s="5">
        <f t="shared" si="15"/>
        <v>91542.278192231359</v>
      </c>
      <c r="E52" s="5">
        <f t="shared" si="1"/>
        <v>82042.278192231359</v>
      </c>
      <c r="F52" s="5">
        <f t="shared" si="2"/>
        <v>31842.781648986675</v>
      </c>
      <c r="G52" s="5">
        <f t="shared" si="3"/>
        <v>59699.496543244684</v>
      </c>
      <c r="H52" s="22">
        <f t="shared" si="16"/>
        <v>41921.289579106131</v>
      </c>
      <c r="I52" s="5">
        <f t="shared" si="17"/>
        <v>99608.564222553716</v>
      </c>
      <c r="J52" s="26">
        <f t="shared" si="5"/>
        <v>0.23789882164611442</v>
      </c>
      <c r="L52" s="22">
        <f t="shared" si="18"/>
        <v>99765.725847124952</v>
      </c>
      <c r="M52" s="5">
        <f>scrimecost*Meta!O49</f>
        <v>1061.3400000000001</v>
      </c>
      <c r="N52" s="5">
        <f>L52-Grade15!L52</f>
        <v>975.04702122994058</v>
      </c>
      <c r="O52" s="5">
        <f>Grade15!M52-M52</f>
        <v>8.4359999999999218</v>
      </c>
      <c r="P52" s="22">
        <f t="shared" si="12"/>
        <v>90.864445859101053</v>
      </c>
      <c r="Q52" s="22"/>
      <c r="R52" s="22"/>
      <c r="S52" s="22">
        <f t="shared" si="19"/>
        <v>478.16042062349084</v>
      </c>
      <c r="T52" s="22">
        <f t="shared" si="20"/>
        <v>1975.0524059992483</v>
      </c>
    </row>
    <row r="53" spans="1:20" x14ac:dyDescent="0.2">
      <c r="A53" s="5">
        <v>62</v>
      </c>
      <c r="B53" s="1">
        <f t="shared" si="13"/>
        <v>2.6850638383899672</v>
      </c>
      <c r="C53" s="5">
        <f t="shared" si="14"/>
        <v>97755.583137644033</v>
      </c>
      <c r="D53" s="5">
        <f t="shared" si="15"/>
        <v>93812.115147037111</v>
      </c>
      <c r="E53" s="5">
        <f t="shared" si="1"/>
        <v>84312.115147037111</v>
      </c>
      <c r="F53" s="5">
        <f t="shared" si="2"/>
        <v>32832.230564622441</v>
      </c>
      <c r="G53" s="5">
        <f t="shared" si="3"/>
        <v>60979.88458241467</v>
      </c>
      <c r="H53" s="22">
        <f t="shared" si="16"/>
        <v>42969.321818583776</v>
      </c>
      <c r="I53" s="5">
        <f t="shared" si="17"/>
        <v>101886.67895370643</v>
      </c>
      <c r="J53" s="26">
        <f t="shared" si="5"/>
        <v>0.23948200594874494</v>
      </c>
      <c r="L53" s="22">
        <f t="shared" si="18"/>
        <v>102259.86899330305</v>
      </c>
      <c r="M53" s="5">
        <f>scrimecost*Meta!O50</f>
        <v>1061.3400000000001</v>
      </c>
      <c r="N53" s="5">
        <f>L53-Grade15!L53</f>
        <v>999.42319676067564</v>
      </c>
      <c r="O53" s="5">
        <f>Grade15!M53-M53</f>
        <v>8.4359999999999218</v>
      </c>
      <c r="P53" s="22">
        <f t="shared" si="12"/>
        <v>93.130195663716322</v>
      </c>
      <c r="Q53" s="22"/>
      <c r="R53" s="22"/>
      <c r="S53" s="22">
        <f t="shared" si="19"/>
        <v>489.99022689018523</v>
      </c>
      <c r="T53" s="22">
        <f t="shared" si="20"/>
        <v>2096.9715660229631</v>
      </c>
    </row>
    <row r="54" spans="1:20" x14ac:dyDescent="0.2">
      <c r="A54" s="5">
        <v>63</v>
      </c>
      <c r="B54" s="1">
        <f t="shared" si="13"/>
        <v>2.7521904343497163</v>
      </c>
      <c r="C54" s="5">
        <f t="shared" si="14"/>
        <v>100199.47271608513</v>
      </c>
      <c r="D54" s="5">
        <f t="shared" si="15"/>
        <v>96138.698025713049</v>
      </c>
      <c r="E54" s="5">
        <f t="shared" si="1"/>
        <v>86638.698025713049</v>
      </c>
      <c r="F54" s="5">
        <f t="shared" si="2"/>
        <v>33894.315648738004</v>
      </c>
      <c r="G54" s="5">
        <f t="shared" si="3"/>
        <v>62244.382376975045</v>
      </c>
      <c r="H54" s="22">
        <f t="shared" si="16"/>
        <v>44043.554864048376</v>
      </c>
      <c r="I54" s="5">
        <f t="shared" si="17"/>
        <v>104173.84660754909</v>
      </c>
      <c r="J54" s="26">
        <f t="shared" si="5"/>
        <v>0.24137539749767115</v>
      </c>
      <c r="L54" s="22">
        <f t="shared" si="18"/>
        <v>104816.36571813562</v>
      </c>
      <c r="M54" s="5">
        <f>scrimecost*Meta!O51</f>
        <v>1061.3400000000001</v>
      </c>
      <c r="N54" s="5">
        <f>L54-Grade15!L54</f>
        <v>1024.4087766796729</v>
      </c>
      <c r="O54" s="5">
        <f>Grade15!M54-M54</f>
        <v>8.4359999999999218</v>
      </c>
      <c r="P54" s="22">
        <f t="shared" si="12"/>
        <v>95.562275818428859</v>
      </c>
      <c r="Q54" s="22"/>
      <c r="R54" s="22"/>
      <c r="S54" s="22">
        <f t="shared" si="19"/>
        <v>502.17862873819888</v>
      </c>
      <c r="T54" s="22">
        <f t="shared" si="20"/>
        <v>2226.7090550741309</v>
      </c>
    </row>
    <row r="55" spans="1:20" x14ac:dyDescent="0.2">
      <c r="A55" s="5">
        <v>64</v>
      </c>
      <c r="B55" s="1">
        <f t="shared" si="13"/>
        <v>2.8209951952084591</v>
      </c>
      <c r="C55" s="5">
        <f t="shared" si="14"/>
        <v>102704.45953398725</v>
      </c>
      <c r="D55" s="5">
        <f t="shared" si="15"/>
        <v>98523.445476355861</v>
      </c>
      <c r="E55" s="5">
        <f t="shared" si="1"/>
        <v>89023.445476355861</v>
      </c>
      <c r="F55" s="5">
        <f t="shared" si="2"/>
        <v>34982.952859956451</v>
      </c>
      <c r="G55" s="5">
        <f t="shared" si="3"/>
        <v>63540.49261639941</v>
      </c>
      <c r="H55" s="22">
        <f t="shared" si="16"/>
        <v>45144.643735649581</v>
      </c>
      <c r="I55" s="5">
        <f t="shared" si="17"/>
        <v>106518.19345273782</v>
      </c>
      <c r="J55" s="26">
        <f t="shared" si="5"/>
        <v>0.24322260876491633</v>
      </c>
      <c r="L55" s="22">
        <f t="shared" si="18"/>
        <v>107436.77486108901</v>
      </c>
      <c r="M55" s="5">
        <f>scrimecost*Meta!O52</f>
        <v>1061.3400000000001</v>
      </c>
      <c r="N55" s="5">
        <f>L55-Grade15!L55</f>
        <v>1050.0189960966673</v>
      </c>
      <c r="O55" s="5">
        <f>Grade15!M55-M55</f>
        <v>8.4359999999999218</v>
      </c>
      <c r="P55" s="22">
        <f t="shared" si="12"/>
        <v>98.05515797700923</v>
      </c>
      <c r="Q55" s="22"/>
      <c r="R55" s="22"/>
      <c r="S55" s="22">
        <f t="shared" si="19"/>
        <v>514.67174063242248</v>
      </c>
      <c r="T55" s="22">
        <f t="shared" si="20"/>
        <v>2364.480281491808</v>
      </c>
    </row>
    <row r="56" spans="1:20" x14ac:dyDescent="0.2">
      <c r="A56" s="5">
        <v>65</v>
      </c>
      <c r="B56" s="1">
        <f t="shared" si="13"/>
        <v>2.8915200750886707</v>
      </c>
      <c r="C56" s="5">
        <f t="shared" si="14"/>
        <v>105272.07102233694</v>
      </c>
      <c r="D56" s="5">
        <f t="shared" si="15"/>
        <v>100967.81161326477</v>
      </c>
      <c r="E56" s="5">
        <f t="shared" si="1"/>
        <v>91467.81161326477</v>
      </c>
      <c r="F56" s="5">
        <f t="shared" si="2"/>
        <v>36098.80600145537</v>
      </c>
      <c r="G56" s="5">
        <f t="shared" si="3"/>
        <v>64869.0056118094</v>
      </c>
      <c r="H56" s="22">
        <f t="shared" si="16"/>
        <v>46273.25982904082</v>
      </c>
      <c r="I56" s="5">
        <f t="shared" si="17"/>
        <v>108921.14896905626</v>
      </c>
      <c r="J56" s="26">
        <f t="shared" si="5"/>
        <v>0.24502476609881407</v>
      </c>
      <c r="L56" s="22">
        <f t="shared" si="18"/>
        <v>110122.69423261625</v>
      </c>
      <c r="M56" s="5">
        <f>scrimecost*Meta!O53</f>
        <v>335.15999999999997</v>
      </c>
      <c r="N56" s="5">
        <f>L56-Grade15!L56</f>
        <v>1076.2694709991338</v>
      </c>
      <c r="O56" s="5">
        <f>Grade15!M56-M56</f>
        <v>2.6639999999999873</v>
      </c>
      <c r="P56" s="22">
        <f t="shared" si="12"/>
        <v>100.61036218955415</v>
      </c>
      <c r="Q56" s="22"/>
      <c r="R56" s="22"/>
      <c r="S56" s="22">
        <f t="shared" si="19"/>
        <v>524.16982432402222</v>
      </c>
      <c r="T56" s="22">
        <f t="shared" si="20"/>
        <v>2495.040010335405</v>
      </c>
    </row>
    <row r="57" spans="1:20" x14ac:dyDescent="0.2">
      <c r="A57" s="5">
        <v>66</v>
      </c>
      <c r="C57" s="5"/>
      <c r="H57" s="21"/>
      <c r="I57" s="5"/>
      <c r="M57" s="5">
        <f>scrimecost*Meta!O54</f>
        <v>335.15999999999997</v>
      </c>
      <c r="N57" s="5">
        <f>L57-Grade15!L57</f>
        <v>0</v>
      </c>
      <c r="O57" s="5">
        <f>Grade15!M57-M57</f>
        <v>2.6639999999999873</v>
      </c>
      <c r="Q57" s="22"/>
      <c r="R57" s="22"/>
      <c r="S57" s="22">
        <f t="shared" si="19"/>
        <v>1.5264719999999925</v>
      </c>
      <c r="T57" s="22">
        <f t="shared" si="20"/>
        <v>7.5282575112550827</v>
      </c>
    </row>
    <row r="58" spans="1:20" x14ac:dyDescent="0.2">
      <c r="A58" s="5">
        <v>67</v>
      </c>
      <c r="C58" s="5"/>
      <c r="H58" s="21"/>
      <c r="I58" s="5"/>
      <c r="M58" s="5">
        <f>scrimecost*Meta!O55</f>
        <v>335.15999999999997</v>
      </c>
      <c r="N58" s="5">
        <f>L58-Grade15!L58</f>
        <v>0</v>
      </c>
      <c r="O58" s="5">
        <f>Grade15!M58-M58</f>
        <v>2.6639999999999873</v>
      </c>
      <c r="Q58" s="22"/>
      <c r="R58" s="22"/>
      <c r="S58" s="22">
        <f t="shared" si="19"/>
        <v>1.5264719999999925</v>
      </c>
      <c r="T58" s="22">
        <f t="shared" si="20"/>
        <v>7.7999997918716453</v>
      </c>
    </row>
    <row r="59" spans="1:20" x14ac:dyDescent="0.2">
      <c r="A59" s="5">
        <v>68</v>
      </c>
      <c r="H59" s="21"/>
      <c r="I59" s="5"/>
      <c r="M59" s="5">
        <f>scrimecost*Meta!O56</f>
        <v>335.15999999999997</v>
      </c>
      <c r="N59" s="5">
        <f>L59-Grade15!L59</f>
        <v>0</v>
      </c>
      <c r="O59" s="5">
        <f>Grade15!M59-M59</f>
        <v>2.6639999999999873</v>
      </c>
      <c r="Q59" s="22"/>
      <c r="R59" s="22"/>
      <c r="S59" s="22">
        <f t="shared" si="19"/>
        <v>1.5264719999999925</v>
      </c>
      <c r="T59" s="22">
        <f t="shared" si="20"/>
        <v>8.0815509647802539</v>
      </c>
    </row>
    <row r="60" spans="1:20" x14ac:dyDescent="0.2">
      <c r="A60" s="5">
        <v>69</v>
      </c>
      <c r="H60" s="21"/>
      <c r="I60" s="5"/>
      <c r="M60" s="5">
        <f>scrimecost*Meta!O57</f>
        <v>335.15999999999997</v>
      </c>
      <c r="N60" s="5">
        <f>L60-Grade15!L60</f>
        <v>0</v>
      </c>
      <c r="O60" s="5">
        <f>Grade15!M60-M60</f>
        <v>2.6639999999999873</v>
      </c>
      <c r="Q60" s="22"/>
      <c r="R60" s="22"/>
      <c r="S60" s="22">
        <f t="shared" si="19"/>
        <v>1.5264719999999925</v>
      </c>
      <c r="T60" s="22">
        <f t="shared" si="20"/>
        <v>8.3732650947505807</v>
      </c>
    </row>
    <row r="61" spans="1:20" x14ac:dyDescent="0.2">
      <c r="A61" s="5">
        <v>70</v>
      </c>
      <c r="H61" s="21"/>
      <c r="I61" s="5"/>
      <c r="M61" s="5">
        <f>scrimecost*Meta!O58</f>
        <v>335.15999999999997</v>
      </c>
      <c r="N61" s="5">
        <f>L61-Grade15!L61</f>
        <v>0</v>
      </c>
      <c r="O61" s="5">
        <f>Grade15!M61-M61</f>
        <v>2.6639999999999873</v>
      </c>
      <c r="Q61" s="22"/>
      <c r="R61" s="22"/>
      <c r="S61" s="22">
        <f t="shared" si="19"/>
        <v>1.5264719999999925</v>
      </c>
      <c r="T61" s="22">
        <f t="shared" si="20"/>
        <v>8.6755090269822812</v>
      </c>
    </row>
    <row r="62" spans="1:20" x14ac:dyDescent="0.2">
      <c r="A62" s="5">
        <v>71</v>
      </c>
      <c r="H62" s="21"/>
      <c r="I62" s="5"/>
      <c r="M62" s="5">
        <f>scrimecost*Meta!O59</f>
        <v>335.15999999999997</v>
      </c>
      <c r="N62" s="5">
        <f>L62-Grade15!L62</f>
        <v>0</v>
      </c>
      <c r="O62" s="5">
        <f>Grade15!M62-M62</f>
        <v>2.6639999999999873</v>
      </c>
      <c r="Q62" s="22"/>
      <c r="R62" s="22"/>
      <c r="S62" s="22">
        <f t="shared" si="19"/>
        <v>1.5264719999999925</v>
      </c>
      <c r="T62" s="22">
        <f t="shared" si="20"/>
        <v>8.9886628484312912</v>
      </c>
    </row>
    <row r="63" spans="1:20" x14ac:dyDescent="0.2">
      <c r="A63" s="5">
        <v>72</v>
      </c>
      <c r="H63" s="21"/>
      <c r="M63" s="5">
        <f>scrimecost*Meta!O60</f>
        <v>335.15999999999997</v>
      </c>
      <c r="N63" s="5">
        <f>L63-Grade15!L63</f>
        <v>0</v>
      </c>
      <c r="O63" s="5">
        <f>Grade15!M63-M63</f>
        <v>2.6639999999999873</v>
      </c>
      <c r="Q63" s="22"/>
      <c r="R63" s="22"/>
      <c r="S63" s="22">
        <f t="shared" si="19"/>
        <v>1.5264719999999925</v>
      </c>
      <c r="T63" s="22">
        <f t="shared" si="20"/>
        <v>9.3131203657883006</v>
      </c>
    </row>
    <row r="64" spans="1:20" x14ac:dyDescent="0.2">
      <c r="A64" s="5">
        <v>73</v>
      </c>
      <c r="H64" s="21"/>
      <c r="M64" s="5">
        <f>scrimecost*Meta!O61</f>
        <v>335.15999999999997</v>
      </c>
      <c r="N64" s="5">
        <f>L64-Grade15!L64</f>
        <v>0</v>
      </c>
      <c r="O64" s="5">
        <f>Grade15!M64-M64</f>
        <v>2.6639999999999873</v>
      </c>
      <c r="Q64" s="22"/>
      <c r="R64" s="22"/>
      <c r="S64" s="22">
        <f t="shared" si="19"/>
        <v>1.5264719999999925</v>
      </c>
      <c r="T64" s="22">
        <f t="shared" si="20"/>
        <v>9.6492896007104925</v>
      </c>
    </row>
    <row r="65" spans="1:20" x14ac:dyDescent="0.2">
      <c r="A65" s="5">
        <v>74</v>
      </c>
      <c r="H65" s="21"/>
      <c r="M65" s="5">
        <f>scrimecost*Meta!O62</f>
        <v>335.15999999999997</v>
      </c>
      <c r="N65" s="5">
        <f>L65-Grade15!L65</f>
        <v>0</v>
      </c>
      <c r="O65" s="5">
        <f>Grade15!M65-M65</f>
        <v>2.6639999999999873</v>
      </c>
      <c r="Q65" s="22"/>
      <c r="R65" s="22"/>
      <c r="S65" s="22">
        <f t="shared" si="19"/>
        <v>1.5264719999999925</v>
      </c>
      <c r="T65" s="22">
        <f t="shared" si="20"/>
        <v>9.9975933029293067</v>
      </c>
    </row>
    <row r="66" spans="1:20" x14ac:dyDescent="0.2">
      <c r="A66" s="5">
        <v>75</v>
      </c>
      <c r="H66" s="21"/>
      <c r="M66" s="5">
        <f>scrimecost*Meta!O63</f>
        <v>335.15999999999997</v>
      </c>
      <c r="N66" s="5">
        <f>L66-Grade15!L66</f>
        <v>0</v>
      </c>
      <c r="O66" s="5">
        <f>Grade15!M66-M66</f>
        <v>2.6639999999999873</v>
      </c>
      <c r="Q66" s="22"/>
      <c r="R66" s="22"/>
      <c r="S66" s="22">
        <f t="shared" si="19"/>
        <v>1.5264719999999925</v>
      </c>
      <c r="T66" s="22">
        <f t="shared" si="20"/>
        <v>10.358469481879508</v>
      </c>
    </row>
    <row r="67" spans="1:20" x14ac:dyDescent="0.2">
      <c r="A67" s="5">
        <v>76</v>
      </c>
      <c r="H67" s="21"/>
      <c r="M67" s="5">
        <f>scrimecost*Meta!O64</f>
        <v>335.15999999999997</v>
      </c>
      <c r="N67" s="5">
        <f>L67-Grade15!L67</f>
        <v>0</v>
      </c>
      <c r="O67" s="5">
        <f>Grade15!M67-M67</f>
        <v>2.6639999999999873</v>
      </c>
      <c r="Q67" s="22"/>
      <c r="R67" s="22"/>
      <c r="S67" s="22">
        <f t="shared" si="19"/>
        <v>1.5264719999999925</v>
      </c>
      <c r="T67" s="22">
        <f t="shared" si="20"/>
        <v>10.732371957518085</v>
      </c>
    </row>
    <row r="68" spans="1:20" x14ac:dyDescent="0.2">
      <c r="A68" s="5">
        <v>77</v>
      </c>
      <c r="H68" s="21"/>
      <c r="M68" s="5">
        <f>scrimecost*Meta!O65</f>
        <v>335.15999999999997</v>
      </c>
      <c r="N68" s="5">
        <f>L68-Grade15!L68</f>
        <v>0</v>
      </c>
      <c r="O68" s="5">
        <f>Grade15!M68-M68</f>
        <v>2.6639999999999873</v>
      </c>
      <c r="Q68" s="22"/>
      <c r="R68" s="22"/>
      <c r="S68" s="22">
        <f t="shared" si="19"/>
        <v>1.5264719999999925</v>
      </c>
      <c r="T68" s="22">
        <f t="shared" si="20"/>
        <v>11.119770931025698</v>
      </c>
    </row>
    <row r="69" spans="1:20" x14ac:dyDescent="0.2">
      <c r="A69" s="5">
        <v>78</v>
      </c>
      <c r="H69" s="21"/>
      <c r="M69" s="5">
        <f>scrimecost*Meta!O66</f>
        <v>335.15999999999997</v>
      </c>
      <c r="N69" s="5">
        <f>L69-Grade15!L69</f>
        <v>0</v>
      </c>
      <c r="O69" s="5">
        <f>Grade15!M69-M69</f>
        <v>2.6639999999999873</v>
      </c>
      <c r="Q69" s="22"/>
      <c r="R69" s="22"/>
      <c r="S69" s="22">
        <f t="shared" si="19"/>
        <v>1.5264719999999925</v>
      </c>
      <c r="T69" s="22">
        <f t="shared" si="20"/>
        <v>11.52115357610832</v>
      </c>
    </row>
    <row r="70" spans="1:20" x14ac:dyDescent="0.2">
      <c r="A70" s="5">
        <v>79</v>
      </c>
      <c r="H70" s="21"/>
      <c r="M70" s="5"/>
      <c r="Q70" s="22"/>
      <c r="R70" s="22"/>
      <c r="S70" s="22">
        <f>SUM(T5:T69)</f>
        <v>2.4386554997590792E-9</v>
      </c>
    </row>
    <row r="71" spans="1:20" x14ac:dyDescent="0.2">
      <c r="A71" s="5">
        <v>80</v>
      </c>
      <c r="H71" s="21"/>
      <c r="M71" s="5"/>
      <c r="Q71" s="22"/>
      <c r="R71" s="22"/>
    </row>
    <row r="72" spans="1:20" x14ac:dyDescent="0.2">
      <c r="A72" s="5">
        <v>81</v>
      </c>
      <c r="H72" s="21"/>
      <c r="M72" s="5"/>
      <c r="Q72" s="22"/>
      <c r="R72" s="22"/>
    </row>
    <row r="73" spans="1:20" x14ac:dyDescent="0.2">
      <c r="A73" s="5">
        <v>82</v>
      </c>
      <c r="H73" s="21"/>
      <c r="M73" s="5"/>
    </row>
    <row r="74" spans="1:20" x14ac:dyDescent="0.2">
      <c r="A74" s="5">
        <v>83</v>
      </c>
      <c r="H74" s="21"/>
      <c r="M74" s="5"/>
    </row>
    <row r="75" spans="1:20" x14ac:dyDescent="0.2">
      <c r="A75" s="5">
        <v>84</v>
      </c>
      <c r="H75" s="21"/>
      <c r="M75" s="5"/>
    </row>
    <row r="76" spans="1:20" x14ac:dyDescent="0.2">
      <c r="A76" s="5">
        <v>85</v>
      </c>
      <c r="H76" s="21"/>
    </row>
    <row r="77" spans="1:20" x14ac:dyDescent="0.2">
      <c r="A77" s="5">
        <v>86</v>
      </c>
      <c r="H77" s="21"/>
    </row>
    <row r="78" spans="1:20" x14ac:dyDescent="0.2">
      <c r="A78" s="5">
        <v>87</v>
      </c>
      <c r="H78" s="21"/>
    </row>
    <row r="79" spans="1:20" x14ac:dyDescent="0.2">
      <c r="A79" s="5">
        <v>88</v>
      </c>
      <c r="H79" s="21"/>
    </row>
    <row r="80" spans="1:20" x14ac:dyDescent="0.2">
      <c r="A80" s="5">
        <v>89</v>
      </c>
      <c r="H80" s="21"/>
    </row>
    <row r="81" spans="1:8" x14ac:dyDescent="0.2">
      <c r="A81" s="5">
        <v>90</v>
      </c>
      <c r="H81" s="21"/>
    </row>
  </sheetData>
  <pageMargins left="0.75" right="0.75" top="1" bottom="1" header="0.5" footer="0.5"/>
  <pageSetup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1"/>
  <sheetViews>
    <sheetView topLeftCell="B1" workbookViewId="0">
      <selection activeCell="S14" sqref="S14"/>
    </sheetView>
  </sheetViews>
  <sheetFormatPr defaultRowHeight="12.75" x14ac:dyDescent="0.2"/>
  <cols>
    <col min="1" max="1" width="13.7109375" style="5" customWidth="1"/>
    <col min="2" max="7" width="13.7109375" style="1" customWidth="1"/>
    <col min="8" max="8" width="9.5703125" style="1" customWidth="1"/>
    <col min="9" max="9" width="9.140625" style="1"/>
    <col min="10" max="11" width="9.28515625" style="1" customWidth="1"/>
    <col min="12" max="12" width="9.140625" style="1"/>
    <col min="13" max="13" width="9.5703125" style="1" customWidth="1"/>
    <col min="14" max="14" width="9.28515625" style="1" customWidth="1"/>
    <col min="15" max="17" width="9.140625" style="1"/>
    <col min="18" max="18" width="9.5703125" style="1" bestFit="1" customWidth="1"/>
    <col min="19" max="19" width="10.140625" style="1" bestFit="1" customWidth="1"/>
    <col min="20" max="16384" width="9.140625" style="1"/>
  </cols>
  <sheetData>
    <row r="1" spans="1:20" x14ac:dyDescent="0.2">
      <c r="B1" s="1" t="s">
        <v>11</v>
      </c>
      <c r="C1" s="27" t="s">
        <v>35</v>
      </c>
      <c r="D1" s="27" t="s">
        <v>36</v>
      </c>
      <c r="E1" s="6" t="s">
        <v>9</v>
      </c>
      <c r="F1" s="6" t="s">
        <v>49</v>
      </c>
      <c r="G1" s="1" t="s">
        <v>4</v>
      </c>
      <c r="H1" s="1" t="s">
        <v>8</v>
      </c>
      <c r="J1" s="1" t="s">
        <v>56</v>
      </c>
      <c r="K1" s="1" t="s">
        <v>20</v>
      </c>
      <c r="N1" s="1" t="s">
        <v>43</v>
      </c>
      <c r="O1" s="1" t="s">
        <v>44</v>
      </c>
      <c r="P1" s="1" t="s">
        <v>45</v>
      </c>
      <c r="Q1" s="1" t="s">
        <v>46</v>
      </c>
      <c r="R1" s="1" t="s">
        <v>53</v>
      </c>
      <c r="T1" s="12" t="s">
        <v>57</v>
      </c>
    </row>
    <row r="2" spans="1:20" x14ac:dyDescent="0.2">
      <c r="B2" s="5">
        <f>Meta!A11+6</f>
        <v>23</v>
      </c>
      <c r="C2" s="7">
        <f>Meta!B11</f>
        <v>66535</v>
      </c>
      <c r="D2" s="7">
        <f>Meta!C11</f>
        <v>29124</v>
      </c>
      <c r="E2" s="1">
        <f>Meta!D11</f>
        <v>4.8000000000000001E-2</v>
      </c>
      <c r="F2" s="1">
        <f>Meta!F11</f>
        <v>0.80300000000000005</v>
      </c>
      <c r="G2" s="1">
        <f>Meta!I11</f>
        <v>1.7595535582220223</v>
      </c>
      <c r="H2" s="1">
        <f>Meta!E11</f>
        <v>0.28499999999999998</v>
      </c>
      <c r="I2" s="13"/>
      <c r="J2" s="1">
        <f>Meta!X10</f>
        <v>0.754</v>
      </c>
      <c r="K2" s="1">
        <f>Meta!D10</f>
        <v>4.8000000000000001E-2</v>
      </c>
      <c r="L2" s="29"/>
      <c r="N2" s="22">
        <f>Meta!T11</f>
        <v>50748</v>
      </c>
      <c r="O2" s="22">
        <f>Meta!U11</f>
        <v>22997</v>
      </c>
      <c r="P2" s="1">
        <f>Meta!V11</f>
        <v>6.2E-2</v>
      </c>
      <c r="Q2" s="1">
        <f>Meta!X11</f>
        <v>0.754</v>
      </c>
      <c r="R2" s="22">
        <f>Meta!W11</f>
        <v>4655</v>
      </c>
      <c r="T2" s="12">
        <f>IRR(S5:S69)+1</f>
        <v>0.92824941513955339</v>
      </c>
    </row>
    <row r="3" spans="1:20" ht="14.25" x14ac:dyDescent="0.2">
      <c r="C3" s="3"/>
      <c r="G3" s="4"/>
      <c r="L3" s="1" t="s">
        <v>10</v>
      </c>
    </row>
    <row r="4" spans="1:20" x14ac:dyDescent="0.2">
      <c r="A4" s="7" t="s">
        <v>0</v>
      </c>
      <c r="B4" s="2" t="s">
        <v>1</v>
      </c>
      <c r="C4" s="1" t="s">
        <v>37</v>
      </c>
      <c r="D4" s="1" t="s">
        <v>2</v>
      </c>
      <c r="E4" t="s">
        <v>12</v>
      </c>
      <c r="F4" t="s">
        <v>19</v>
      </c>
      <c r="G4" t="s">
        <v>18</v>
      </c>
      <c r="H4" t="s">
        <v>38</v>
      </c>
      <c r="I4" t="s">
        <v>6</v>
      </c>
      <c r="J4" s="1" t="s">
        <v>47</v>
      </c>
      <c r="L4" s="1" t="s">
        <v>48</v>
      </c>
      <c r="M4" s="1" t="s">
        <v>54</v>
      </c>
      <c r="N4" s="1" t="s">
        <v>59</v>
      </c>
      <c r="O4" s="1" t="s">
        <v>58</v>
      </c>
      <c r="P4" s="1" t="s">
        <v>55</v>
      </c>
      <c r="Q4" s="1" t="s">
        <v>17</v>
      </c>
      <c r="R4" s="1" t="s">
        <v>7</v>
      </c>
      <c r="S4" s="5" t="s">
        <v>14</v>
      </c>
      <c r="T4" s="5" t="s">
        <v>15</v>
      </c>
    </row>
    <row r="5" spans="1:20" x14ac:dyDescent="0.2">
      <c r="A5" s="5">
        <v>14</v>
      </c>
      <c r="C5" s="5"/>
      <c r="D5" s="5"/>
      <c r="E5" s="5"/>
      <c r="F5" s="5"/>
      <c r="G5" s="5"/>
      <c r="H5" s="22"/>
      <c r="I5" s="5"/>
      <c r="J5" s="26"/>
      <c r="L5" s="22"/>
      <c r="M5" s="5"/>
      <c r="N5" s="5"/>
      <c r="O5" s="5"/>
      <c r="P5" s="22"/>
      <c r="Q5" s="22"/>
      <c r="R5" s="22"/>
      <c r="S5" s="22"/>
      <c r="T5" s="22"/>
    </row>
    <row r="6" spans="1:20" x14ac:dyDescent="0.2">
      <c r="A6" s="5">
        <v>15</v>
      </c>
      <c r="C6" s="5"/>
      <c r="D6" s="5"/>
      <c r="E6" s="5"/>
      <c r="F6" s="5"/>
      <c r="G6" s="5"/>
      <c r="H6" s="22"/>
      <c r="I6" s="5"/>
      <c r="J6" s="26"/>
      <c r="L6" s="22"/>
      <c r="M6" s="5"/>
      <c r="N6" s="5"/>
      <c r="O6" s="5"/>
      <c r="P6" s="22"/>
      <c r="Q6" s="22"/>
      <c r="R6" s="22"/>
      <c r="S6" s="22"/>
      <c r="T6" s="22"/>
    </row>
    <row r="7" spans="1:20" x14ac:dyDescent="0.2">
      <c r="A7" s="5">
        <v>16</v>
      </c>
      <c r="C7" s="5"/>
      <c r="D7" s="5"/>
      <c r="E7" s="5"/>
      <c r="F7" s="5"/>
      <c r="G7" s="5"/>
      <c r="H7" s="22"/>
      <c r="I7" s="5"/>
      <c r="J7" s="26"/>
      <c r="L7" s="22"/>
      <c r="M7" s="5"/>
      <c r="N7" s="5"/>
      <c r="O7" s="5"/>
      <c r="P7" s="22"/>
      <c r="Q7" s="22"/>
      <c r="R7" s="22"/>
      <c r="S7" s="22"/>
      <c r="T7" s="22"/>
    </row>
    <row r="8" spans="1:20" x14ac:dyDescent="0.2">
      <c r="A8" s="5">
        <v>17</v>
      </c>
      <c r="C8" s="5"/>
      <c r="D8" s="5"/>
      <c r="E8" s="5"/>
      <c r="F8" s="5"/>
      <c r="G8" s="5"/>
      <c r="H8" s="22"/>
      <c r="I8" s="5"/>
      <c r="J8" s="26"/>
      <c r="L8" s="22"/>
      <c r="M8" s="5"/>
      <c r="N8" s="5"/>
      <c r="O8" s="5"/>
      <c r="P8" s="22"/>
      <c r="Q8" s="22"/>
      <c r="R8" s="22"/>
      <c r="S8" s="22"/>
      <c r="T8" s="22"/>
    </row>
    <row r="9" spans="1:20" x14ac:dyDescent="0.2">
      <c r="A9" s="5">
        <v>18</v>
      </c>
      <c r="C9" s="5"/>
      <c r="D9" s="5"/>
      <c r="E9" s="5"/>
      <c r="F9" s="5"/>
      <c r="G9" s="5"/>
      <c r="H9" s="22"/>
      <c r="I9" s="5"/>
      <c r="J9" s="26"/>
      <c r="L9" s="22"/>
      <c r="M9" s="5"/>
      <c r="N9" s="5"/>
      <c r="O9" s="5"/>
      <c r="P9" s="22"/>
      <c r="Q9" s="22"/>
      <c r="R9" s="22"/>
      <c r="S9" s="22"/>
      <c r="T9" s="22"/>
    </row>
    <row r="10" spans="1:20" x14ac:dyDescent="0.2">
      <c r="A10" s="5">
        <v>19</v>
      </c>
      <c r="C10" s="5"/>
      <c r="D10" s="5"/>
      <c r="E10" s="5"/>
      <c r="F10" s="5"/>
      <c r="G10" s="5"/>
      <c r="H10" s="22"/>
      <c r="I10" s="5"/>
      <c r="J10" s="26"/>
      <c r="L10" s="22"/>
      <c r="M10" s="5"/>
      <c r="N10" s="5"/>
      <c r="O10" s="5"/>
      <c r="P10" s="22"/>
      <c r="Q10" s="22"/>
      <c r="R10" s="22"/>
      <c r="S10" s="22"/>
      <c r="T10" s="22"/>
    </row>
    <row r="11" spans="1:20" x14ac:dyDescent="0.2">
      <c r="A11" s="5">
        <v>20</v>
      </c>
      <c r="C11" s="5"/>
      <c r="D11" s="5"/>
      <c r="E11" s="5"/>
      <c r="F11" s="5"/>
      <c r="G11" s="5"/>
      <c r="H11" s="22"/>
      <c r="I11" s="5"/>
      <c r="J11" s="26"/>
      <c r="L11" s="22"/>
      <c r="M11" s="5"/>
      <c r="N11" s="5"/>
      <c r="O11" s="5"/>
      <c r="P11" s="22"/>
      <c r="Q11" s="22"/>
      <c r="R11" s="22"/>
      <c r="S11" s="22"/>
      <c r="T11" s="22"/>
    </row>
    <row r="12" spans="1:20" x14ac:dyDescent="0.2">
      <c r="A12" s="5">
        <v>21</v>
      </c>
      <c r="C12" s="5"/>
      <c r="D12" s="5"/>
      <c r="E12" s="5"/>
      <c r="F12" s="5"/>
      <c r="G12" s="5"/>
      <c r="H12" s="22"/>
      <c r="I12" s="5"/>
      <c r="J12" s="26"/>
      <c r="L12" s="22"/>
      <c r="M12" s="5"/>
      <c r="N12" s="5"/>
      <c r="O12" s="5"/>
      <c r="P12" s="22"/>
      <c r="Q12" s="22"/>
      <c r="R12" s="22"/>
      <c r="S12" s="22"/>
      <c r="T12" s="22"/>
    </row>
    <row r="13" spans="1:20" x14ac:dyDescent="0.2">
      <c r="A13" s="5">
        <v>22</v>
      </c>
      <c r="B13" s="1">
        <v>1</v>
      </c>
      <c r="C13" s="5">
        <f>0.1*Grade16!C13</f>
        <v>3640.7172797895482</v>
      </c>
      <c r="D13" s="5">
        <f t="shared" ref="D13:D36" si="0">IF(A13&lt;startage,1,0)*(C13*(1-initialunempprob))+IF(A13=startage,1,0)*(C13*(1-unempprob))+IF(A13&gt;startage,1,0)*(C13*(1-unempprob)+unempprob*300*52)</f>
        <v>3465.9628503596496</v>
      </c>
      <c r="E13" s="5">
        <f t="shared" ref="E13:E56" si="1">IF(D13-9500&gt;0,1,0)*(D13-9500)</f>
        <v>0</v>
      </c>
      <c r="F13" s="5">
        <f t="shared" ref="F13:F56" si="2">IF(E13&lt;=8500,1,0)*(0.1*E13+0.1*E13+0.0765*D13)+IF(AND(E13&gt;8500,E13&lt;=34500),1,0)*(850+0.15*(E13-8500)+0.1*E13+0.0765*D13)+IF(AND(E13&gt;34500,E13&lt;=83600),1,0)*(4750+0.25*(E13-34500)+0.1*E13+0.0765*D13)+IF(AND(E13&gt;83600,E13&lt;=174400,D13&lt;=106800),1,0)*(17025+0.28*(E13-83600)+0.1*E13+0.0765*D13)+IF(AND(E13&gt;83600,E13&lt;=174400,D13&gt;106800),1,0)*(17025+0.28*(E13-83600)+0.1*E13+8170.2+0.0145*(D13-106800))+IF(AND(E13&gt;174400,E13&lt;=379150),1,0)*(42449+0.33*(E13-174400)+0.1*E13+8170.2+0.0145*(D13-106800))+IF(E13&gt;379150,1,0)*(110016.5+0.35*(E13-379150)+0.1*E13+8170.2+0.0145*(D13-106800))</f>
        <v>265.14615805251321</v>
      </c>
      <c r="G13" s="5">
        <f t="shared" ref="G13:G56" si="3">D13-F13</f>
        <v>3200.8166923071362</v>
      </c>
      <c r="H13" s="22">
        <f>0.1*Grade16!H13</f>
        <v>1600.3091324766895</v>
      </c>
      <c r="I13" s="5">
        <f t="shared" ref="I13:I36" si="4">G13+IF(A13&lt;startage,1,0)*(H13*(1-initialunempprob))+IF(A13&gt;=startage,1,0)*(H13*(1-unempprob))</f>
        <v>4724.3109864249445</v>
      </c>
      <c r="J13" s="26">
        <f t="shared" ref="J13:J56" si="5">(F13-(IF(A13&gt;startage,1,0)*(unempprob*300*52)))/(IF(A13&lt;startage,1,0)*((C13+H13)*(1-initialunempprob))+IF(A13&gt;=startage,1,0)*((C13+H13)*(1-unempprob)))</f>
        <v>5.3141283785950184E-2</v>
      </c>
      <c r="L13" s="22">
        <f>0.1*Grade16!L13</f>
        <v>3808.4706788431777</v>
      </c>
      <c r="M13" s="5">
        <f>scrimecost*Meta!O10</f>
        <v>12782.63</v>
      </c>
      <c r="N13" s="5">
        <f>L13-Grade16!L13</f>
        <v>-34276.236109588594</v>
      </c>
      <c r="O13" s="5"/>
      <c r="P13" s="22"/>
      <c r="Q13" s="22">
        <f>0.05*feel*Grade16!G13</f>
        <v>366.00563716041142</v>
      </c>
      <c r="R13" s="22">
        <f>coltuition</f>
        <v>8279</v>
      </c>
      <c r="S13" s="22">
        <f t="shared" ref="S13:S44" si="6">IF(A13&lt;startage,1,0)*(N13-Q13-R13)+IF(A13&gt;=startage,1,0)*completionprob*(N13*spart+O13+P13)</f>
        <v>-42921.241746749001</v>
      </c>
      <c r="T13" s="22">
        <f t="shared" ref="T13:T44" si="7">S13/sreturn^(A13-startage+1)</f>
        <v>-42921.241746749001</v>
      </c>
    </row>
    <row r="14" spans="1:20" x14ac:dyDescent="0.2">
      <c r="A14" s="5">
        <v>23</v>
      </c>
      <c r="B14" s="1">
        <f t="shared" ref="B14:B36" si="8">(1+experiencepremium)^(A14-startage)</f>
        <v>1</v>
      </c>
      <c r="C14" s="5">
        <f t="shared" ref="C14:C36" si="9">pretaxincome*B14/expnorm</f>
        <v>37813.569066480522</v>
      </c>
      <c r="D14" s="5">
        <f t="shared" si="0"/>
        <v>35998.517751289459</v>
      </c>
      <c r="E14" s="5">
        <f t="shared" si="1"/>
        <v>26498.517751289459</v>
      </c>
      <c r="F14" s="5">
        <f t="shared" si="2"/>
        <v>8953.5160457960083</v>
      </c>
      <c r="G14" s="5">
        <f t="shared" si="3"/>
        <v>27045.001705493451</v>
      </c>
      <c r="H14" s="22">
        <f t="shared" ref="H14:H36" si="10">benefits*B14/expnorm</f>
        <v>16551.925835908602</v>
      </c>
      <c r="I14" s="5">
        <f t="shared" si="4"/>
        <v>42802.435101278439</v>
      </c>
      <c r="J14" s="26">
        <f t="shared" si="5"/>
        <v>0.17299490874687778</v>
      </c>
      <c r="L14" s="22">
        <f t="shared" ref="L14:L36" si="11">(sincome+sbenefits)*(1-sunemp)*B14/expnorm</f>
        <v>39312.705019276087</v>
      </c>
      <c r="M14" s="5">
        <f>scrimecost*Meta!O11</f>
        <v>11916.800000000001</v>
      </c>
      <c r="N14" s="5">
        <f>L14-Grade16!L14</f>
        <v>275.8805611335265</v>
      </c>
      <c r="O14" s="5">
        <f>Grade16!M14-M14</f>
        <v>0</v>
      </c>
      <c r="P14" s="22">
        <f t="shared" ref="P14:P56" si="12">(spart-initialspart)*(L14*J14+nptrans)</f>
        <v>0</v>
      </c>
      <c r="Q14" s="22"/>
      <c r="R14" s="22"/>
      <c r="S14" s="22">
        <f t="shared" si="6"/>
        <v>59.283973781983505</v>
      </c>
      <c r="T14" s="22">
        <f t="shared" si="7"/>
        <v>63.866427293219168</v>
      </c>
    </row>
    <row r="15" spans="1:20" x14ac:dyDescent="0.2">
      <c r="A15" s="5">
        <v>24</v>
      </c>
      <c r="B15" s="1">
        <f t="shared" si="8"/>
        <v>1.0249999999999999</v>
      </c>
      <c r="C15" s="5">
        <f t="shared" si="9"/>
        <v>38758.908293142536</v>
      </c>
      <c r="D15" s="5">
        <f t="shared" si="0"/>
        <v>37647.280695071699</v>
      </c>
      <c r="E15" s="5">
        <f t="shared" si="1"/>
        <v>28147.280695071699</v>
      </c>
      <c r="F15" s="5">
        <f t="shared" si="2"/>
        <v>9491.8371469409103</v>
      </c>
      <c r="G15" s="5">
        <f t="shared" si="3"/>
        <v>28155.443548130788</v>
      </c>
      <c r="H15" s="22">
        <f t="shared" si="10"/>
        <v>16965.723981806314</v>
      </c>
      <c r="I15" s="5">
        <f t="shared" si="4"/>
        <v>44306.812778810396</v>
      </c>
      <c r="J15" s="26">
        <f t="shared" si="5"/>
        <v>0.1648079525046289</v>
      </c>
      <c r="L15" s="22">
        <f t="shared" si="11"/>
        <v>40295.522644757984</v>
      </c>
      <c r="M15" s="5">
        <f>scrimecost*Meta!O12</f>
        <v>11367.51</v>
      </c>
      <c r="N15" s="5">
        <f>L15-Grade16!L15</f>
        <v>282.77757516185375</v>
      </c>
      <c r="O15" s="5">
        <f>Grade16!M15-M15</f>
        <v>0</v>
      </c>
      <c r="P15" s="22">
        <f t="shared" si="12"/>
        <v>0</v>
      </c>
      <c r="Q15" s="22"/>
      <c r="R15" s="22"/>
      <c r="S15" s="22">
        <f t="shared" si="6"/>
        <v>60.766073126530742</v>
      </c>
      <c r="T15" s="22">
        <f t="shared" si="7"/>
        <v>70.523166411804709</v>
      </c>
    </row>
    <row r="16" spans="1:20" x14ac:dyDescent="0.2">
      <c r="A16" s="5">
        <v>25</v>
      </c>
      <c r="B16" s="1">
        <f t="shared" si="8"/>
        <v>1.0506249999999999</v>
      </c>
      <c r="C16" s="5">
        <f t="shared" si="9"/>
        <v>39727.881000471098</v>
      </c>
      <c r="D16" s="5">
        <f t="shared" si="0"/>
        <v>38569.742712448489</v>
      </c>
      <c r="E16" s="5">
        <f t="shared" si="1"/>
        <v>29069.742712448489</v>
      </c>
      <c r="F16" s="5">
        <f t="shared" si="2"/>
        <v>9793.0209956144317</v>
      </c>
      <c r="G16" s="5">
        <f t="shared" si="3"/>
        <v>28776.721716834058</v>
      </c>
      <c r="H16" s="22">
        <f t="shared" si="10"/>
        <v>17389.867081351473</v>
      </c>
      <c r="I16" s="5">
        <f t="shared" si="4"/>
        <v>45331.875178280658</v>
      </c>
      <c r="J16" s="26">
        <f t="shared" si="5"/>
        <v>0.16632714799331969</v>
      </c>
      <c r="L16" s="22">
        <f t="shared" si="11"/>
        <v>41302.910710876939</v>
      </c>
      <c r="M16" s="5">
        <f>scrimecost*Meta!O13</f>
        <v>9463.6149999999998</v>
      </c>
      <c r="N16" s="5">
        <f>L16-Grade16!L16</f>
        <v>289.84701454090828</v>
      </c>
      <c r="O16" s="5">
        <f>Grade16!M16-M16</f>
        <v>0</v>
      </c>
      <c r="P16" s="22">
        <f t="shared" si="12"/>
        <v>0</v>
      </c>
      <c r="Q16" s="22"/>
      <c r="R16" s="22"/>
      <c r="S16" s="22">
        <f t="shared" si="6"/>
        <v>62.285224954695778</v>
      </c>
      <c r="T16" s="22">
        <f t="shared" si="7"/>
        <v>77.873731341090405</v>
      </c>
    </row>
    <row r="17" spans="1:20" x14ac:dyDescent="0.2">
      <c r="A17" s="5">
        <v>26</v>
      </c>
      <c r="B17" s="1">
        <f t="shared" si="8"/>
        <v>1.0768906249999999</v>
      </c>
      <c r="C17" s="5">
        <f t="shared" si="9"/>
        <v>40721.078025482871</v>
      </c>
      <c r="D17" s="5">
        <f t="shared" si="0"/>
        <v>39515.266280259697</v>
      </c>
      <c r="E17" s="5">
        <f t="shared" si="1"/>
        <v>30015.266280259697</v>
      </c>
      <c r="F17" s="5">
        <f t="shared" si="2"/>
        <v>10101.734440504792</v>
      </c>
      <c r="G17" s="5">
        <f t="shared" si="3"/>
        <v>29413.531839754905</v>
      </c>
      <c r="H17" s="22">
        <f t="shared" si="10"/>
        <v>17824.613758385258</v>
      </c>
      <c r="I17" s="5">
        <f t="shared" si="4"/>
        <v>46382.564137737674</v>
      </c>
      <c r="J17" s="26">
        <f t="shared" si="5"/>
        <v>0.16780928993350586</v>
      </c>
      <c r="L17" s="22">
        <f t="shared" si="11"/>
        <v>42335.483478648865</v>
      </c>
      <c r="M17" s="5">
        <f>scrimecost*Meta!O14</f>
        <v>9463.6149999999998</v>
      </c>
      <c r="N17" s="5">
        <f>L17-Grade16!L17</f>
        <v>297.09318990443717</v>
      </c>
      <c r="O17" s="5">
        <f>Grade16!M17-M17</f>
        <v>0</v>
      </c>
      <c r="P17" s="22">
        <f t="shared" si="12"/>
        <v>0</v>
      </c>
      <c r="Q17" s="22"/>
      <c r="R17" s="22"/>
      <c r="S17" s="22">
        <f t="shared" si="6"/>
        <v>63.842355578564501</v>
      </c>
      <c r="T17" s="22">
        <f t="shared" si="7"/>
        <v>85.990438908727</v>
      </c>
    </row>
    <row r="18" spans="1:20" x14ac:dyDescent="0.2">
      <c r="A18" s="5">
        <v>27</v>
      </c>
      <c r="B18" s="1">
        <f t="shared" si="8"/>
        <v>1.1038128906249998</v>
      </c>
      <c r="C18" s="5">
        <f t="shared" si="9"/>
        <v>41739.104976119939</v>
      </c>
      <c r="D18" s="5">
        <f t="shared" si="0"/>
        <v>40484.427937266184</v>
      </c>
      <c r="E18" s="5">
        <f t="shared" si="1"/>
        <v>30984.427937266184</v>
      </c>
      <c r="F18" s="5">
        <f t="shared" si="2"/>
        <v>10418.165721517409</v>
      </c>
      <c r="G18" s="5">
        <f t="shared" si="3"/>
        <v>30066.262215748775</v>
      </c>
      <c r="H18" s="22">
        <f t="shared" si="10"/>
        <v>18270.229102344889</v>
      </c>
      <c r="I18" s="5">
        <f t="shared" si="4"/>
        <v>47459.520321181109</v>
      </c>
      <c r="J18" s="26">
        <f t="shared" si="5"/>
        <v>0.16925528207027282</v>
      </c>
      <c r="L18" s="22">
        <f t="shared" si="11"/>
        <v>43393.870565615078</v>
      </c>
      <c r="M18" s="5">
        <f>scrimecost*Meta!O15</f>
        <v>9463.6149999999998</v>
      </c>
      <c r="N18" s="5">
        <f>L18-Grade16!L18</f>
        <v>304.52051965204009</v>
      </c>
      <c r="O18" s="5">
        <f>Grade16!M18-M18</f>
        <v>0</v>
      </c>
      <c r="P18" s="22">
        <f t="shared" si="12"/>
        <v>0</v>
      </c>
      <c r="Q18" s="22"/>
      <c r="R18" s="22"/>
      <c r="S18" s="22">
        <f t="shared" si="6"/>
        <v>65.438414468026892</v>
      </c>
      <c r="T18" s="22">
        <f t="shared" si="7"/>
        <v>94.953143458961208</v>
      </c>
    </row>
    <row r="19" spans="1:20" x14ac:dyDescent="0.2">
      <c r="A19" s="5">
        <v>28</v>
      </c>
      <c r="B19" s="1">
        <f t="shared" si="8"/>
        <v>1.1314082128906247</v>
      </c>
      <c r="C19" s="5">
        <f t="shared" si="9"/>
        <v>42782.582600522939</v>
      </c>
      <c r="D19" s="5">
        <f t="shared" si="0"/>
        <v>41477.81863569784</v>
      </c>
      <c r="E19" s="5">
        <f t="shared" si="1"/>
        <v>31977.81863569784</v>
      </c>
      <c r="F19" s="5">
        <f t="shared" si="2"/>
        <v>10742.507784555344</v>
      </c>
      <c r="G19" s="5">
        <f t="shared" si="3"/>
        <v>30735.310851142494</v>
      </c>
      <c r="H19" s="22">
        <f t="shared" si="10"/>
        <v>18726.984829903511</v>
      </c>
      <c r="I19" s="5">
        <f t="shared" si="4"/>
        <v>48563.400409210633</v>
      </c>
      <c r="J19" s="26">
        <f t="shared" si="5"/>
        <v>0.17066600610614305</v>
      </c>
      <c r="L19" s="22">
        <f t="shared" si="11"/>
        <v>44478.717329755455</v>
      </c>
      <c r="M19" s="5">
        <f>scrimecost*Meta!O16</f>
        <v>9463.6149999999998</v>
      </c>
      <c r="N19" s="5">
        <f>L19-Grade16!L19</f>
        <v>312.13353264334728</v>
      </c>
      <c r="O19" s="5">
        <f>Grade16!M19-M19</f>
        <v>0</v>
      </c>
      <c r="P19" s="22">
        <f t="shared" si="12"/>
        <v>0</v>
      </c>
      <c r="Q19" s="22"/>
      <c r="R19" s="22"/>
      <c r="S19" s="22">
        <f t="shared" si="6"/>
        <v>67.074374829728896</v>
      </c>
      <c r="T19" s="22">
        <f t="shared" si="7"/>
        <v>104.85002248108609</v>
      </c>
    </row>
    <row r="20" spans="1:20" x14ac:dyDescent="0.2">
      <c r="A20" s="5">
        <v>29</v>
      </c>
      <c r="B20" s="1">
        <f t="shared" si="8"/>
        <v>1.1596934182128902</v>
      </c>
      <c r="C20" s="5">
        <f t="shared" si="9"/>
        <v>43852.147165536</v>
      </c>
      <c r="D20" s="5">
        <f t="shared" si="0"/>
        <v>42496.044101590276</v>
      </c>
      <c r="E20" s="5">
        <f t="shared" si="1"/>
        <v>32996.044101590276</v>
      </c>
      <c r="F20" s="5">
        <f t="shared" si="2"/>
        <v>11074.958399169225</v>
      </c>
      <c r="G20" s="5">
        <f t="shared" si="3"/>
        <v>31421.085702421049</v>
      </c>
      <c r="H20" s="22">
        <f t="shared" si="10"/>
        <v>19195.159450651096</v>
      </c>
      <c r="I20" s="5">
        <f t="shared" si="4"/>
        <v>49694.877499440889</v>
      </c>
      <c r="J20" s="26">
        <f t="shared" si="5"/>
        <v>0.17204232223869942</v>
      </c>
      <c r="L20" s="22">
        <f t="shared" si="11"/>
        <v>45590.68526299933</v>
      </c>
      <c r="M20" s="5">
        <f>scrimecost*Meta!O17</f>
        <v>9463.6149999999998</v>
      </c>
      <c r="N20" s="5">
        <f>L20-Grade16!L20</f>
        <v>319.93687095942005</v>
      </c>
      <c r="O20" s="5">
        <f>Grade16!M20-M20</f>
        <v>0</v>
      </c>
      <c r="P20" s="22">
        <f t="shared" si="12"/>
        <v>0</v>
      </c>
      <c r="Q20" s="22"/>
      <c r="R20" s="22"/>
      <c r="S20" s="22">
        <f t="shared" si="6"/>
        <v>68.751234200469767</v>
      </c>
      <c r="T20" s="22">
        <f t="shared" si="7"/>
        <v>115.77844412318029</v>
      </c>
    </row>
    <row r="21" spans="1:20" x14ac:dyDescent="0.2">
      <c r="A21" s="5">
        <v>30</v>
      </c>
      <c r="B21" s="1">
        <f t="shared" si="8"/>
        <v>1.1886857536682125</v>
      </c>
      <c r="C21" s="5">
        <f t="shared" si="9"/>
        <v>44948.450844674408</v>
      </c>
      <c r="D21" s="5">
        <f t="shared" si="0"/>
        <v>43539.725204130038</v>
      </c>
      <c r="E21" s="5">
        <f t="shared" si="1"/>
        <v>34039.725204130038</v>
      </c>
      <c r="F21" s="5">
        <f t="shared" si="2"/>
        <v>11415.720279148458</v>
      </c>
      <c r="G21" s="5">
        <f t="shared" si="3"/>
        <v>32124.004924981578</v>
      </c>
      <c r="H21" s="22">
        <f t="shared" si="10"/>
        <v>19675.038436917373</v>
      </c>
      <c r="I21" s="5">
        <f t="shared" si="4"/>
        <v>50854.641516926917</v>
      </c>
      <c r="J21" s="26">
        <f t="shared" si="5"/>
        <v>0.17338506968509584</v>
      </c>
      <c r="L21" s="22">
        <f t="shared" si="11"/>
        <v>46730.45239457432</v>
      </c>
      <c r="M21" s="5">
        <f>scrimecost*Meta!O18</f>
        <v>7797.125</v>
      </c>
      <c r="N21" s="5">
        <f>L21-Grade16!L21</f>
        <v>327.93529273341119</v>
      </c>
      <c r="O21" s="5">
        <f>Grade16!M21-M21</f>
        <v>0</v>
      </c>
      <c r="P21" s="22">
        <f t="shared" si="12"/>
        <v>0</v>
      </c>
      <c r="Q21" s="22"/>
      <c r="R21" s="22"/>
      <c r="S21" s="22">
        <f t="shared" si="6"/>
        <v>70.470015055482733</v>
      </c>
      <c r="T21" s="22">
        <f t="shared" si="7"/>
        <v>127.8459251260832</v>
      </c>
    </row>
    <row r="22" spans="1:20" x14ac:dyDescent="0.2">
      <c r="A22" s="5">
        <v>31</v>
      </c>
      <c r="B22" s="1">
        <f t="shared" si="8"/>
        <v>1.2184028975099177</v>
      </c>
      <c r="C22" s="5">
        <f t="shared" si="9"/>
        <v>46072.16211579126</v>
      </c>
      <c r="D22" s="5">
        <f t="shared" si="0"/>
        <v>44609.498334233278</v>
      </c>
      <c r="E22" s="5">
        <f t="shared" si="1"/>
        <v>35109.498334233278</v>
      </c>
      <c r="F22" s="5">
        <f t="shared" si="2"/>
        <v>11825.951039550493</v>
      </c>
      <c r="G22" s="5">
        <f t="shared" si="3"/>
        <v>32783.547294682787</v>
      </c>
      <c r="H22" s="22">
        <f t="shared" si="10"/>
        <v>20166.914397840304</v>
      </c>
      <c r="I22" s="5">
        <f t="shared" si="4"/>
        <v>51982.449801426759</v>
      </c>
      <c r="J22" s="26">
        <f t="shared" si="5"/>
        <v>0.17566161047363252</v>
      </c>
      <c r="L22" s="22">
        <f t="shared" si="11"/>
        <v>47898.713704438669</v>
      </c>
      <c r="M22" s="5">
        <f>scrimecost*Meta!O19</f>
        <v>7797.125</v>
      </c>
      <c r="N22" s="5">
        <f>L22-Grade16!L22</f>
        <v>336.13367505174392</v>
      </c>
      <c r="O22" s="5">
        <f>Grade16!M22-M22</f>
        <v>0</v>
      </c>
      <c r="P22" s="22">
        <f t="shared" si="12"/>
        <v>0</v>
      </c>
      <c r="Q22" s="22"/>
      <c r="R22" s="22"/>
      <c r="S22" s="22">
        <f t="shared" si="6"/>
        <v>72.231765431869235</v>
      </c>
      <c r="T22" s="22">
        <f t="shared" si="7"/>
        <v>141.17118860186227</v>
      </c>
    </row>
    <row r="23" spans="1:20" x14ac:dyDescent="0.2">
      <c r="A23" s="5">
        <v>32</v>
      </c>
      <c r="B23" s="1">
        <f t="shared" si="8"/>
        <v>1.2488629699476654</v>
      </c>
      <c r="C23" s="5">
        <f t="shared" si="9"/>
        <v>47223.966168686042</v>
      </c>
      <c r="D23" s="5">
        <f t="shared" si="0"/>
        <v>45706.015792589111</v>
      </c>
      <c r="E23" s="5">
        <f t="shared" si="1"/>
        <v>36206.015792589111</v>
      </c>
      <c r="F23" s="5">
        <f t="shared" si="2"/>
        <v>12293.615735539257</v>
      </c>
      <c r="G23" s="5">
        <f t="shared" si="3"/>
        <v>33412.400057049854</v>
      </c>
      <c r="H23" s="22">
        <f t="shared" si="10"/>
        <v>20671.087257786312</v>
      </c>
      <c r="I23" s="5">
        <f t="shared" si="4"/>
        <v>53091.275126462424</v>
      </c>
      <c r="J23" s="26">
        <f t="shared" si="5"/>
        <v>0.17861253026869287</v>
      </c>
      <c r="L23" s="22">
        <f t="shared" si="11"/>
        <v>49096.181547049629</v>
      </c>
      <c r="M23" s="5">
        <f>scrimecost*Meta!O20</f>
        <v>7797.125</v>
      </c>
      <c r="N23" s="5">
        <f>L23-Grade16!L23</f>
        <v>344.53701692803588</v>
      </c>
      <c r="O23" s="5">
        <f>Grade16!M23-M23</f>
        <v>0</v>
      </c>
      <c r="P23" s="22">
        <f t="shared" si="12"/>
        <v>0</v>
      </c>
      <c r="Q23" s="22"/>
      <c r="R23" s="22"/>
      <c r="S23" s="22">
        <f t="shared" si="6"/>
        <v>74.03755956766561</v>
      </c>
      <c r="T23" s="22">
        <f t="shared" si="7"/>
        <v>155.8853320636392</v>
      </c>
    </row>
    <row r="24" spans="1:20" x14ac:dyDescent="0.2">
      <c r="A24" s="5">
        <v>33</v>
      </c>
      <c r="B24" s="1">
        <f t="shared" si="8"/>
        <v>1.2800845441963571</v>
      </c>
      <c r="C24" s="5">
        <f t="shared" si="9"/>
        <v>48404.565322903189</v>
      </c>
      <c r="D24" s="5">
        <f t="shared" si="0"/>
        <v>46829.946187403839</v>
      </c>
      <c r="E24" s="5">
        <f t="shared" si="1"/>
        <v>37329.946187403839</v>
      </c>
      <c r="F24" s="5">
        <f t="shared" si="2"/>
        <v>12772.972048927737</v>
      </c>
      <c r="G24" s="5">
        <f t="shared" si="3"/>
        <v>34056.9741384761</v>
      </c>
      <c r="H24" s="22">
        <f t="shared" si="10"/>
        <v>21187.864439230969</v>
      </c>
      <c r="I24" s="5">
        <f t="shared" si="4"/>
        <v>54227.821084623982</v>
      </c>
      <c r="J24" s="26">
        <f t="shared" si="5"/>
        <v>0.18149147641021515</v>
      </c>
      <c r="L24" s="22">
        <f t="shared" si="11"/>
        <v>50323.586085725874</v>
      </c>
      <c r="M24" s="5">
        <f>scrimecost*Meta!O21</f>
        <v>7797.125</v>
      </c>
      <c r="N24" s="5">
        <f>L24-Grade16!L24</f>
        <v>353.15044235123787</v>
      </c>
      <c r="O24" s="5">
        <f>Grade16!M24-M24</f>
        <v>0</v>
      </c>
      <c r="P24" s="22">
        <f t="shared" si="12"/>
        <v>0</v>
      </c>
      <c r="Q24" s="22"/>
      <c r="R24" s="22"/>
      <c r="S24" s="22">
        <f t="shared" si="6"/>
        <v>75.888498556857499</v>
      </c>
      <c r="T24" s="22">
        <f t="shared" si="7"/>
        <v>172.13311719804202</v>
      </c>
    </row>
    <row r="25" spans="1:20" x14ac:dyDescent="0.2">
      <c r="A25" s="5">
        <v>34</v>
      </c>
      <c r="B25" s="1">
        <f t="shared" si="8"/>
        <v>1.312086657801266</v>
      </c>
      <c r="C25" s="5">
        <f t="shared" si="9"/>
        <v>49614.679455975769</v>
      </c>
      <c r="D25" s="5">
        <f t="shared" si="0"/>
        <v>47981.97484208893</v>
      </c>
      <c r="E25" s="5">
        <f t="shared" si="1"/>
        <v>38481.97484208893</v>
      </c>
      <c r="F25" s="5">
        <f t="shared" si="2"/>
        <v>13264.312270150929</v>
      </c>
      <c r="G25" s="5">
        <f t="shared" si="3"/>
        <v>34717.662571938003</v>
      </c>
      <c r="H25" s="22">
        <f t="shared" si="10"/>
        <v>21717.561050211742</v>
      </c>
      <c r="I25" s="5">
        <f t="shared" si="4"/>
        <v>55392.780691739579</v>
      </c>
      <c r="J25" s="26">
        <f t="shared" si="5"/>
        <v>0.18430020435316369</v>
      </c>
      <c r="L25" s="22">
        <f t="shared" si="11"/>
        <v>51581.675737869016</v>
      </c>
      <c r="M25" s="5">
        <f>scrimecost*Meta!O22</f>
        <v>7797.125</v>
      </c>
      <c r="N25" s="5">
        <f>L25-Grade16!L25</f>
        <v>361.97920341002464</v>
      </c>
      <c r="O25" s="5">
        <f>Grade16!M25-M25</f>
        <v>0</v>
      </c>
      <c r="P25" s="22">
        <f t="shared" si="12"/>
        <v>0</v>
      </c>
      <c r="Q25" s="22"/>
      <c r="R25" s="22"/>
      <c r="S25" s="22">
        <f t="shared" si="6"/>
        <v>77.785711020780198</v>
      </c>
      <c r="T25" s="22">
        <f t="shared" si="7"/>
        <v>190.07439406947583</v>
      </c>
    </row>
    <row r="26" spans="1:20" x14ac:dyDescent="0.2">
      <c r="A26" s="5">
        <v>35</v>
      </c>
      <c r="B26" s="1">
        <f t="shared" si="8"/>
        <v>1.3448888242462975</v>
      </c>
      <c r="C26" s="5">
        <f t="shared" si="9"/>
        <v>50855.046442375162</v>
      </c>
      <c r="D26" s="5">
        <f t="shared" si="0"/>
        <v>49162.804213141157</v>
      </c>
      <c r="E26" s="5">
        <f t="shared" si="1"/>
        <v>39662.804213141157</v>
      </c>
      <c r="F26" s="5">
        <f t="shared" si="2"/>
        <v>13767.935996904704</v>
      </c>
      <c r="G26" s="5">
        <f t="shared" si="3"/>
        <v>35394.868216236457</v>
      </c>
      <c r="H26" s="22">
        <f t="shared" si="10"/>
        <v>22260.500076467033</v>
      </c>
      <c r="I26" s="5">
        <f t="shared" si="4"/>
        <v>56586.864289033067</v>
      </c>
      <c r="J26" s="26">
        <f t="shared" si="5"/>
        <v>0.18704042673652821</v>
      </c>
      <c r="L26" s="22">
        <f t="shared" si="11"/>
        <v>52871.21763131574</v>
      </c>
      <c r="M26" s="5">
        <f>scrimecost*Meta!O23</f>
        <v>5893.2300000000005</v>
      </c>
      <c r="N26" s="5">
        <f>L26-Grade16!L26</f>
        <v>371.02868349527125</v>
      </c>
      <c r="O26" s="5">
        <f>Grade16!M26-M26</f>
        <v>0</v>
      </c>
      <c r="P26" s="22">
        <f t="shared" si="12"/>
        <v>0</v>
      </c>
      <c r="Q26" s="22"/>
      <c r="R26" s="22"/>
      <c r="S26" s="22">
        <f t="shared" si="6"/>
        <v>79.730353796298829</v>
      </c>
      <c r="T26" s="22">
        <f t="shared" si="7"/>
        <v>209.88567376788524</v>
      </c>
    </row>
    <row r="27" spans="1:20" x14ac:dyDescent="0.2">
      <c r="A27" s="5">
        <v>36</v>
      </c>
      <c r="B27" s="1">
        <f t="shared" si="8"/>
        <v>1.3785110448524549</v>
      </c>
      <c r="C27" s="5">
        <f t="shared" si="9"/>
        <v>52126.422603434534</v>
      </c>
      <c r="D27" s="5">
        <f t="shared" si="0"/>
        <v>50373.154318469678</v>
      </c>
      <c r="E27" s="5">
        <f t="shared" si="1"/>
        <v>40873.154318469678</v>
      </c>
      <c r="F27" s="5">
        <f t="shared" si="2"/>
        <v>14284.150316827318</v>
      </c>
      <c r="G27" s="5">
        <f t="shared" si="3"/>
        <v>36089.004001642359</v>
      </c>
      <c r="H27" s="22">
        <f t="shared" si="10"/>
        <v>22817.012578378708</v>
      </c>
      <c r="I27" s="5">
        <f t="shared" si="4"/>
        <v>57810.799976258888</v>
      </c>
      <c r="J27" s="26">
        <f t="shared" si="5"/>
        <v>0.18971381442761545</v>
      </c>
      <c r="L27" s="22">
        <f t="shared" si="11"/>
        <v>54192.998072098635</v>
      </c>
      <c r="M27" s="5">
        <f>scrimecost*Meta!O24</f>
        <v>5893.2300000000005</v>
      </c>
      <c r="N27" s="5">
        <f>L27-Grade16!L27</f>
        <v>380.30440058265958</v>
      </c>
      <c r="O27" s="5">
        <f>Grade16!M27-M27</f>
        <v>0</v>
      </c>
      <c r="P27" s="22">
        <f t="shared" si="12"/>
        <v>0</v>
      </c>
      <c r="Q27" s="22"/>
      <c r="R27" s="22"/>
      <c r="S27" s="22">
        <f t="shared" si="6"/>
        <v>81.723612641207708</v>
      </c>
      <c r="T27" s="22">
        <f t="shared" si="7"/>
        <v>231.7618649721885</v>
      </c>
    </row>
    <row r="28" spans="1:20" x14ac:dyDescent="0.2">
      <c r="A28" s="5">
        <v>37</v>
      </c>
      <c r="B28" s="1">
        <f t="shared" si="8"/>
        <v>1.4129738209737661</v>
      </c>
      <c r="C28" s="5">
        <f t="shared" si="9"/>
        <v>53429.583168520396</v>
      </c>
      <c r="D28" s="5">
        <f t="shared" si="0"/>
        <v>51613.763176431414</v>
      </c>
      <c r="E28" s="5">
        <f t="shared" si="1"/>
        <v>42113.763176431414</v>
      </c>
      <c r="F28" s="5">
        <f t="shared" si="2"/>
        <v>14813.269994748</v>
      </c>
      <c r="G28" s="5">
        <f t="shared" si="3"/>
        <v>36800.493181683414</v>
      </c>
      <c r="H28" s="22">
        <f t="shared" si="10"/>
        <v>23387.43789283817</v>
      </c>
      <c r="I28" s="5">
        <f t="shared" si="4"/>
        <v>59065.334055665357</v>
      </c>
      <c r="J28" s="26">
        <f t="shared" si="5"/>
        <v>0.19232199754087134</v>
      </c>
      <c r="L28" s="22">
        <f t="shared" si="11"/>
        <v>55547.823023901088</v>
      </c>
      <c r="M28" s="5">
        <f>scrimecost*Meta!O25</f>
        <v>5893.2300000000005</v>
      </c>
      <c r="N28" s="5">
        <f>L28-Grade16!L28</f>
        <v>389.81201059720479</v>
      </c>
      <c r="O28" s="5">
        <f>Grade16!M28-M28</f>
        <v>0</v>
      </c>
      <c r="P28" s="22">
        <f t="shared" si="12"/>
        <v>0</v>
      </c>
      <c r="Q28" s="22"/>
      <c r="R28" s="22"/>
      <c r="S28" s="22">
        <f t="shared" si="6"/>
        <v>83.766702957233335</v>
      </c>
      <c r="T28" s="22">
        <f t="shared" si="7"/>
        <v>255.91819151404047</v>
      </c>
    </row>
    <row r="29" spans="1:20" x14ac:dyDescent="0.2">
      <c r="A29" s="5">
        <v>38</v>
      </c>
      <c r="B29" s="1">
        <f t="shared" si="8"/>
        <v>1.4482981664981105</v>
      </c>
      <c r="C29" s="5">
        <f t="shared" si="9"/>
        <v>54765.322747733408</v>
      </c>
      <c r="D29" s="5">
        <f t="shared" si="0"/>
        <v>52885.387255842208</v>
      </c>
      <c r="E29" s="5">
        <f t="shared" si="1"/>
        <v>43385.387255842208</v>
      </c>
      <c r="F29" s="5">
        <f t="shared" si="2"/>
        <v>15355.6176646167</v>
      </c>
      <c r="G29" s="5">
        <f t="shared" si="3"/>
        <v>37529.769591225508</v>
      </c>
      <c r="H29" s="22">
        <f t="shared" si="10"/>
        <v>23972.123840159129</v>
      </c>
      <c r="I29" s="5">
        <f t="shared" si="4"/>
        <v>60351.231487056997</v>
      </c>
      <c r="J29" s="26">
        <f t="shared" si="5"/>
        <v>0.19486656643185268</v>
      </c>
      <c r="L29" s="22">
        <f t="shared" si="11"/>
        <v>56936.518599498631</v>
      </c>
      <c r="M29" s="5">
        <f>scrimecost*Meta!O26</f>
        <v>5893.2300000000005</v>
      </c>
      <c r="N29" s="5">
        <f>L29-Grade16!L29</f>
        <v>399.55731086215383</v>
      </c>
      <c r="O29" s="5">
        <f>Grade16!M29-M29</f>
        <v>0</v>
      </c>
      <c r="P29" s="22">
        <f t="shared" si="12"/>
        <v>0</v>
      </c>
      <c r="Q29" s="22"/>
      <c r="R29" s="22"/>
      <c r="S29" s="22">
        <f t="shared" si="6"/>
        <v>85.860870531168217</v>
      </c>
      <c r="T29" s="22">
        <f t="shared" si="7"/>
        <v>282.59230980766858</v>
      </c>
    </row>
    <row r="30" spans="1:20" x14ac:dyDescent="0.2">
      <c r="A30" s="5">
        <v>39</v>
      </c>
      <c r="B30" s="1">
        <f t="shared" si="8"/>
        <v>1.4845056206605631</v>
      </c>
      <c r="C30" s="5">
        <f t="shared" si="9"/>
        <v>56134.455816426736</v>
      </c>
      <c r="D30" s="5">
        <f t="shared" si="0"/>
        <v>54188.801937238255</v>
      </c>
      <c r="E30" s="5">
        <f t="shared" si="1"/>
        <v>44688.801937238255</v>
      </c>
      <c r="F30" s="5">
        <f t="shared" si="2"/>
        <v>15911.524026232117</v>
      </c>
      <c r="G30" s="5">
        <f t="shared" si="3"/>
        <v>38277.277911006138</v>
      </c>
      <c r="H30" s="22">
        <f t="shared" si="10"/>
        <v>24571.426936163109</v>
      </c>
      <c r="I30" s="5">
        <f t="shared" si="4"/>
        <v>61669.276354233414</v>
      </c>
      <c r="J30" s="26">
        <f t="shared" si="5"/>
        <v>0.19734907266695642</v>
      </c>
      <c r="L30" s="22">
        <f t="shared" si="11"/>
        <v>58359.931564486084</v>
      </c>
      <c r="M30" s="5">
        <f>scrimecost*Meta!O27</f>
        <v>5893.2300000000005</v>
      </c>
      <c r="N30" s="5">
        <f>L30-Grade16!L30</f>
        <v>409.54624363370385</v>
      </c>
      <c r="O30" s="5">
        <f>Grade16!M30-M30</f>
        <v>0</v>
      </c>
      <c r="P30" s="22">
        <f t="shared" si="12"/>
        <v>0</v>
      </c>
      <c r="Q30" s="22"/>
      <c r="R30" s="22"/>
      <c r="S30" s="22">
        <f t="shared" si="6"/>
        <v>88.007392294446603</v>
      </c>
      <c r="T30" s="22">
        <f t="shared" si="7"/>
        <v>312.04664697721398</v>
      </c>
    </row>
    <row r="31" spans="1:20" x14ac:dyDescent="0.2">
      <c r="A31" s="5">
        <v>40</v>
      </c>
      <c r="B31" s="1">
        <f t="shared" si="8"/>
        <v>1.521618261177077</v>
      </c>
      <c r="C31" s="5">
        <f t="shared" si="9"/>
        <v>57537.817211837399</v>
      </c>
      <c r="D31" s="5">
        <f t="shared" si="0"/>
        <v>55524.801985669204</v>
      </c>
      <c r="E31" s="5">
        <f t="shared" si="1"/>
        <v>46024.801985669204</v>
      </c>
      <c r="F31" s="5">
        <f t="shared" si="2"/>
        <v>16481.328046887917</v>
      </c>
      <c r="G31" s="5">
        <f t="shared" si="3"/>
        <v>39043.473938781288</v>
      </c>
      <c r="H31" s="22">
        <f t="shared" si="10"/>
        <v>25185.712609567185</v>
      </c>
      <c r="I31" s="5">
        <f t="shared" si="4"/>
        <v>63020.272343089251</v>
      </c>
      <c r="J31" s="26">
        <f t="shared" si="5"/>
        <v>0.19977102996949669</v>
      </c>
      <c r="L31" s="22">
        <f t="shared" si="11"/>
        <v>59818.929853598231</v>
      </c>
      <c r="M31" s="5">
        <f>scrimecost*Meta!O28</f>
        <v>5264.8050000000003</v>
      </c>
      <c r="N31" s="5">
        <f>L31-Grade16!L31</f>
        <v>419.78489972454554</v>
      </c>
      <c r="O31" s="5">
        <f>Grade16!M31-M31</f>
        <v>0</v>
      </c>
      <c r="P31" s="22">
        <f t="shared" si="12"/>
        <v>0</v>
      </c>
      <c r="Q31" s="22"/>
      <c r="R31" s="22"/>
      <c r="S31" s="22">
        <f t="shared" si="6"/>
        <v>90.207577101807587</v>
      </c>
      <c r="T31" s="22">
        <f t="shared" si="7"/>
        <v>344.57098268524919</v>
      </c>
    </row>
    <row r="32" spans="1:20" x14ac:dyDescent="0.2">
      <c r="A32" s="5">
        <v>41</v>
      </c>
      <c r="B32" s="1">
        <f t="shared" si="8"/>
        <v>1.559658717706504</v>
      </c>
      <c r="C32" s="5">
        <f t="shared" si="9"/>
        <v>58976.262642133341</v>
      </c>
      <c r="D32" s="5">
        <f t="shared" si="0"/>
        <v>56894.20203531094</v>
      </c>
      <c r="E32" s="5">
        <f t="shared" si="1"/>
        <v>47394.20203531094</v>
      </c>
      <c r="F32" s="5">
        <f t="shared" si="2"/>
        <v>17065.377168060117</v>
      </c>
      <c r="G32" s="5">
        <f t="shared" si="3"/>
        <v>39828.82486725082</v>
      </c>
      <c r="H32" s="22">
        <f t="shared" si="10"/>
        <v>25815.355424806363</v>
      </c>
      <c r="I32" s="5">
        <f t="shared" si="4"/>
        <v>64405.043231666481</v>
      </c>
      <c r="J32" s="26">
        <f t="shared" si="5"/>
        <v>0.20213391514270673</v>
      </c>
      <c r="L32" s="22">
        <f t="shared" si="11"/>
        <v>61314.403099938187</v>
      </c>
      <c r="M32" s="5">
        <f>scrimecost*Meta!O29</f>
        <v>5264.8050000000003</v>
      </c>
      <c r="N32" s="5">
        <f>L32-Grade16!L32</f>
        <v>430.27952221765008</v>
      </c>
      <c r="O32" s="5">
        <f>Grade16!M32-M32</f>
        <v>0</v>
      </c>
      <c r="P32" s="22">
        <f t="shared" si="12"/>
        <v>0</v>
      </c>
      <c r="Q32" s="22"/>
      <c r="R32" s="22"/>
      <c r="S32" s="22">
        <f t="shared" si="6"/>
        <v>92.462766529350816</v>
      </c>
      <c r="T32" s="22">
        <f t="shared" si="7"/>
        <v>380.4853000626722</v>
      </c>
    </row>
    <row r="33" spans="1:20" x14ac:dyDescent="0.2">
      <c r="A33" s="5">
        <v>42</v>
      </c>
      <c r="B33" s="1">
        <f t="shared" si="8"/>
        <v>1.5986501856491666</v>
      </c>
      <c r="C33" s="5">
        <f t="shared" si="9"/>
        <v>60450.669208186671</v>
      </c>
      <c r="D33" s="5">
        <f t="shared" si="0"/>
        <v>58297.837086193715</v>
      </c>
      <c r="E33" s="5">
        <f t="shared" si="1"/>
        <v>48797.837086193715</v>
      </c>
      <c r="F33" s="5">
        <f t="shared" si="2"/>
        <v>17664.02751726162</v>
      </c>
      <c r="G33" s="5">
        <f t="shared" si="3"/>
        <v>40633.809568932091</v>
      </c>
      <c r="H33" s="22">
        <f t="shared" si="10"/>
        <v>26460.739310426525</v>
      </c>
      <c r="I33" s="5">
        <f t="shared" si="4"/>
        <v>65824.433392458144</v>
      </c>
      <c r="J33" s="26">
        <f t="shared" si="5"/>
        <v>0.20443916897022865</v>
      </c>
      <c r="L33" s="22">
        <f t="shared" si="11"/>
        <v>62847.263177436638</v>
      </c>
      <c r="M33" s="5">
        <f>scrimecost*Meta!O30</f>
        <v>5264.8050000000003</v>
      </c>
      <c r="N33" s="5">
        <f>L33-Grade16!L33</f>
        <v>441.03651027310116</v>
      </c>
      <c r="O33" s="5">
        <f>Grade16!M33-M33</f>
        <v>0</v>
      </c>
      <c r="P33" s="22">
        <f t="shared" si="12"/>
        <v>0</v>
      </c>
      <c r="Q33" s="22"/>
      <c r="R33" s="22"/>
      <c r="S33" s="22">
        <f t="shared" si="6"/>
        <v>94.774335692586703</v>
      </c>
      <c r="T33" s="22">
        <f t="shared" si="7"/>
        <v>420.14293378856087</v>
      </c>
    </row>
    <row r="34" spans="1:20" x14ac:dyDescent="0.2">
      <c r="A34" s="5">
        <v>43</v>
      </c>
      <c r="B34" s="1">
        <f t="shared" si="8"/>
        <v>1.6386164402903955</v>
      </c>
      <c r="C34" s="5">
        <f t="shared" si="9"/>
        <v>61961.935938391332</v>
      </c>
      <c r="D34" s="5">
        <f t="shared" si="0"/>
        <v>59736.563013348547</v>
      </c>
      <c r="E34" s="5">
        <f t="shared" si="1"/>
        <v>50236.563013348547</v>
      </c>
      <c r="F34" s="5">
        <f t="shared" si="2"/>
        <v>18277.644125193154</v>
      </c>
      <c r="G34" s="5">
        <f t="shared" si="3"/>
        <v>41458.918888155393</v>
      </c>
      <c r="H34" s="22">
        <f t="shared" si="10"/>
        <v>27122.257793187178</v>
      </c>
      <c r="I34" s="5">
        <f t="shared" si="4"/>
        <v>67279.308307269588</v>
      </c>
      <c r="J34" s="26">
        <f t="shared" si="5"/>
        <v>0.20668819709464031</v>
      </c>
      <c r="L34" s="22">
        <f t="shared" si="11"/>
        <v>64418.444756872552</v>
      </c>
      <c r="M34" s="5">
        <f>scrimecost*Meta!O31</f>
        <v>5264.8050000000003</v>
      </c>
      <c r="N34" s="5">
        <f>L34-Grade16!L34</f>
        <v>452.06242302993633</v>
      </c>
      <c r="O34" s="5">
        <f>Grade16!M34-M34</f>
        <v>0</v>
      </c>
      <c r="P34" s="22">
        <f t="shared" si="12"/>
        <v>0</v>
      </c>
      <c r="Q34" s="22"/>
      <c r="R34" s="22"/>
      <c r="S34" s="22">
        <f t="shared" si="6"/>
        <v>97.143694084903018</v>
      </c>
      <c r="T34" s="22">
        <f t="shared" si="7"/>
        <v>463.9340462913608</v>
      </c>
    </row>
    <row r="35" spans="1:20" x14ac:dyDescent="0.2">
      <c r="A35" s="5">
        <v>44</v>
      </c>
      <c r="B35" s="1">
        <f t="shared" si="8"/>
        <v>1.6795818512976552</v>
      </c>
      <c r="C35" s="5">
        <f t="shared" si="9"/>
        <v>63510.984336851114</v>
      </c>
      <c r="D35" s="5">
        <f t="shared" si="0"/>
        <v>61211.257088682258</v>
      </c>
      <c r="E35" s="5">
        <f t="shared" si="1"/>
        <v>51711.257088682258</v>
      </c>
      <c r="F35" s="5">
        <f t="shared" si="2"/>
        <v>18906.601148322985</v>
      </c>
      <c r="G35" s="5">
        <f t="shared" si="3"/>
        <v>42304.655940359269</v>
      </c>
      <c r="H35" s="22">
        <f t="shared" si="10"/>
        <v>27800.314238016857</v>
      </c>
      <c r="I35" s="5">
        <f t="shared" si="4"/>
        <v>68770.555094951313</v>
      </c>
      <c r="J35" s="26">
        <f t="shared" si="5"/>
        <v>0.20888237087455411</v>
      </c>
      <c r="L35" s="22">
        <f t="shared" si="11"/>
        <v>66028.905875794357</v>
      </c>
      <c r="M35" s="5">
        <f>scrimecost*Meta!O32</f>
        <v>5264.8050000000003</v>
      </c>
      <c r="N35" s="5">
        <f>L35-Grade16!L35</f>
        <v>463.36398360568273</v>
      </c>
      <c r="O35" s="5">
        <f>Grade16!M35-M35</f>
        <v>0</v>
      </c>
      <c r="P35" s="22">
        <f t="shared" si="12"/>
        <v>0</v>
      </c>
      <c r="Q35" s="22"/>
      <c r="R35" s="22"/>
      <c r="S35" s="22">
        <f t="shared" si="6"/>
        <v>99.572286437025156</v>
      </c>
      <c r="T35" s="22">
        <f t="shared" si="7"/>
        <v>512.28946627146649</v>
      </c>
    </row>
    <row r="36" spans="1:20" x14ac:dyDescent="0.2">
      <c r="A36" s="5">
        <v>45</v>
      </c>
      <c r="B36" s="1">
        <f t="shared" si="8"/>
        <v>1.7215713975800966</v>
      </c>
      <c r="C36" s="5">
        <f t="shared" si="9"/>
        <v>65098.758945272384</v>
      </c>
      <c r="D36" s="5">
        <f t="shared" si="0"/>
        <v>62722.818515899307</v>
      </c>
      <c r="E36" s="5">
        <f t="shared" si="1"/>
        <v>53222.818515899307</v>
      </c>
      <c r="F36" s="5">
        <f t="shared" si="2"/>
        <v>19551.282097031057</v>
      </c>
      <c r="G36" s="5">
        <f t="shared" si="3"/>
        <v>43171.536418868251</v>
      </c>
      <c r="H36" s="22">
        <f t="shared" si="10"/>
        <v>28495.322093967279</v>
      </c>
      <c r="I36" s="5">
        <f t="shared" si="4"/>
        <v>70299.083052325092</v>
      </c>
      <c r="J36" s="26">
        <f t="shared" si="5"/>
        <v>0.21102302822081148</v>
      </c>
      <c r="L36" s="22">
        <f t="shared" si="11"/>
        <v>67679.628522689221</v>
      </c>
      <c r="M36" s="5">
        <f>scrimecost*Meta!O33</f>
        <v>4464.1449999999995</v>
      </c>
      <c r="N36" s="5">
        <f>L36-Grade16!L36</f>
        <v>474.9480831958208</v>
      </c>
      <c r="O36" s="5">
        <f>Grade16!M36-M36</f>
        <v>0</v>
      </c>
      <c r="P36" s="22">
        <f t="shared" si="12"/>
        <v>0</v>
      </c>
      <c r="Q36" s="22"/>
      <c r="R36" s="22"/>
      <c r="S36" s="22">
        <f t="shared" si="6"/>
        <v>102.06159359794992</v>
      </c>
      <c r="T36" s="22">
        <f t="shared" si="7"/>
        <v>565.68492730944035</v>
      </c>
    </row>
    <row r="37" spans="1:20" x14ac:dyDescent="0.2">
      <c r="A37" s="5">
        <v>46</v>
      </c>
      <c r="B37" s="1">
        <f t="shared" ref="B37:B56" si="13">(1+experiencepremium)^(A37-startage)</f>
        <v>1.7646106825195991</v>
      </c>
      <c r="C37" s="5">
        <f t="shared" ref="C37:C56" si="14">pretaxincome*B37/expnorm</f>
        <v>66726.227918904187</v>
      </c>
      <c r="D37" s="5">
        <f t="shared" ref="D37:D56" si="15">IF(A37&lt;startage,1,0)*(C37*(1-initialunempprob))+IF(A37=startage,1,0)*(C37*(1-unempprob))+IF(A37&gt;startage,1,0)*(C37*(1-unempprob)+unempprob*300*52)</f>
        <v>64272.168978796784</v>
      </c>
      <c r="E37" s="5">
        <f t="shared" si="1"/>
        <v>54772.168978796784</v>
      </c>
      <c r="F37" s="5">
        <f t="shared" si="2"/>
        <v>20212.080069456828</v>
      </c>
      <c r="G37" s="5">
        <f t="shared" si="3"/>
        <v>44060.08890933996</v>
      </c>
      <c r="H37" s="22">
        <f t="shared" ref="H37:H56" si="16">benefits*B37/expnorm</f>
        <v>29207.705146316464</v>
      </c>
      <c r="I37" s="5">
        <f t="shared" ref="I37:I56" si="17">G37+IF(A37&lt;startage,1,0)*(H37*(1-initialunempprob))+IF(A37&gt;=startage,1,0)*(H37*(1-unempprob))</f>
        <v>71865.824208633232</v>
      </c>
      <c r="J37" s="26">
        <f t="shared" si="5"/>
        <v>0.21311147441228204</v>
      </c>
      <c r="L37" s="22">
        <f t="shared" ref="L37:L56" si="18">(sincome+sbenefits)*(1-sunemp)*B37/expnorm</f>
        <v>69371.619235756443</v>
      </c>
      <c r="M37" s="5">
        <f>scrimecost*Meta!O34</f>
        <v>4464.1449999999995</v>
      </c>
      <c r="N37" s="5">
        <f>L37-Grade16!L37</f>
        <v>486.82178527570795</v>
      </c>
      <c r="O37" s="5">
        <f>Grade16!M37-M37</f>
        <v>0</v>
      </c>
      <c r="P37" s="22">
        <f t="shared" si="12"/>
        <v>0</v>
      </c>
      <c r="Q37" s="22"/>
      <c r="R37" s="22"/>
      <c r="S37" s="22">
        <f t="shared" si="6"/>
        <v>104.61313343789688</v>
      </c>
      <c r="T37" s="22">
        <f t="shared" si="7"/>
        <v>624.64574826044463</v>
      </c>
    </row>
    <row r="38" spans="1:20" x14ac:dyDescent="0.2">
      <c r="A38" s="5">
        <v>47</v>
      </c>
      <c r="B38" s="1">
        <f t="shared" si="13"/>
        <v>1.8087259495825889</v>
      </c>
      <c r="C38" s="5">
        <f t="shared" si="14"/>
        <v>68394.383616876788</v>
      </c>
      <c r="D38" s="5">
        <f t="shared" si="15"/>
        <v>65860.253203266693</v>
      </c>
      <c r="E38" s="5">
        <f t="shared" si="1"/>
        <v>56360.253203266693</v>
      </c>
      <c r="F38" s="5">
        <f t="shared" si="2"/>
        <v>20889.397991193244</v>
      </c>
      <c r="G38" s="5">
        <f t="shared" si="3"/>
        <v>44970.855212073453</v>
      </c>
      <c r="H38" s="22">
        <f t="shared" si="16"/>
        <v>29937.897774974372</v>
      </c>
      <c r="I38" s="5">
        <f t="shared" si="17"/>
        <v>73471.733893849057</v>
      </c>
      <c r="J38" s="26">
        <f t="shared" si="5"/>
        <v>0.21514898289176554</v>
      </c>
      <c r="L38" s="22">
        <f t="shared" si="18"/>
        <v>71105.909716650349</v>
      </c>
      <c r="M38" s="5">
        <f>scrimecost*Meta!O35</f>
        <v>4464.1449999999995</v>
      </c>
      <c r="N38" s="5">
        <f>L38-Grade16!L38</f>
        <v>498.99232990760356</v>
      </c>
      <c r="O38" s="5">
        <f>Grade16!M38-M38</f>
        <v>0</v>
      </c>
      <c r="P38" s="22">
        <f t="shared" si="12"/>
        <v>0</v>
      </c>
      <c r="Q38" s="22"/>
      <c r="R38" s="22"/>
      <c r="S38" s="22">
        <f t="shared" si="6"/>
        <v>107.22846177384493</v>
      </c>
      <c r="T38" s="22">
        <f t="shared" si="7"/>
        <v>689.75200148195324</v>
      </c>
    </row>
    <row r="39" spans="1:20" x14ac:dyDescent="0.2">
      <c r="A39" s="5">
        <v>48</v>
      </c>
      <c r="B39" s="1">
        <f t="shared" si="13"/>
        <v>1.8539440983221533</v>
      </c>
      <c r="C39" s="5">
        <f t="shared" si="14"/>
        <v>70104.243207298699</v>
      </c>
      <c r="D39" s="5">
        <f t="shared" si="15"/>
        <v>67488.039533348361</v>
      </c>
      <c r="E39" s="5">
        <f t="shared" si="1"/>
        <v>57988.039533348361</v>
      </c>
      <c r="F39" s="5">
        <f t="shared" si="2"/>
        <v>21583.648860973077</v>
      </c>
      <c r="G39" s="5">
        <f t="shared" si="3"/>
        <v>45904.390672375288</v>
      </c>
      <c r="H39" s="22">
        <f t="shared" si="16"/>
        <v>30686.345219348728</v>
      </c>
      <c r="I39" s="5">
        <f t="shared" si="17"/>
        <v>75117.791321195284</v>
      </c>
      <c r="J39" s="26">
        <f t="shared" si="5"/>
        <v>0.21713679604248121</v>
      </c>
      <c r="L39" s="22">
        <f t="shared" si="18"/>
        <v>72883.557459566597</v>
      </c>
      <c r="M39" s="5">
        <f>scrimecost*Meta!O36</f>
        <v>4464.1449999999995</v>
      </c>
      <c r="N39" s="5">
        <f>L39-Grade16!L39</f>
        <v>511.46713815529074</v>
      </c>
      <c r="O39" s="5">
        <f>Grade16!M39-M39</f>
        <v>0</v>
      </c>
      <c r="P39" s="22">
        <f t="shared" si="12"/>
        <v>0</v>
      </c>
      <c r="Q39" s="22"/>
      <c r="R39" s="22"/>
      <c r="S39" s="22">
        <f t="shared" si="6"/>
        <v>109.90917331819043</v>
      </c>
      <c r="T39" s="22">
        <f t="shared" si="7"/>
        <v>761.64421974099287</v>
      </c>
    </row>
    <row r="40" spans="1:20" x14ac:dyDescent="0.2">
      <c r="A40" s="5">
        <v>49</v>
      </c>
      <c r="B40" s="1">
        <f t="shared" si="13"/>
        <v>1.9002927007802071</v>
      </c>
      <c r="C40" s="5">
        <f t="shared" si="14"/>
        <v>71856.849287481164</v>
      </c>
      <c r="D40" s="5">
        <f t="shared" si="15"/>
        <v>69156.520521682061</v>
      </c>
      <c r="E40" s="5">
        <f t="shared" si="1"/>
        <v>59656.520521682061</v>
      </c>
      <c r="F40" s="5">
        <f t="shared" si="2"/>
        <v>22295.256002497401</v>
      </c>
      <c r="G40" s="5">
        <f t="shared" si="3"/>
        <v>46861.26451918466</v>
      </c>
      <c r="H40" s="22">
        <f t="shared" si="16"/>
        <v>31453.503849832443</v>
      </c>
      <c r="I40" s="5">
        <f t="shared" si="17"/>
        <v>76805.000184225151</v>
      </c>
      <c r="J40" s="26">
        <f t="shared" si="5"/>
        <v>0.21907612594561843</v>
      </c>
      <c r="L40" s="22">
        <f t="shared" si="18"/>
        <v>74705.646396055774</v>
      </c>
      <c r="M40" s="5">
        <f>scrimecost*Meta!O37</f>
        <v>4464.1449999999995</v>
      </c>
      <c r="N40" s="5">
        <f>L40-Grade16!L40</f>
        <v>524.25381660918356</v>
      </c>
      <c r="O40" s="5">
        <f>Grade16!M40-M40</f>
        <v>0</v>
      </c>
      <c r="P40" s="22">
        <f t="shared" si="12"/>
        <v>0</v>
      </c>
      <c r="Q40" s="22"/>
      <c r="R40" s="22"/>
      <c r="S40" s="22">
        <f t="shared" si="6"/>
        <v>112.65690265114745</v>
      </c>
      <c r="T40" s="22">
        <f t="shared" si="7"/>
        <v>841.02969794725368</v>
      </c>
    </row>
    <row r="41" spans="1:20" x14ac:dyDescent="0.2">
      <c r="A41" s="5">
        <v>50</v>
      </c>
      <c r="B41" s="1">
        <f t="shared" si="13"/>
        <v>1.9478000182997122</v>
      </c>
      <c r="C41" s="5">
        <f t="shared" si="14"/>
        <v>73653.270519668193</v>
      </c>
      <c r="D41" s="5">
        <f t="shared" si="15"/>
        <v>70866.713534724113</v>
      </c>
      <c r="E41" s="5">
        <f t="shared" si="1"/>
        <v>61366.713534724113</v>
      </c>
      <c r="F41" s="5">
        <f t="shared" si="2"/>
        <v>23024.653322559832</v>
      </c>
      <c r="G41" s="5">
        <f t="shared" si="3"/>
        <v>47842.060212164281</v>
      </c>
      <c r="H41" s="22">
        <f t="shared" si="16"/>
        <v>32239.841446078251</v>
      </c>
      <c r="I41" s="5">
        <f t="shared" si="17"/>
        <v>78534.389268830768</v>
      </c>
      <c r="J41" s="26">
        <f t="shared" si="5"/>
        <v>0.22096815511941081</v>
      </c>
      <c r="L41" s="22">
        <f t="shared" si="18"/>
        <v>76573.287555957155</v>
      </c>
      <c r="M41" s="5">
        <f>scrimecost*Meta!O38</f>
        <v>3230.5699999999997</v>
      </c>
      <c r="N41" s="5">
        <f>L41-Grade16!L41</f>
        <v>537.36016202441533</v>
      </c>
      <c r="O41" s="5">
        <f>Grade16!M41-M41</f>
        <v>0</v>
      </c>
      <c r="P41" s="22">
        <f t="shared" si="12"/>
        <v>0</v>
      </c>
      <c r="Q41" s="22"/>
      <c r="R41" s="22"/>
      <c r="S41" s="22">
        <f t="shared" si="6"/>
        <v>115.47332521742659</v>
      </c>
      <c r="T41" s="22">
        <f t="shared" si="7"/>
        <v>928.6894517098475</v>
      </c>
    </row>
    <row r="42" spans="1:20" x14ac:dyDescent="0.2">
      <c r="A42" s="5">
        <v>51</v>
      </c>
      <c r="B42" s="1">
        <f t="shared" si="13"/>
        <v>1.9964950187572048</v>
      </c>
      <c r="C42" s="5">
        <f t="shared" si="14"/>
        <v>75494.602282659893</v>
      </c>
      <c r="D42" s="5">
        <f t="shared" si="15"/>
        <v>72619.661373092211</v>
      </c>
      <c r="E42" s="5">
        <f t="shared" si="1"/>
        <v>63119.661373092211</v>
      </c>
      <c r="F42" s="5">
        <f t="shared" si="2"/>
        <v>23772.285575623828</v>
      </c>
      <c r="G42" s="5">
        <f t="shared" si="3"/>
        <v>48847.375797468383</v>
      </c>
      <c r="H42" s="22">
        <f t="shared" si="16"/>
        <v>33045.837482230207</v>
      </c>
      <c r="I42" s="5">
        <f t="shared" si="17"/>
        <v>80307.013080551536</v>
      </c>
      <c r="J42" s="26">
        <f t="shared" si="5"/>
        <v>0.22281403724018389</v>
      </c>
      <c r="L42" s="22">
        <f t="shared" si="18"/>
        <v>78487.619744856071</v>
      </c>
      <c r="M42" s="5">
        <f>scrimecost*Meta!O39</f>
        <v>3230.5699999999997</v>
      </c>
      <c r="N42" s="5">
        <f>L42-Grade16!L42</f>
        <v>550.79416607499297</v>
      </c>
      <c r="O42" s="5">
        <f>Grade16!M42-M42</f>
        <v>0</v>
      </c>
      <c r="P42" s="22">
        <f t="shared" si="12"/>
        <v>0</v>
      </c>
      <c r="Q42" s="22"/>
      <c r="R42" s="22"/>
      <c r="S42" s="22">
        <f t="shared" si="6"/>
        <v>118.36015834785523</v>
      </c>
      <c r="T42" s="22">
        <f t="shared" si="7"/>
        <v>1025.4859011782162</v>
      </c>
    </row>
    <row r="43" spans="1:20" x14ac:dyDescent="0.2">
      <c r="A43" s="5">
        <v>52</v>
      </c>
      <c r="B43" s="1">
        <f t="shared" si="13"/>
        <v>2.0464073942261352</v>
      </c>
      <c r="C43" s="5">
        <f t="shared" si="14"/>
        <v>77381.967339726398</v>
      </c>
      <c r="D43" s="5">
        <f t="shared" si="15"/>
        <v>74416.432907419527</v>
      </c>
      <c r="E43" s="5">
        <f t="shared" si="1"/>
        <v>64916.432907419527</v>
      </c>
      <c r="F43" s="5">
        <f t="shared" si="2"/>
        <v>24538.608635014432</v>
      </c>
      <c r="G43" s="5">
        <f t="shared" si="3"/>
        <v>49877.824272405094</v>
      </c>
      <c r="H43" s="22">
        <f t="shared" si="16"/>
        <v>33871.983419285963</v>
      </c>
      <c r="I43" s="5">
        <f t="shared" si="17"/>
        <v>82123.95248756533</v>
      </c>
      <c r="J43" s="26">
        <f t="shared" si="5"/>
        <v>0.22461489784581617</v>
      </c>
      <c r="L43" s="22">
        <f t="shared" si="18"/>
        <v>80449.810238477483</v>
      </c>
      <c r="M43" s="5">
        <f>scrimecost*Meta!O40</f>
        <v>3230.5699999999997</v>
      </c>
      <c r="N43" s="5">
        <f>L43-Grade16!L43</f>
        <v>564.56402022691327</v>
      </c>
      <c r="O43" s="5">
        <f>Grade16!M43-M43</f>
        <v>0</v>
      </c>
      <c r="P43" s="22">
        <f t="shared" si="12"/>
        <v>0</v>
      </c>
      <c r="Q43" s="22"/>
      <c r="R43" s="22"/>
      <c r="S43" s="22">
        <f t="shared" si="6"/>
        <v>121.31916230656138</v>
      </c>
      <c r="T43" s="22">
        <f t="shared" si="7"/>
        <v>1132.371355762966</v>
      </c>
    </row>
    <row r="44" spans="1:20" x14ac:dyDescent="0.2">
      <c r="A44" s="5">
        <v>53</v>
      </c>
      <c r="B44" s="1">
        <f t="shared" si="13"/>
        <v>2.097567579081788</v>
      </c>
      <c r="C44" s="5">
        <f t="shared" si="14"/>
        <v>79316.516523219543</v>
      </c>
      <c r="D44" s="5">
        <f t="shared" si="15"/>
        <v>76258.123730104999</v>
      </c>
      <c r="E44" s="5">
        <f t="shared" si="1"/>
        <v>66758.123730104999</v>
      </c>
      <c r="F44" s="5">
        <f t="shared" si="2"/>
        <v>25324.089770889783</v>
      </c>
      <c r="G44" s="5">
        <f t="shared" si="3"/>
        <v>50934.033959215216</v>
      </c>
      <c r="H44" s="22">
        <f t="shared" si="16"/>
        <v>34718.783004768105</v>
      </c>
      <c r="I44" s="5">
        <f t="shared" si="17"/>
        <v>83986.315379754451</v>
      </c>
      <c r="J44" s="26">
        <f t="shared" si="5"/>
        <v>0.22637183502204275</v>
      </c>
      <c r="L44" s="22">
        <f t="shared" si="18"/>
        <v>82461.055494439395</v>
      </c>
      <c r="M44" s="5">
        <f>scrimecost*Meta!O41</f>
        <v>3230.5699999999997</v>
      </c>
      <c r="N44" s="5">
        <f>L44-Grade16!L44</f>
        <v>578.67812073254026</v>
      </c>
      <c r="O44" s="5">
        <f>Grade16!M44-M44</f>
        <v>0</v>
      </c>
      <c r="P44" s="22">
        <f t="shared" si="12"/>
        <v>0</v>
      </c>
      <c r="Q44" s="22"/>
      <c r="R44" s="22"/>
      <c r="S44" s="22">
        <f t="shared" si="6"/>
        <v>124.35214136421557</v>
      </c>
      <c r="T44" s="22">
        <f t="shared" si="7"/>
        <v>1250.3973832102563</v>
      </c>
    </row>
    <row r="45" spans="1:20" x14ac:dyDescent="0.2">
      <c r="A45" s="5">
        <v>54</v>
      </c>
      <c r="B45" s="1">
        <f t="shared" si="13"/>
        <v>2.1500067685588333</v>
      </c>
      <c r="C45" s="5">
        <f t="shared" si="14"/>
        <v>81299.429436300052</v>
      </c>
      <c r="D45" s="5">
        <f t="shared" si="15"/>
        <v>78145.856823357652</v>
      </c>
      <c r="E45" s="5">
        <f t="shared" si="1"/>
        <v>68645.856823357652</v>
      </c>
      <c r="F45" s="5">
        <f t="shared" si="2"/>
        <v>26129.207935162038</v>
      </c>
      <c r="G45" s="5">
        <f t="shared" si="3"/>
        <v>52016.648888195617</v>
      </c>
      <c r="H45" s="22">
        <f t="shared" si="16"/>
        <v>35586.752579887318</v>
      </c>
      <c r="I45" s="5">
        <f t="shared" si="17"/>
        <v>85895.237344248337</v>
      </c>
      <c r="J45" s="26">
        <f t="shared" si="5"/>
        <v>0.22808592007201994</v>
      </c>
      <c r="L45" s="22">
        <f t="shared" si="18"/>
        <v>84522.581881800405</v>
      </c>
      <c r="M45" s="5">
        <f>scrimecost*Meta!O42</f>
        <v>3230.5699999999997</v>
      </c>
      <c r="N45" s="5">
        <f>L45-Grade16!L45</f>
        <v>593.14507375088579</v>
      </c>
      <c r="O45" s="5">
        <f>Grade16!M45-M45</f>
        <v>0</v>
      </c>
      <c r="P45" s="22">
        <f t="shared" si="12"/>
        <v>0</v>
      </c>
      <c r="Q45" s="22"/>
      <c r="R45" s="22"/>
      <c r="S45" s="22">
        <f t="shared" ref="S45:S69" si="19">IF(A45&lt;startage,1,0)*(N45-Q45-R45)+IF(A45&gt;=startage,1,0)*completionprob*(N45*spart+O45+P45)</f>
        <v>127.46094489832784</v>
      </c>
      <c r="T45" s="22">
        <f t="shared" ref="T45:T69" si="20">S45/sreturn^(A45-startage+1)</f>
        <v>1380.7251552083089</v>
      </c>
    </row>
    <row r="46" spans="1:20" x14ac:dyDescent="0.2">
      <c r="A46" s="5">
        <v>55</v>
      </c>
      <c r="B46" s="1">
        <f t="shared" si="13"/>
        <v>2.2037569377728037</v>
      </c>
      <c r="C46" s="5">
        <f t="shared" si="14"/>
        <v>83331.915172207533</v>
      </c>
      <c r="D46" s="5">
        <f t="shared" si="15"/>
        <v>80080.783243941565</v>
      </c>
      <c r="E46" s="5">
        <f t="shared" si="1"/>
        <v>70580.783243941565</v>
      </c>
      <c r="F46" s="5">
        <f t="shared" si="2"/>
        <v>26954.454053541078</v>
      </c>
      <c r="G46" s="5">
        <f t="shared" si="3"/>
        <v>53126.329190400487</v>
      </c>
      <c r="H46" s="22">
        <f t="shared" si="16"/>
        <v>36476.421394384488</v>
      </c>
      <c r="I46" s="5">
        <f t="shared" si="17"/>
        <v>87851.882357854513</v>
      </c>
      <c r="J46" s="26">
        <f t="shared" si="5"/>
        <v>0.22975819816955864</v>
      </c>
      <c r="L46" s="22">
        <f t="shared" si="18"/>
        <v>86635.646428845401</v>
      </c>
      <c r="M46" s="5">
        <f>scrimecost*Meta!O43</f>
        <v>1931.8249999999998</v>
      </c>
      <c r="N46" s="5">
        <f>L46-Grade16!L46</f>
        <v>607.97370059465175</v>
      </c>
      <c r="O46" s="5">
        <f>Grade16!M46-M46</f>
        <v>0</v>
      </c>
      <c r="P46" s="22">
        <f t="shared" si="12"/>
        <v>0</v>
      </c>
      <c r="Q46" s="22"/>
      <c r="R46" s="22"/>
      <c r="S46" s="22">
        <f t="shared" si="19"/>
        <v>130.64746852078471</v>
      </c>
      <c r="T46" s="22">
        <f t="shared" si="20"/>
        <v>1524.6368713043942</v>
      </c>
    </row>
    <row r="47" spans="1:20" x14ac:dyDescent="0.2">
      <c r="A47" s="5">
        <v>56</v>
      </c>
      <c r="B47" s="1">
        <f t="shared" si="13"/>
        <v>2.2588508612171236</v>
      </c>
      <c r="C47" s="5">
        <f t="shared" si="14"/>
        <v>85415.213051512721</v>
      </c>
      <c r="D47" s="5">
        <f t="shared" si="15"/>
        <v>82064.08282504011</v>
      </c>
      <c r="E47" s="5">
        <f t="shared" si="1"/>
        <v>72564.08282504011</v>
      </c>
      <c r="F47" s="5">
        <f t="shared" si="2"/>
        <v>27800.331324879611</v>
      </c>
      <c r="G47" s="5">
        <f t="shared" si="3"/>
        <v>54263.751500160499</v>
      </c>
      <c r="H47" s="22">
        <f t="shared" si="16"/>
        <v>37388.331929244108</v>
      </c>
      <c r="I47" s="5">
        <f t="shared" si="17"/>
        <v>89857.443496800886</v>
      </c>
      <c r="J47" s="26">
        <f t="shared" si="5"/>
        <v>0.2313896889964257</v>
      </c>
      <c r="L47" s="22">
        <f t="shared" si="18"/>
        <v>88801.537589566535</v>
      </c>
      <c r="M47" s="5">
        <f>scrimecost*Meta!O44</f>
        <v>1931.8249999999998</v>
      </c>
      <c r="N47" s="5">
        <f>L47-Grade16!L47</f>
        <v>623.17304310952022</v>
      </c>
      <c r="O47" s="5">
        <f>Grade16!M47-M47</f>
        <v>0</v>
      </c>
      <c r="P47" s="22">
        <f t="shared" si="12"/>
        <v>0</v>
      </c>
      <c r="Q47" s="22"/>
      <c r="R47" s="22"/>
      <c r="S47" s="22">
        <f t="shared" si="19"/>
        <v>133.91365523380477</v>
      </c>
      <c r="T47" s="22">
        <f t="shared" si="20"/>
        <v>1683.5483735285352</v>
      </c>
    </row>
    <row r="48" spans="1:20" x14ac:dyDescent="0.2">
      <c r="A48" s="5">
        <v>57</v>
      </c>
      <c r="B48" s="1">
        <f t="shared" si="13"/>
        <v>2.3153221327475517</v>
      </c>
      <c r="C48" s="5">
        <f t="shared" si="14"/>
        <v>87550.593377800542</v>
      </c>
      <c r="D48" s="5">
        <f t="shared" si="15"/>
        <v>84096.964895666111</v>
      </c>
      <c r="E48" s="5">
        <f t="shared" si="1"/>
        <v>74596.964895666111</v>
      </c>
      <c r="F48" s="5">
        <f t="shared" si="2"/>
        <v>28667.355528001593</v>
      </c>
      <c r="G48" s="5">
        <f t="shared" si="3"/>
        <v>55429.609367664518</v>
      </c>
      <c r="H48" s="22">
        <f t="shared" si="16"/>
        <v>38323.040227475205</v>
      </c>
      <c r="I48" s="5">
        <f t="shared" si="17"/>
        <v>91913.143664220901</v>
      </c>
      <c r="J48" s="26">
        <f t="shared" si="5"/>
        <v>0.23298138736410079</v>
      </c>
      <c r="L48" s="22">
        <f t="shared" si="18"/>
        <v>91021.576029305696</v>
      </c>
      <c r="M48" s="5">
        <f>scrimecost*Meta!O45</f>
        <v>1931.8249999999998</v>
      </c>
      <c r="N48" s="5">
        <f>L48-Grade16!L48</f>
        <v>638.75236918727751</v>
      </c>
      <c r="O48" s="5">
        <f>Grade16!M48-M48</f>
        <v>0</v>
      </c>
      <c r="P48" s="22">
        <f t="shared" si="12"/>
        <v>0</v>
      </c>
      <c r="Q48" s="22"/>
      <c r="R48" s="22"/>
      <c r="S48" s="22">
        <f t="shared" si="19"/>
        <v>137.26149661465405</v>
      </c>
      <c r="T48" s="22">
        <f t="shared" si="20"/>
        <v>1859.0230758264127</v>
      </c>
    </row>
    <row r="49" spans="1:20" x14ac:dyDescent="0.2">
      <c r="A49" s="5">
        <v>58</v>
      </c>
      <c r="B49" s="1">
        <f t="shared" si="13"/>
        <v>2.3732051860662402</v>
      </c>
      <c r="C49" s="5">
        <f t="shared" si="14"/>
        <v>89739.358212245541</v>
      </c>
      <c r="D49" s="5">
        <f t="shared" si="15"/>
        <v>86180.669018057757</v>
      </c>
      <c r="E49" s="5">
        <f t="shared" si="1"/>
        <v>76680.669018057757</v>
      </c>
      <c r="F49" s="5">
        <f t="shared" si="2"/>
        <v>29556.055336201633</v>
      </c>
      <c r="G49" s="5">
        <f t="shared" si="3"/>
        <v>56624.613681856121</v>
      </c>
      <c r="H49" s="22">
        <f t="shared" si="16"/>
        <v>39281.11623316208</v>
      </c>
      <c r="I49" s="5">
        <f t="shared" si="17"/>
        <v>94020.236335826427</v>
      </c>
      <c r="J49" s="26">
        <f t="shared" si="5"/>
        <v>0.23453426382036924</v>
      </c>
      <c r="L49" s="22">
        <f t="shared" si="18"/>
        <v>93297.11543003832</v>
      </c>
      <c r="M49" s="5">
        <f>scrimecost*Meta!O46</f>
        <v>1931.8249999999998</v>
      </c>
      <c r="N49" s="5">
        <f>L49-Grade16!L49</f>
        <v>654.72117841693398</v>
      </c>
      <c r="O49" s="5">
        <f>Grade16!M49-M49</f>
        <v>0</v>
      </c>
      <c r="P49" s="22">
        <f t="shared" si="12"/>
        <v>0</v>
      </c>
      <c r="Q49" s="22"/>
      <c r="R49" s="22"/>
      <c r="S49" s="22">
        <f t="shared" si="19"/>
        <v>140.69303403001493</v>
      </c>
      <c r="T49" s="22">
        <f t="shared" si="20"/>
        <v>2052.7873453445973</v>
      </c>
    </row>
    <row r="50" spans="1:20" x14ac:dyDescent="0.2">
      <c r="A50" s="5">
        <v>59</v>
      </c>
      <c r="B50" s="1">
        <f t="shared" si="13"/>
        <v>2.4325353157178964</v>
      </c>
      <c r="C50" s="5">
        <f t="shared" si="14"/>
        <v>91982.842167551673</v>
      </c>
      <c r="D50" s="5">
        <f t="shared" si="15"/>
        <v>88316.465743509194</v>
      </c>
      <c r="E50" s="5">
        <f t="shared" si="1"/>
        <v>78816.465743509194</v>
      </c>
      <c r="F50" s="5">
        <f t="shared" si="2"/>
        <v>30466.972639606673</v>
      </c>
      <c r="G50" s="5">
        <f t="shared" si="3"/>
        <v>57849.493103902525</v>
      </c>
      <c r="H50" s="22">
        <f t="shared" si="16"/>
        <v>40263.144138991134</v>
      </c>
      <c r="I50" s="5">
        <f t="shared" si="17"/>
        <v>96180.006324222079</v>
      </c>
      <c r="J50" s="26">
        <f t="shared" si="5"/>
        <v>0.23604926524111891</v>
      </c>
      <c r="L50" s="22">
        <f t="shared" si="18"/>
        <v>95629.543315789299</v>
      </c>
      <c r="M50" s="5">
        <f>scrimecost*Meta!O47</f>
        <v>1931.8249999999998</v>
      </c>
      <c r="N50" s="5">
        <f>L50-Grade16!L50</f>
        <v>671.08920787737588</v>
      </c>
      <c r="O50" s="5">
        <f>Grade16!M50-M50</f>
        <v>0</v>
      </c>
      <c r="P50" s="22">
        <f t="shared" si="12"/>
        <v>0</v>
      </c>
      <c r="Q50" s="22"/>
      <c r="R50" s="22"/>
      <c r="S50" s="22">
        <f t="shared" si="19"/>
        <v>144.21035988076929</v>
      </c>
      <c r="T50" s="22">
        <f t="shared" si="20"/>
        <v>2266.7474868938516</v>
      </c>
    </row>
    <row r="51" spans="1:20" x14ac:dyDescent="0.2">
      <c r="A51" s="5">
        <v>60</v>
      </c>
      <c r="B51" s="1">
        <f t="shared" si="13"/>
        <v>2.4933486986108435</v>
      </c>
      <c r="C51" s="5">
        <f t="shared" si="14"/>
        <v>94282.413221740455</v>
      </c>
      <c r="D51" s="5">
        <f t="shared" si="15"/>
        <v>90505.657387096915</v>
      </c>
      <c r="E51" s="5">
        <f t="shared" si="1"/>
        <v>81005.657387096915</v>
      </c>
      <c r="F51" s="5">
        <f t="shared" si="2"/>
        <v>31400.662875596834</v>
      </c>
      <c r="G51" s="5">
        <f t="shared" si="3"/>
        <v>59104.994511500081</v>
      </c>
      <c r="H51" s="22">
        <f t="shared" si="16"/>
        <v>41269.722742465907</v>
      </c>
      <c r="I51" s="5">
        <f t="shared" si="17"/>
        <v>98393.770562327612</v>
      </c>
      <c r="J51" s="26">
        <f t="shared" si="5"/>
        <v>0.237527315407704</v>
      </c>
      <c r="L51" s="22">
        <f t="shared" si="18"/>
        <v>98020.281898684014</v>
      </c>
      <c r="M51" s="5">
        <f>scrimecost*Meta!O48</f>
        <v>1061.3400000000001</v>
      </c>
      <c r="N51" s="5">
        <f>L51-Grade16!L51</f>
        <v>687.86643807431392</v>
      </c>
      <c r="O51" s="5">
        <f>Grade16!M51-M51</f>
        <v>0</v>
      </c>
      <c r="P51" s="22">
        <f t="shared" si="12"/>
        <v>0</v>
      </c>
      <c r="Q51" s="22"/>
      <c r="R51" s="22"/>
      <c r="S51" s="22">
        <f t="shared" si="19"/>
        <v>147.81561887778929</v>
      </c>
      <c r="T51" s="22">
        <f t="shared" si="20"/>
        <v>2503.0084976858366</v>
      </c>
    </row>
    <row r="52" spans="1:20" x14ac:dyDescent="0.2">
      <c r="A52" s="5">
        <v>61</v>
      </c>
      <c r="B52" s="1">
        <f t="shared" si="13"/>
        <v>2.555682416076114</v>
      </c>
      <c r="C52" s="5">
        <f t="shared" si="14"/>
        <v>96639.473552283947</v>
      </c>
      <c r="D52" s="5">
        <f t="shared" si="15"/>
        <v>92749.57882177431</v>
      </c>
      <c r="E52" s="5">
        <f t="shared" si="1"/>
        <v>83249.57882177431</v>
      </c>
      <c r="F52" s="5">
        <f t="shared" si="2"/>
        <v>32357.695367486747</v>
      </c>
      <c r="G52" s="5">
        <f t="shared" si="3"/>
        <v>60391.883454287563</v>
      </c>
      <c r="H52" s="22">
        <f t="shared" si="16"/>
        <v>42301.465811027549</v>
      </c>
      <c r="I52" s="5">
        <f t="shared" si="17"/>
        <v>100662.87890638578</v>
      </c>
      <c r="J52" s="26">
        <f t="shared" si="5"/>
        <v>0.23896931557022599</v>
      </c>
      <c r="L52" s="22">
        <f t="shared" si="18"/>
        <v>100470.78894615109</v>
      </c>
      <c r="M52" s="5">
        <f>scrimecost*Meta!O49</f>
        <v>1061.3400000000001</v>
      </c>
      <c r="N52" s="5">
        <f>L52-Grade16!L52</f>
        <v>705.06309902614157</v>
      </c>
      <c r="O52" s="5">
        <f>Grade16!M52-M52</f>
        <v>0</v>
      </c>
      <c r="P52" s="22">
        <f t="shared" si="12"/>
        <v>0</v>
      </c>
      <c r="Q52" s="22"/>
      <c r="R52" s="22"/>
      <c r="S52" s="22">
        <f t="shared" si="19"/>
        <v>151.51100934972754</v>
      </c>
      <c r="T52" s="22">
        <f t="shared" si="20"/>
        <v>2763.8947768603357</v>
      </c>
    </row>
    <row r="53" spans="1:20" x14ac:dyDescent="0.2">
      <c r="A53" s="5">
        <v>62</v>
      </c>
      <c r="B53" s="1">
        <f t="shared" si="13"/>
        <v>2.6195744764780171</v>
      </c>
      <c r="C53" s="5">
        <f t="shared" si="14"/>
        <v>99055.460391091066</v>
      </c>
      <c r="D53" s="5">
        <f t="shared" si="15"/>
        <v>95049.598292318697</v>
      </c>
      <c r="E53" s="5">
        <f t="shared" si="1"/>
        <v>85549.598292318697</v>
      </c>
      <c r="F53" s="5">
        <f t="shared" si="2"/>
        <v>33397.141620443486</v>
      </c>
      <c r="G53" s="5">
        <f t="shared" si="3"/>
        <v>61652.45667187521</v>
      </c>
      <c r="H53" s="22">
        <f t="shared" si="16"/>
        <v>43359.002456303242</v>
      </c>
      <c r="I53" s="5">
        <f t="shared" si="17"/>
        <v>102930.22701027589</v>
      </c>
      <c r="J53" s="26">
        <f t="shared" si="5"/>
        <v>0.24080754023424633</v>
      </c>
      <c r="L53" s="22">
        <f t="shared" si="18"/>
        <v>102982.55866980487</v>
      </c>
      <c r="M53" s="5">
        <f>scrimecost*Meta!O50</f>
        <v>1061.3400000000001</v>
      </c>
      <c r="N53" s="5">
        <f>L53-Grade16!L53</f>
        <v>722.6896765018173</v>
      </c>
      <c r="O53" s="5">
        <f>Grade16!M53-M53</f>
        <v>0</v>
      </c>
      <c r="P53" s="22">
        <f t="shared" si="12"/>
        <v>0</v>
      </c>
      <c r="Q53" s="22"/>
      <c r="R53" s="22"/>
      <c r="S53" s="22">
        <f t="shared" si="19"/>
        <v>155.29878458347551</v>
      </c>
      <c r="T53" s="22">
        <f t="shared" si="20"/>
        <v>3051.9729935472337</v>
      </c>
    </row>
    <row r="54" spans="1:20" x14ac:dyDescent="0.2">
      <c r="A54" s="5">
        <v>63</v>
      </c>
      <c r="B54" s="1">
        <f t="shared" si="13"/>
        <v>2.6850638383899672</v>
      </c>
      <c r="C54" s="5">
        <f t="shared" si="14"/>
        <v>101531.84690086833</v>
      </c>
      <c r="D54" s="5">
        <f t="shared" si="15"/>
        <v>97407.118249626656</v>
      </c>
      <c r="E54" s="5">
        <f t="shared" si="1"/>
        <v>87907.118249626656</v>
      </c>
      <c r="F54" s="5">
        <f t="shared" si="2"/>
        <v>34473.349480954566</v>
      </c>
      <c r="G54" s="5">
        <f t="shared" si="3"/>
        <v>62933.768768672089</v>
      </c>
      <c r="H54" s="22">
        <f t="shared" si="16"/>
        <v>44442.977517710817</v>
      </c>
      <c r="I54" s="5">
        <f t="shared" si="17"/>
        <v>105243.48336553278</v>
      </c>
      <c r="J54" s="26">
        <f t="shared" si="5"/>
        <v>0.24267846921463429</v>
      </c>
      <c r="L54" s="22">
        <f t="shared" si="18"/>
        <v>105557.12263654998</v>
      </c>
      <c r="M54" s="5">
        <f>scrimecost*Meta!O51</f>
        <v>1061.3400000000001</v>
      </c>
      <c r="N54" s="5">
        <f>L54-Grade16!L54</f>
        <v>740.75691841435037</v>
      </c>
      <c r="O54" s="5">
        <f>Grade16!M54-M54</f>
        <v>0</v>
      </c>
      <c r="P54" s="22">
        <f t="shared" si="12"/>
        <v>0</v>
      </c>
      <c r="Q54" s="22"/>
      <c r="R54" s="22"/>
      <c r="S54" s="22">
        <f t="shared" si="19"/>
        <v>159.18125419805975</v>
      </c>
      <c r="T54" s="22">
        <f t="shared" si="20"/>
        <v>3370.0773384441686</v>
      </c>
    </row>
    <row r="55" spans="1:20" x14ac:dyDescent="0.2">
      <c r="A55" s="5">
        <v>64</v>
      </c>
      <c r="B55" s="1">
        <f t="shared" si="13"/>
        <v>2.7521904343497163</v>
      </c>
      <c r="C55" s="5">
        <f t="shared" si="14"/>
        <v>104070.14307339002</v>
      </c>
      <c r="D55" s="5">
        <f t="shared" si="15"/>
        <v>99823.576205867299</v>
      </c>
      <c r="E55" s="5">
        <f t="shared" si="1"/>
        <v>90323.576205867299</v>
      </c>
      <c r="F55" s="5">
        <f t="shared" si="2"/>
        <v>35576.462537978419</v>
      </c>
      <c r="G55" s="5">
        <f t="shared" si="3"/>
        <v>64247.11366788888</v>
      </c>
      <c r="H55" s="22">
        <f t="shared" si="16"/>
        <v>45554.051955653587</v>
      </c>
      <c r="I55" s="5">
        <f t="shared" si="17"/>
        <v>107614.57112967109</v>
      </c>
      <c r="J55" s="26">
        <f t="shared" si="5"/>
        <v>0.24450376578086641</v>
      </c>
      <c r="L55" s="22">
        <f t="shared" si="18"/>
        <v>108196.05070246373</v>
      </c>
      <c r="M55" s="5">
        <f>scrimecost*Meta!O52</f>
        <v>1061.3400000000001</v>
      </c>
      <c r="N55" s="5">
        <f>L55-Grade16!L55</f>
        <v>759.27584137472149</v>
      </c>
      <c r="O55" s="5">
        <f>Grade16!M55-M55</f>
        <v>0</v>
      </c>
      <c r="P55" s="22">
        <f t="shared" si="12"/>
        <v>0</v>
      </c>
      <c r="Q55" s="22"/>
      <c r="R55" s="22"/>
      <c r="S55" s="22">
        <f t="shared" si="19"/>
        <v>163.16078555301388</v>
      </c>
      <c r="T55" s="22">
        <f t="shared" si="20"/>
        <v>3721.3374073454206</v>
      </c>
    </row>
    <row r="56" spans="1:20" x14ac:dyDescent="0.2">
      <c r="A56" s="5">
        <v>65</v>
      </c>
      <c r="B56" s="1">
        <f t="shared" si="13"/>
        <v>2.8209951952084591</v>
      </c>
      <c r="C56" s="5">
        <f t="shared" si="14"/>
        <v>106671.89665022478</v>
      </c>
      <c r="D56" s="5">
        <f t="shared" si="15"/>
        <v>102300.44561101399</v>
      </c>
      <c r="E56" s="5">
        <f t="shared" si="1"/>
        <v>92800.445611013987</v>
      </c>
      <c r="F56" s="5">
        <f t="shared" si="2"/>
        <v>36707.153421427887</v>
      </c>
      <c r="G56" s="5">
        <f t="shared" si="3"/>
        <v>65593.292189586093</v>
      </c>
      <c r="H56" s="22">
        <f t="shared" si="16"/>
        <v>46692.903254544915</v>
      </c>
      <c r="I56" s="5">
        <f t="shared" si="17"/>
        <v>110044.93608791285</v>
      </c>
      <c r="J56" s="26">
        <f t="shared" si="5"/>
        <v>0.24628454291865393</v>
      </c>
      <c r="L56" s="22">
        <f t="shared" si="18"/>
        <v>110900.95197002533</v>
      </c>
      <c r="M56" s="5">
        <f>scrimecost*Meta!O53</f>
        <v>335.15999999999997</v>
      </c>
      <c r="N56" s="5">
        <f>L56-Grade16!L56</f>
        <v>778.25773740907607</v>
      </c>
      <c r="O56" s="5">
        <f>Grade16!M56-M56</f>
        <v>0</v>
      </c>
      <c r="P56" s="22">
        <f t="shared" si="12"/>
        <v>0</v>
      </c>
      <c r="Q56" s="22"/>
      <c r="R56" s="22"/>
      <c r="S56" s="22">
        <f t="shared" si="19"/>
        <v>167.23980519183633</v>
      </c>
      <c r="T56" s="22">
        <f t="shared" si="20"/>
        <v>4109.2089909429524</v>
      </c>
    </row>
    <row r="57" spans="1:20" x14ac:dyDescent="0.2">
      <c r="A57" s="5">
        <v>66</v>
      </c>
      <c r="C57" s="5"/>
      <c r="H57" s="21"/>
      <c r="I57" s="5"/>
      <c r="M57" s="5">
        <f>scrimecost*Meta!O54</f>
        <v>335.15999999999997</v>
      </c>
      <c r="N57" s="5">
        <f>L57-Grade16!L57</f>
        <v>0</v>
      </c>
      <c r="O57" s="5">
        <f>Grade16!M57-M57</f>
        <v>0</v>
      </c>
      <c r="Q57" s="22"/>
      <c r="R57" s="22"/>
      <c r="S57" s="22">
        <f t="shared" si="19"/>
        <v>0</v>
      </c>
      <c r="T57" s="22">
        <f t="shared" si="20"/>
        <v>0</v>
      </c>
    </row>
    <row r="58" spans="1:20" x14ac:dyDescent="0.2">
      <c r="A58" s="5">
        <v>67</v>
      </c>
      <c r="C58" s="5"/>
      <c r="H58" s="21"/>
      <c r="I58" s="5"/>
      <c r="M58" s="5">
        <f>scrimecost*Meta!O55</f>
        <v>335.15999999999997</v>
      </c>
      <c r="N58" s="5">
        <f>L58-Grade16!L58</f>
        <v>0</v>
      </c>
      <c r="O58" s="5">
        <f>Grade16!M58-M58</f>
        <v>0</v>
      </c>
      <c r="Q58" s="22"/>
      <c r="R58" s="22"/>
      <c r="S58" s="22">
        <f t="shared" si="19"/>
        <v>0</v>
      </c>
      <c r="T58" s="22">
        <f t="shared" si="20"/>
        <v>0</v>
      </c>
    </row>
    <row r="59" spans="1:20" x14ac:dyDescent="0.2">
      <c r="A59" s="5">
        <v>68</v>
      </c>
      <c r="H59" s="21"/>
      <c r="I59" s="5"/>
      <c r="M59" s="5">
        <f>scrimecost*Meta!O56</f>
        <v>335.15999999999997</v>
      </c>
      <c r="N59" s="5">
        <f>L59-Grade16!L59</f>
        <v>0</v>
      </c>
      <c r="O59" s="5">
        <f>Grade16!M59-M59</f>
        <v>0</v>
      </c>
      <c r="Q59" s="22"/>
      <c r="R59" s="22"/>
      <c r="S59" s="22">
        <f t="shared" si="19"/>
        <v>0</v>
      </c>
      <c r="T59" s="22">
        <f t="shared" si="20"/>
        <v>0</v>
      </c>
    </row>
    <row r="60" spans="1:20" x14ac:dyDescent="0.2">
      <c r="A60" s="5">
        <v>69</v>
      </c>
      <c r="H60" s="21"/>
      <c r="I60" s="5"/>
      <c r="M60" s="5">
        <f>scrimecost*Meta!O57</f>
        <v>335.15999999999997</v>
      </c>
      <c r="N60" s="5">
        <f>L60-Grade16!L60</f>
        <v>0</v>
      </c>
      <c r="O60" s="5">
        <f>Grade16!M60-M60</f>
        <v>0</v>
      </c>
      <c r="Q60" s="22"/>
      <c r="R60" s="22"/>
      <c r="S60" s="22">
        <f t="shared" si="19"/>
        <v>0</v>
      </c>
      <c r="T60" s="22">
        <f t="shared" si="20"/>
        <v>0</v>
      </c>
    </row>
    <row r="61" spans="1:20" x14ac:dyDescent="0.2">
      <c r="A61" s="5">
        <v>70</v>
      </c>
      <c r="H61" s="21"/>
      <c r="I61" s="5"/>
      <c r="M61" s="5">
        <f>scrimecost*Meta!O58</f>
        <v>335.15999999999997</v>
      </c>
      <c r="N61" s="5">
        <f>L61-Grade16!L61</f>
        <v>0</v>
      </c>
      <c r="O61" s="5">
        <f>Grade16!M61-M61</f>
        <v>0</v>
      </c>
      <c r="Q61" s="22"/>
      <c r="R61" s="22"/>
      <c r="S61" s="22">
        <f t="shared" si="19"/>
        <v>0</v>
      </c>
      <c r="T61" s="22">
        <f t="shared" si="20"/>
        <v>0</v>
      </c>
    </row>
    <row r="62" spans="1:20" x14ac:dyDescent="0.2">
      <c r="A62" s="5">
        <v>71</v>
      </c>
      <c r="H62" s="21"/>
      <c r="I62" s="5"/>
      <c r="M62" s="5">
        <f>scrimecost*Meta!O59</f>
        <v>335.15999999999997</v>
      </c>
      <c r="N62" s="5">
        <f>L62-Grade16!L62</f>
        <v>0</v>
      </c>
      <c r="O62" s="5">
        <f>Grade16!M62-M62</f>
        <v>0</v>
      </c>
      <c r="Q62" s="22"/>
      <c r="R62" s="22"/>
      <c r="S62" s="22">
        <f t="shared" si="19"/>
        <v>0</v>
      </c>
      <c r="T62" s="22">
        <f t="shared" si="20"/>
        <v>0</v>
      </c>
    </row>
    <row r="63" spans="1:20" x14ac:dyDescent="0.2">
      <c r="A63" s="5">
        <v>72</v>
      </c>
      <c r="H63" s="21"/>
      <c r="M63" s="5">
        <f>scrimecost*Meta!O60</f>
        <v>335.15999999999997</v>
      </c>
      <c r="N63" s="5">
        <f>L63-Grade16!L63</f>
        <v>0</v>
      </c>
      <c r="O63" s="5">
        <f>Grade16!M63-M63</f>
        <v>0</v>
      </c>
      <c r="Q63" s="22"/>
      <c r="R63" s="22"/>
      <c r="S63" s="22">
        <f t="shared" si="19"/>
        <v>0</v>
      </c>
      <c r="T63" s="22">
        <f t="shared" si="20"/>
        <v>0</v>
      </c>
    </row>
    <row r="64" spans="1:20" x14ac:dyDescent="0.2">
      <c r="A64" s="5">
        <v>73</v>
      </c>
      <c r="H64" s="21"/>
      <c r="M64" s="5">
        <f>scrimecost*Meta!O61</f>
        <v>335.15999999999997</v>
      </c>
      <c r="N64" s="5">
        <f>L64-Grade16!L64</f>
        <v>0</v>
      </c>
      <c r="O64" s="5">
        <f>Grade16!M64-M64</f>
        <v>0</v>
      </c>
      <c r="Q64" s="22"/>
      <c r="R64" s="22"/>
      <c r="S64" s="22">
        <f t="shared" si="19"/>
        <v>0</v>
      </c>
      <c r="T64" s="22">
        <f t="shared" si="20"/>
        <v>0</v>
      </c>
    </row>
    <row r="65" spans="1:20" x14ac:dyDescent="0.2">
      <c r="A65" s="5">
        <v>74</v>
      </c>
      <c r="H65" s="21"/>
      <c r="M65" s="5">
        <f>scrimecost*Meta!O62</f>
        <v>335.15999999999997</v>
      </c>
      <c r="N65" s="5">
        <f>L65-Grade16!L65</f>
        <v>0</v>
      </c>
      <c r="O65" s="5">
        <f>Grade16!M65-M65</f>
        <v>0</v>
      </c>
      <c r="Q65" s="22"/>
      <c r="R65" s="22"/>
      <c r="S65" s="22">
        <f t="shared" si="19"/>
        <v>0</v>
      </c>
      <c r="T65" s="22">
        <f t="shared" si="20"/>
        <v>0</v>
      </c>
    </row>
    <row r="66" spans="1:20" x14ac:dyDescent="0.2">
      <c r="A66" s="5">
        <v>75</v>
      </c>
      <c r="H66" s="21"/>
      <c r="M66" s="5">
        <f>scrimecost*Meta!O63</f>
        <v>335.15999999999997</v>
      </c>
      <c r="N66" s="5">
        <f>L66-Grade16!L66</f>
        <v>0</v>
      </c>
      <c r="O66" s="5">
        <f>Grade16!M66-M66</f>
        <v>0</v>
      </c>
      <c r="Q66" s="22"/>
      <c r="R66" s="22"/>
      <c r="S66" s="22">
        <f t="shared" si="19"/>
        <v>0</v>
      </c>
      <c r="T66" s="22">
        <f t="shared" si="20"/>
        <v>0</v>
      </c>
    </row>
    <row r="67" spans="1:20" x14ac:dyDescent="0.2">
      <c r="A67" s="5">
        <v>76</v>
      </c>
      <c r="H67" s="21"/>
      <c r="M67" s="5">
        <f>scrimecost*Meta!O64</f>
        <v>335.15999999999997</v>
      </c>
      <c r="N67" s="5">
        <f>L67-Grade16!L67</f>
        <v>0</v>
      </c>
      <c r="O67" s="5">
        <f>Grade16!M67-M67</f>
        <v>0</v>
      </c>
      <c r="Q67" s="22"/>
      <c r="R67" s="22"/>
      <c r="S67" s="22">
        <f t="shared" si="19"/>
        <v>0</v>
      </c>
      <c r="T67" s="22">
        <f t="shared" si="20"/>
        <v>0</v>
      </c>
    </row>
    <row r="68" spans="1:20" x14ac:dyDescent="0.2">
      <c r="A68" s="5">
        <v>77</v>
      </c>
      <c r="H68" s="21"/>
      <c r="M68" s="5">
        <f>scrimecost*Meta!O65</f>
        <v>335.15999999999997</v>
      </c>
      <c r="N68" s="5">
        <f>L68-Grade16!L68</f>
        <v>0</v>
      </c>
      <c r="O68" s="5">
        <f>Grade16!M68-M68</f>
        <v>0</v>
      </c>
      <c r="Q68" s="22"/>
      <c r="R68" s="22"/>
      <c r="S68" s="22">
        <f t="shared" si="19"/>
        <v>0</v>
      </c>
      <c r="T68" s="22">
        <f t="shared" si="20"/>
        <v>0</v>
      </c>
    </row>
    <row r="69" spans="1:20" x14ac:dyDescent="0.2">
      <c r="A69" s="5">
        <v>78</v>
      </c>
      <c r="H69" s="21"/>
      <c r="M69" s="5">
        <f>scrimecost*Meta!O66</f>
        <v>335.15999999999997</v>
      </c>
      <c r="N69" s="5">
        <f>L69-Grade16!L69</f>
        <v>0</v>
      </c>
      <c r="O69" s="5">
        <f>Grade16!M69-M69</f>
        <v>0</v>
      </c>
      <c r="Q69" s="22"/>
      <c r="R69" s="22"/>
      <c r="S69" s="22">
        <f t="shared" si="19"/>
        <v>0</v>
      </c>
      <c r="T69" s="22">
        <f t="shared" si="20"/>
        <v>0</v>
      </c>
    </row>
    <row r="70" spans="1:20" x14ac:dyDescent="0.2">
      <c r="A70" s="5">
        <v>79</v>
      </c>
      <c r="H70" s="21"/>
      <c r="M70" s="5"/>
      <c r="Q70" s="22"/>
      <c r="R70" s="22"/>
      <c r="S70" s="22">
        <f>SUM(T5:T69)</f>
        <v>-9.1858964879065752E-11</v>
      </c>
    </row>
    <row r="71" spans="1:20" x14ac:dyDescent="0.2">
      <c r="A71" s="5">
        <v>80</v>
      </c>
      <c r="H71" s="21"/>
      <c r="M71" s="5"/>
      <c r="Q71" s="22"/>
      <c r="R71" s="22"/>
    </row>
    <row r="72" spans="1:20" x14ac:dyDescent="0.2">
      <c r="A72" s="5">
        <v>81</v>
      </c>
      <c r="H72" s="21"/>
      <c r="M72" s="5"/>
      <c r="Q72" s="22"/>
      <c r="R72" s="22"/>
    </row>
    <row r="73" spans="1:20" x14ac:dyDescent="0.2">
      <c r="A73" s="5">
        <v>82</v>
      </c>
      <c r="H73" s="21"/>
      <c r="M73" s="5"/>
    </row>
    <row r="74" spans="1:20" x14ac:dyDescent="0.2">
      <c r="A74" s="5">
        <v>83</v>
      </c>
      <c r="H74" s="21"/>
      <c r="M74" s="5"/>
    </row>
    <row r="75" spans="1:20" x14ac:dyDescent="0.2">
      <c r="A75" s="5">
        <v>84</v>
      </c>
      <c r="H75" s="21"/>
      <c r="M75" s="5"/>
    </row>
    <row r="76" spans="1:20" x14ac:dyDescent="0.2">
      <c r="A76" s="5">
        <v>85</v>
      </c>
      <c r="H76" s="21"/>
    </row>
    <row r="77" spans="1:20" x14ac:dyDescent="0.2">
      <c r="A77" s="5">
        <v>86</v>
      </c>
      <c r="H77" s="21"/>
    </row>
    <row r="78" spans="1:20" x14ac:dyDescent="0.2">
      <c r="A78" s="5">
        <v>87</v>
      </c>
      <c r="H78" s="21"/>
    </row>
    <row r="79" spans="1:20" x14ac:dyDescent="0.2">
      <c r="A79" s="5">
        <v>88</v>
      </c>
      <c r="H79" s="21"/>
    </row>
    <row r="80" spans="1:20" x14ac:dyDescent="0.2">
      <c r="A80" s="5">
        <v>89</v>
      </c>
      <c r="H80" s="21"/>
    </row>
    <row r="81" spans="1:8" x14ac:dyDescent="0.2">
      <c r="A81" s="5">
        <v>90</v>
      </c>
      <c r="H81" s="21"/>
    </row>
  </sheetData>
  <pageMargins left="0.75" right="0.75" top="1" bottom="1" header="0.5" footer="0.5"/>
  <pageSetup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1"/>
  <sheetViews>
    <sheetView topLeftCell="B1" workbookViewId="0">
      <selection activeCell="S14" sqref="S14"/>
    </sheetView>
  </sheetViews>
  <sheetFormatPr defaultRowHeight="12.75" x14ac:dyDescent="0.2"/>
  <cols>
    <col min="1" max="1" width="13.7109375" style="5" customWidth="1"/>
    <col min="2" max="7" width="13.7109375" style="1" customWidth="1"/>
    <col min="8" max="8" width="9.5703125" style="1" customWidth="1"/>
    <col min="9" max="9" width="9.140625" style="1"/>
    <col min="10" max="11" width="9.28515625" style="1" customWidth="1"/>
    <col min="12" max="12" width="9.140625" style="1"/>
    <col min="13" max="13" width="9.5703125" style="1" customWidth="1"/>
    <col min="14" max="14" width="9.28515625" style="1" customWidth="1"/>
    <col min="15" max="17" width="9.140625" style="1"/>
    <col min="18" max="18" width="9.5703125" style="1" bestFit="1" customWidth="1"/>
    <col min="19" max="19" width="10.140625" style="1" bestFit="1" customWidth="1"/>
    <col min="20" max="16384" width="9.140625" style="1"/>
  </cols>
  <sheetData>
    <row r="1" spans="1:20" x14ac:dyDescent="0.2">
      <c r="B1" s="1" t="s">
        <v>11</v>
      </c>
      <c r="C1" s="27" t="s">
        <v>35</v>
      </c>
      <c r="D1" s="27" t="s">
        <v>36</v>
      </c>
      <c r="E1" s="6" t="s">
        <v>9</v>
      </c>
      <c r="F1" s="6" t="s">
        <v>49</v>
      </c>
      <c r="G1" s="1" t="s">
        <v>4</v>
      </c>
      <c r="H1" s="1" t="s">
        <v>8</v>
      </c>
      <c r="J1" s="1" t="s">
        <v>56</v>
      </c>
      <c r="K1" s="1" t="s">
        <v>20</v>
      </c>
      <c r="N1" s="1" t="s">
        <v>43</v>
      </c>
      <c r="O1" s="1" t="s">
        <v>44</v>
      </c>
      <c r="P1" s="1" t="s">
        <v>45</v>
      </c>
      <c r="Q1" s="1" t="s">
        <v>46</v>
      </c>
      <c r="R1" s="1" t="s">
        <v>53</v>
      </c>
      <c r="T1" s="12" t="s">
        <v>57</v>
      </c>
    </row>
    <row r="2" spans="1:20" x14ac:dyDescent="0.2">
      <c r="B2" s="5">
        <f>Meta!A12+6</f>
        <v>24</v>
      </c>
      <c r="C2" s="7">
        <f>Meta!B12</f>
        <v>77084</v>
      </c>
      <c r="D2" s="7">
        <f>Meta!C12</f>
        <v>32905</v>
      </c>
      <c r="E2" s="1">
        <f>Meta!D12</f>
        <v>4.3999999999999997E-2</v>
      </c>
      <c r="F2" s="1">
        <f>Meta!F12</f>
        <v>0.80300000000000005</v>
      </c>
      <c r="G2" s="1">
        <f>Meta!I12</f>
        <v>1.7342811382937739</v>
      </c>
      <c r="H2" s="1">
        <f>Meta!E12</f>
        <v>0.28499999999999998</v>
      </c>
      <c r="I2" s="13"/>
      <c r="J2" s="1">
        <f>Meta!X11</f>
        <v>0.754</v>
      </c>
      <c r="K2" s="1">
        <f>Meta!D11</f>
        <v>4.8000000000000001E-2</v>
      </c>
      <c r="L2" s="29"/>
      <c r="N2" s="22">
        <f>Meta!T12</f>
        <v>51683</v>
      </c>
      <c r="O2" s="22">
        <f>Meta!U12</f>
        <v>23343</v>
      </c>
      <c r="P2" s="1">
        <f>Meta!V12</f>
        <v>6.0999999999999999E-2</v>
      </c>
      <c r="Q2" s="1">
        <f>Meta!X12</f>
        <v>0.754</v>
      </c>
      <c r="R2" s="22">
        <f>Meta!W12</f>
        <v>4655</v>
      </c>
      <c r="T2" s="12">
        <f>IRR(S5:S69)+1</f>
        <v>0.92940446975135582</v>
      </c>
    </row>
    <row r="3" spans="1:20" ht="14.25" x14ac:dyDescent="0.2">
      <c r="C3" s="3"/>
      <c r="G3" s="4"/>
      <c r="L3" s="1" t="s">
        <v>10</v>
      </c>
    </row>
    <row r="4" spans="1:20" x14ac:dyDescent="0.2">
      <c r="A4" s="7" t="s">
        <v>0</v>
      </c>
      <c r="B4" s="2" t="s">
        <v>1</v>
      </c>
      <c r="C4" s="1" t="s">
        <v>37</v>
      </c>
      <c r="D4" s="1" t="s">
        <v>2</v>
      </c>
      <c r="E4" t="s">
        <v>12</v>
      </c>
      <c r="F4" t="s">
        <v>19</v>
      </c>
      <c r="G4" t="s">
        <v>18</v>
      </c>
      <c r="H4" t="s">
        <v>38</v>
      </c>
      <c r="I4" t="s">
        <v>6</v>
      </c>
      <c r="J4" s="1" t="s">
        <v>47</v>
      </c>
      <c r="L4" s="1" t="s">
        <v>48</v>
      </c>
      <c r="M4" s="1" t="s">
        <v>54</v>
      </c>
      <c r="N4" s="1" t="s">
        <v>59</v>
      </c>
      <c r="O4" s="1" t="s">
        <v>58</v>
      </c>
      <c r="P4" s="1" t="s">
        <v>55</v>
      </c>
      <c r="Q4" s="1" t="s">
        <v>17</v>
      </c>
      <c r="R4" s="1" t="s">
        <v>7</v>
      </c>
      <c r="S4" s="5" t="s">
        <v>14</v>
      </c>
      <c r="T4" s="5" t="s">
        <v>15</v>
      </c>
    </row>
    <row r="5" spans="1:20" x14ac:dyDescent="0.2">
      <c r="A5" s="5">
        <v>14</v>
      </c>
      <c r="C5" s="5"/>
      <c r="D5" s="5"/>
      <c r="E5" s="5"/>
      <c r="F5" s="5"/>
      <c r="G5" s="5"/>
      <c r="H5" s="22"/>
      <c r="I5" s="5"/>
      <c r="J5" s="26"/>
      <c r="L5" s="22"/>
      <c r="M5" s="5"/>
      <c r="N5" s="5"/>
      <c r="O5" s="5"/>
      <c r="P5" s="22"/>
      <c r="Q5" s="22"/>
      <c r="R5" s="22"/>
      <c r="S5" s="22"/>
      <c r="T5" s="22"/>
    </row>
    <row r="6" spans="1:20" x14ac:dyDescent="0.2">
      <c r="A6" s="5">
        <v>15</v>
      </c>
      <c r="C6" s="5"/>
      <c r="D6" s="5"/>
      <c r="E6" s="5"/>
      <c r="F6" s="5"/>
      <c r="G6" s="5"/>
      <c r="H6" s="22"/>
      <c r="I6" s="5"/>
      <c r="J6" s="26"/>
      <c r="L6" s="22"/>
      <c r="M6" s="5"/>
      <c r="N6" s="5"/>
      <c r="O6" s="5"/>
      <c r="P6" s="22"/>
      <c r="Q6" s="22"/>
      <c r="R6" s="22"/>
      <c r="S6" s="22"/>
      <c r="T6" s="22"/>
    </row>
    <row r="7" spans="1:20" x14ac:dyDescent="0.2">
      <c r="A7" s="5">
        <v>16</v>
      </c>
      <c r="C7" s="5"/>
      <c r="D7" s="5"/>
      <c r="E7" s="5"/>
      <c r="F7" s="5"/>
      <c r="G7" s="5"/>
      <c r="H7" s="22"/>
      <c r="I7" s="5"/>
      <c r="J7" s="26"/>
      <c r="L7" s="22"/>
      <c r="M7" s="5"/>
      <c r="N7" s="5"/>
      <c r="O7" s="5"/>
      <c r="P7" s="22"/>
      <c r="Q7" s="22"/>
      <c r="R7" s="22"/>
      <c r="S7" s="22"/>
      <c r="T7" s="22"/>
    </row>
    <row r="8" spans="1:20" x14ac:dyDescent="0.2">
      <c r="A8" s="5">
        <v>17</v>
      </c>
      <c r="C8" s="5"/>
      <c r="D8" s="5"/>
      <c r="E8" s="5"/>
      <c r="F8" s="5"/>
      <c r="G8" s="5"/>
      <c r="H8" s="22"/>
      <c r="I8" s="5"/>
      <c r="J8" s="26"/>
      <c r="L8" s="22"/>
      <c r="M8" s="5"/>
      <c r="N8" s="5"/>
      <c r="O8" s="5"/>
      <c r="P8" s="22"/>
      <c r="Q8" s="22"/>
      <c r="R8" s="22"/>
      <c r="S8" s="22"/>
      <c r="T8" s="22"/>
    </row>
    <row r="9" spans="1:20" x14ac:dyDescent="0.2">
      <c r="A9" s="5">
        <v>18</v>
      </c>
      <c r="C9" s="5"/>
      <c r="D9" s="5"/>
      <c r="E9" s="5"/>
      <c r="F9" s="5"/>
      <c r="G9" s="5"/>
      <c r="H9" s="22"/>
      <c r="I9" s="5"/>
      <c r="J9" s="26"/>
      <c r="L9" s="22"/>
      <c r="M9" s="5"/>
      <c r="N9" s="5"/>
      <c r="O9" s="5"/>
      <c r="P9" s="22"/>
      <c r="Q9" s="22"/>
      <c r="R9" s="22"/>
      <c r="S9" s="22"/>
      <c r="T9" s="22"/>
    </row>
    <row r="10" spans="1:20" x14ac:dyDescent="0.2">
      <c r="A10" s="5">
        <v>19</v>
      </c>
      <c r="C10" s="5"/>
      <c r="D10" s="5"/>
      <c r="E10" s="5"/>
      <c r="F10" s="5"/>
      <c r="G10" s="5"/>
      <c r="H10" s="22"/>
      <c r="I10" s="5"/>
      <c r="J10" s="26"/>
      <c r="L10" s="22"/>
      <c r="M10" s="5"/>
      <c r="N10" s="5"/>
      <c r="O10" s="5"/>
      <c r="P10" s="22"/>
      <c r="Q10" s="22"/>
      <c r="R10" s="22"/>
      <c r="S10" s="22"/>
      <c r="T10" s="22"/>
    </row>
    <row r="11" spans="1:20" x14ac:dyDescent="0.2">
      <c r="A11" s="5">
        <v>20</v>
      </c>
      <c r="C11" s="5"/>
      <c r="D11" s="5"/>
      <c r="E11" s="5"/>
      <c r="F11" s="5"/>
      <c r="G11" s="5"/>
      <c r="H11" s="22"/>
      <c r="I11" s="5"/>
      <c r="J11" s="26"/>
      <c r="L11" s="22"/>
      <c r="M11" s="5"/>
      <c r="N11" s="5"/>
      <c r="O11" s="5"/>
      <c r="P11" s="22"/>
      <c r="Q11" s="22"/>
      <c r="R11" s="22"/>
      <c r="S11" s="22"/>
      <c r="T11" s="22"/>
    </row>
    <row r="12" spans="1:20" x14ac:dyDescent="0.2">
      <c r="A12" s="5">
        <v>21</v>
      </c>
      <c r="C12" s="5"/>
      <c r="D12" s="5"/>
      <c r="E12" s="5"/>
      <c r="F12" s="5"/>
      <c r="G12" s="5"/>
      <c r="H12" s="22"/>
      <c r="I12" s="5"/>
      <c r="J12" s="26"/>
      <c r="L12" s="22"/>
      <c r="M12" s="5"/>
      <c r="N12" s="5"/>
      <c r="O12" s="5"/>
      <c r="P12" s="22"/>
      <c r="Q12" s="22"/>
      <c r="R12" s="22"/>
      <c r="S12" s="22"/>
      <c r="T12" s="22"/>
    </row>
    <row r="13" spans="1:20" x14ac:dyDescent="0.2">
      <c r="A13" s="5">
        <v>22</v>
      </c>
      <c r="C13" s="5"/>
      <c r="D13" s="5"/>
      <c r="E13" s="5"/>
      <c r="F13" s="5"/>
      <c r="G13" s="5"/>
      <c r="H13" s="22"/>
      <c r="I13" s="5"/>
      <c r="J13" s="26"/>
      <c r="L13" s="22"/>
      <c r="M13" s="5"/>
      <c r="N13" s="5"/>
      <c r="O13" s="5"/>
      <c r="P13" s="22"/>
      <c r="Q13" s="22"/>
      <c r="R13" s="22"/>
      <c r="S13" s="22"/>
      <c r="T13" s="22"/>
    </row>
    <row r="14" spans="1:20" x14ac:dyDescent="0.2">
      <c r="A14" s="5">
        <v>23</v>
      </c>
      <c r="B14" s="1">
        <v>1</v>
      </c>
      <c r="C14" s="5">
        <f>0.1*Grade17!C14</f>
        <v>3781.3569066480522</v>
      </c>
      <c r="D14" s="5">
        <f t="shared" ref="D14:D36" si="0">IF(A14&lt;startage,1,0)*(C14*(1-initialunempprob))+IF(A14=startage,1,0)*(C14*(1-unempprob))+IF(A14&gt;startage,1,0)*(C14*(1-unempprob)+unempprob*300*52)</f>
        <v>3599.8517751289455</v>
      </c>
      <c r="E14" s="5">
        <f t="shared" ref="E14:E56" si="1">IF(D14-9500&gt;0,1,0)*(D14-9500)</f>
        <v>0</v>
      </c>
      <c r="F14" s="5">
        <f t="shared" ref="F14:F56" si="2">IF(E14&lt;=8500,1,0)*(0.1*E14+0.1*E14+0.0765*D14)+IF(AND(E14&gt;8500,E14&lt;=34500),1,0)*(850+0.15*(E14-8500)+0.1*E14+0.0765*D14)+IF(AND(E14&gt;34500,E14&lt;=83600),1,0)*(4750+0.25*(E14-34500)+0.1*E14+0.0765*D14)+IF(AND(E14&gt;83600,E14&lt;=174400,D14&lt;=106800),1,0)*(17025+0.28*(E14-83600)+0.1*E14+0.0765*D14)+IF(AND(E14&gt;83600,E14&lt;=174400,D14&gt;106800),1,0)*(17025+0.28*(E14-83600)+0.1*E14+8170.2+0.0145*(D14-106800))+IF(AND(E14&gt;174400,E14&lt;=379150),1,0)*(42449+0.33*(E14-174400)+0.1*E14+8170.2+0.0145*(D14-106800))+IF(E14&gt;379150,1,0)*(110016.5+0.35*(E14-379150)+0.1*E14+8170.2+0.0145*(D14-106800))</f>
        <v>275.38866079736431</v>
      </c>
      <c r="G14" s="5">
        <f t="shared" ref="G14:G56" si="3">D14-F14</f>
        <v>3324.463114331581</v>
      </c>
      <c r="H14" s="22">
        <f>0.1*Grade17!H14</f>
        <v>1655.1925835908603</v>
      </c>
      <c r="I14" s="5">
        <f t="shared" ref="I14:I36" si="4">G14+IF(A14&lt;startage,1,0)*(H14*(1-initialunempprob))+IF(A14&gt;=startage,1,0)*(H14*(1-unempprob))</f>
        <v>4900.2064539100802</v>
      </c>
      <c r="J14" s="26">
        <f t="shared" ref="J14:J56" si="5">(F14-(IF(A14&gt;startage,1,0)*(unempprob*300*52)))/(IF(A14&lt;startage,1,0)*((C14+H14)*(1-initialunempprob))+IF(A14&gt;=startage,1,0)*((C14+H14)*(1-unempprob)))</f>
        <v>5.3209081215567791E-2</v>
      </c>
      <c r="L14" s="22">
        <f>0.1*Grade17!L14</f>
        <v>3931.2705019276091</v>
      </c>
      <c r="M14" s="5">
        <f>scrimecost*Meta!O11</f>
        <v>11916.800000000001</v>
      </c>
      <c r="N14" s="5">
        <f>L14-Grade17!L14</f>
        <v>-35381.434517348476</v>
      </c>
      <c r="O14" s="5"/>
      <c r="P14" s="22"/>
      <c r="Q14" s="22">
        <f>0.05*feel*Grade17!G14</f>
        <v>378.63002387690835</v>
      </c>
      <c r="R14" s="22">
        <f>coltuition</f>
        <v>8279</v>
      </c>
      <c r="S14" s="22">
        <f t="shared" ref="S14:S45" si="6">IF(A14&lt;startage,1,0)*(N14-Q14-R14)+IF(A14&gt;=startage,1,0)*completionprob*(N14*spart+O14+P14)</f>
        <v>-44039.064541225387</v>
      </c>
      <c r="T14" s="22">
        <f t="shared" ref="T14:T45" si="7">S14/sreturn^(A14-startage+1)</f>
        <v>-44039.064541225387</v>
      </c>
    </row>
    <row r="15" spans="1:20" x14ac:dyDescent="0.2">
      <c r="A15" s="5">
        <v>24</v>
      </c>
      <c r="B15" s="1">
        <f t="shared" ref="B15:B36" si="8">(1+experiencepremium)^(A15-startage)</f>
        <v>1</v>
      </c>
      <c r="C15" s="5">
        <f t="shared" ref="C15:C36" si="9">pretaxincome*B15/expnorm</f>
        <v>44447.234244752857</v>
      </c>
      <c r="D15" s="5">
        <f t="shared" si="0"/>
        <v>42491.555937983729</v>
      </c>
      <c r="E15" s="5">
        <f t="shared" si="1"/>
        <v>32991.555937983729</v>
      </c>
      <c r="F15" s="5">
        <f t="shared" si="2"/>
        <v>11073.493013751688</v>
      </c>
      <c r="G15" s="5">
        <f t="shared" si="3"/>
        <v>31418.062924232043</v>
      </c>
      <c r="H15" s="22">
        <f t="shared" ref="H15:H36" si="10">benefits*B15/expnorm</f>
        <v>18973.27905691963</v>
      </c>
      <c r="I15" s="5">
        <f t="shared" si="4"/>
        <v>49556.517702647208</v>
      </c>
      <c r="J15" s="26">
        <f t="shared" si="5"/>
        <v>0.18264045945082746</v>
      </c>
      <c r="L15" s="22">
        <f t="shared" ref="L15:L36" si="11">(sincome+sbenefits)*(1-sunemp)*B15/expnorm</f>
        <v>40621.680328778624</v>
      </c>
      <c r="M15" s="5">
        <f>scrimecost*Meta!O12</f>
        <v>11367.51</v>
      </c>
      <c r="N15" s="5">
        <f>L15-Grade17!L15</f>
        <v>326.15768402063986</v>
      </c>
      <c r="O15" s="5">
        <f>Grade17!M15-M15</f>
        <v>0</v>
      </c>
      <c r="P15" s="22">
        <f t="shared" ref="P15:P56" si="12">(spart-initialspart)*(L15*J15+nptrans)</f>
        <v>0</v>
      </c>
      <c r="Q15" s="22"/>
      <c r="R15" s="22"/>
      <c r="S15" s="22">
        <f t="shared" si="6"/>
        <v>70.088024719195303</v>
      </c>
      <c r="T15" s="22">
        <f t="shared" si="7"/>
        <v>75.411757744124046</v>
      </c>
    </row>
    <row r="16" spans="1:20" x14ac:dyDescent="0.2">
      <c r="A16" s="5">
        <v>25</v>
      </c>
      <c r="B16" s="1">
        <f t="shared" si="8"/>
        <v>1.0249999999999999</v>
      </c>
      <c r="C16" s="5">
        <f t="shared" si="9"/>
        <v>45558.41510087168</v>
      </c>
      <c r="D16" s="5">
        <f t="shared" si="0"/>
        <v>44240.244836433325</v>
      </c>
      <c r="E16" s="5">
        <f t="shared" si="1"/>
        <v>34740.244836433325</v>
      </c>
      <c r="F16" s="5">
        <f t="shared" si="2"/>
        <v>11668.464422738813</v>
      </c>
      <c r="G16" s="5">
        <f t="shared" si="3"/>
        <v>32571.780413694512</v>
      </c>
      <c r="H16" s="22">
        <f t="shared" si="10"/>
        <v>19447.611033342622</v>
      </c>
      <c r="I16" s="5">
        <f t="shared" si="4"/>
        <v>51163.696561570061</v>
      </c>
      <c r="J16" s="26">
        <f t="shared" si="5"/>
        <v>0.17671461816215694</v>
      </c>
      <c r="L16" s="22">
        <f t="shared" si="11"/>
        <v>41637.222336998086</v>
      </c>
      <c r="M16" s="5">
        <f>scrimecost*Meta!O13</f>
        <v>9463.6149999999998</v>
      </c>
      <c r="N16" s="5">
        <f>L16-Grade17!L16</f>
        <v>334.31162612114713</v>
      </c>
      <c r="O16" s="5">
        <f>Grade17!M16-M16</f>
        <v>0</v>
      </c>
      <c r="P16" s="22">
        <f t="shared" si="12"/>
        <v>0</v>
      </c>
      <c r="Q16" s="22"/>
      <c r="R16" s="22"/>
      <c r="S16" s="22">
        <f t="shared" si="6"/>
        <v>71.840225337173308</v>
      </c>
      <c r="T16" s="22">
        <f t="shared" si="7"/>
        <v>83.168366629874768</v>
      </c>
    </row>
    <row r="17" spans="1:20" x14ac:dyDescent="0.2">
      <c r="A17" s="5">
        <v>26</v>
      </c>
      <c r="B17" s="1">
        <f t="shared" si="8"/>
        <v>1.0506249999999999</v>
      </c>
      <c r="C17" s="5">
        <f t="shared" si="9"/>
        <v>46697.375478393464</v>
      </c>
      <c r="D17" s="5">
        <f t="shared" si="0"/>
        <v>45329.090957344153</v>
      </c>
      <c r="E17" s="5">
        <f t="shared" si="1"/>
        <v>35829.090957344153</v>
      </c>
      <c r="F17" s="5">
        <f t="shared" si="2"/>
        <v>12132.857293307283</v>
      </c>
      <c r="G17" s="5">
        <f t="shared" si="3"/>
        <v>33196.233664036874</v>
      </c>
      <c r="H17" s="22">
        <f t="shared" si="10"/>
        <v>19933.801309176186</v>
      </c>
      <c r="I17" s="5">
        <f t="shared" si="4"/>
        <v>52252.947715609305</v>
      </c>
      <c r="J17" s="26">
        <f t="shared" si="5"/>
        <v>0.17969488555984187</v>
      </c>
      <c r="L17" s="22">
        <f t="shared" si="11"/>
        <v>42678.152895423045</v>
      </c>
      <c r="M17" s="5">
        <f>scrimecost*Meta!O14</f>
        <v>9463.6149999999998</v>
      </c>
      <c r="N17" s="5">
        <f>L17-Grade17!L17</f>
        <v>342.66941677418072</v>
      </c>
      <c r="O17" s="5">
        <f>Grade17!M17-M17</f>
        <v>0</v>
      </c>
      <c r="P17" s="22">
        <f t="shared" si="12"/>
        <v>0</v>
      </c>
      <c r="Q17" s="22"/>
      <c r="R17" s="22"/>
      <c r="S17" s="22">
        <f t="shared" si="6"/>
        <v>73.636230970603691</v>
      </c>
      <c r="T17" s="22">
        <f t="shared" si="7"/>
        <v>91.722795155514149</v>
      </c>
    </row>
    <row r="18" spans="1:20" x14ac:dyDescent="0.2">
      <c r="A18" s="5">
        <v>27</v>
      </c>
      <c r="B18" s="1">
        <f t="shared" si="8"/>
        <v>1.0768906249999999</v>
      </c>
      <c r="C18" s="5">
        <f t="shared" si="9"/>
        <v>47864.809865353302</v>
      </c>
      <c r="D18" s="5">
        <f t="shared" si="0"/>
        <v>46445.158231277754</v>
      </c>
      <c r="E18" s="5">
        <f t="shared" si="1"/>
        <v>36945.158231277754</v>
      </c>
      <c r="F18" s="5">
        <f t="shared" si="2"/>
        <v>12608.859985639963</v>
      </c>
      <c r="G18" s="5">
        <f t="shared" si="3"/>
        <v>33836.298245637794</v>
      </c>
      <c r="H18" s="22">
        <f t="shared" si="10"/>
        <v>20432.146341905591</v>
      </c>
      <c r="I18" s="5">
        <f t="shared" si="4"/>
        <v>53369.430148499538</v>
      </c>
      <c r="J18" s="26">
        <f t="shared" si="5"/>
        <v>0.18260246350880271</v>
      </c>
      <c r="L18" s="22">
        <f t="shared" si="11"/>
        <v>43745.106717808616</v>
      </c>
      <c r="M18" s="5">
        <f>scrimecost*Meta!O15</f>
        <v>9463.6149999999998</v>
      </c>
      <c r="N18" s="5">
        <f>L18-Grade17!L18</f>
        <v>351.23615219353815</v>
      </c>
      <c r="O18" s="5">
        <f>Grade17!M18-M18</f>
        <v>0</v>
      </c>
      <c r="P18" s="22">
        <f t="shared" si="12"/>
        <v>0</v>
      </c>
      <c r="Q18" s="22"/>
      <c r="R18" s="22"/>
      <c r="S18" s="22">
        <f t="shared" si="6"/>
        <v>75.477136744869398</v>
      </c>
      <c r="T18" s="22">
        <f t="shared" si="7"/>
        <v>101.15710446233909</v>
      </c>
    </row>
    <row r="19" spans="1:20" x14ac:dyDescent="0.2">
      <c r="A19" s="5">
        <v>28</v>
      </c>
      <c r="B19" s="1">
        <f t="shared" si="8"/>
        <v>1.1038128906249998</v>
      </c>
      <c r="C19" s="5">
        <f t="shared" si="9"/>
        <v>49061.430111987131</v>
      </c>
      <c r="D19" s="5">
        <f t="shared" si="0"/>
        <v>47589.127187059697</v>
      </c>
      <c r="E19" s="5">
        <f t="shared" si="1"/>
        <v>38089.127187059697</v>
      </c>
      <c r="F19" s="5">
        <f t="shared" si="2"/>
        <v>13096.762745280961</v>
      </c>
      <c r="G19" s="5">
        <f t="shared" si="3"/>
        <v>34492.364441778736</v>
      </c>
      <c r="H19" s="22">
        <f t="shared" si="10"/>
        <v>20942.950000453227</v>
      </c>
      <c r="I19" s="5">
        <f t="shared" si="4"/>
        <v>54513.824642212021</v>
      </c>
      <c r="J19" s="26">
        <f t="shared" si="5"/>
        <v>0.18543912492242309</v>
      </c>
      <c r="L19" s="22">
        <f t="shared" si="11"/>
        <v>44838.734385753829</v>
      </c>
      <c r="M19" s="5">
        <f>scrimecost*Meta!O16</f>
        <v>9463.6149999999998</v>
      </c>
      <c r="N19" s="5">
        <f>L19-Grade17!L19</f>
        <v>360.01705599837442</v>
      </c>
      <c r="O19" s="5">
        <f>Grade17!M19-M19</f>
        <v>0</v>
      </c>
      <c r="P19" s="22">
        <f t="shared" si="12"/>
        <v>0</v>
      </c>
      <c r="Q19" s="22"/>
      <c r="R19" s="22"/>
      <c r="S19" s="22">
        <f t="shared" si="6"/>
        <v>77.364065163490665</v>
      </c>
      <c r="T19" s="22">
        <f t="shared" si="7"/>
        <v>111.56179623456744</v>
      </c>
    </row>
    <row r="20" spans="1:20" x14ac:dyDescent="0.2">
      <c r="A20" s="5">
        <v>29</v>
      </c>
      <c r="B20" s="1">
        <f t="shared" si="8"/>
        <v>1.1314082128906247</v>
      </c>
      <c r="C20" s="5">
        <f t="shared" si="9"/>
        <v>50287.965864786813</v>
      </c>
      <c r="D20" s="5">
        <f t="shared" si="0"/>
        <v>48761.695366736196</v>
      </c>
      <c r="E20" s="5">
        <f t="shared" si="1"/>
        <v>39261.695366736196</v>
      </c>
      <c r="F20" s="5">
        <f t="shared" si="2"/>
        <v>13596.863073912988</v>
      </c>
      <c r="G20" s="5">
        <f t="shared" si="3"/>
        <v>35164.832292823208</v>
      </c>
      <c r="H20" s="22">
        <f t="shared" si="10"/>
        <v>21466.523750464556</v>
      </c>
      <c r="I20" s="5">
        <f t="shared" si="4"/>
        <v>55686.828998267323</v>
      </c>
      <c r="J20" s="26">
        <f t="shared" si="5"/>
        <v>0.18820659947229662</v>
      </c>
      <c r="L20" s="22">
        <f t="shared" si="11"/>
        <v>45959.70274539767</v>
      </c>
      <c r="M20" s="5">
        <f>scrimecost*Meta!O17</f>
        <v>9463.6149999999998</v>
      </c>
      <c r="N20" s="5">
        <f>L20-Grade17!L20</f>
        <v>369.01748239833978</v>
      </c>
      <c r="O20" s="5">
        <f>Grade17!M20-M20</f>
        <v>0</v>
      </c>
      <c r="P20" s="22">
        <f t="shared" si="12"/>
        <v>0</v>
      </c>
      <c r="Q20" s="22"/>
      <c r="R20" s="22"/>
      <c r="S20" s="22">
        <f t="shared" si="6"/>
        <v>79.298166792579224</v>
      </c>
      <c r="T20" s="22">
        <f t="shared" si="7"/>
        <v>123.0366808662173</v>
      </c>
    </row>
    <row r="21" spans="1:20" x14ac:dyDescent="0.2">
      <c r="A21" s="5">
        <v>30</v>
      </c>
      <c r="B21" s="1">
        <f t="shared" si="8"/>
        <v>1.1596934182128902</v>
      </c>
      <c r="C21" s="5">
        <f t="shared" si="9"/>
        <v>51545.165011406476</v>
      </c>
      <c r="D21" s="5">
        <f t="shared" si="0"/>
        <v>49963.577750904587</v>
      </c>
      <c r="E21" s="5">
        <f t="shared" si="1"/>
        <v>40463.577750904587</v>
      </c>
      <c r="F21" s="5">
        <f t="shared" si="2"/>
        <v>14109.465910760806</v>
      </c>
      <c r="G21" s="5">
        <f t="shared" si="3"/>
        <v>35854.111840143785</v>
      </c>
      <c r="H21" s="22">
        <f t="shared" si="10"/>
        <v>22003.186844226169</v>
      </c>
      <c r="I21" s="5">
        <f t="shared" si="4"/>
        <v>56889.158463223997</v>
      </c>
      <c r="J21" s="26">
        <f t="shared" si="5"/>
        <v>0.19090657464290489</v>
      </c>
      <c r="L21" s="22">
        <f t="shared" si="11"/>
        <v>47108.695314032608</v>
      </c>
      <c r="M21" s="5">
        <f>scrimecost*Meta!O18</f>
        <v>7797.125</v>
      </c>
      <c r="N21" s="5">
        <f>L21-Grade17!L21</f>
        <v>378.24291945828736</v>
      </c>
      <c r="O21" s="5">
        <f>Grade17!M21-M21</f>
        <v>0</v>
      </c>
      <c r="P21" s="22">
        <f t="shared" si="12"/>
        <v>0</v>
      </c>
      <c r="Q21" s="22"/>
      <c r="R21" s="22"/>
      <c r="S21" s="22">
        <f t="shared" si="6"/>
        <v>81.280620962391367</v>
      </c>
      <c r="T21" s="22">
        <f t="shared" si="7"/>
        <v>135.69183492479664</v>
      </c>
    </row>
    <row r="22" spans="1:20" x14ac:dyDescent="0.2">
      <c r="A22" s="5">
        <v>31</v>
      </c>
      <c r="B22" s="1">
        <f t="shared" si="8"/>
        <v>1.1886857536682125</v>
      </c>
      <c r="C22" s="5">
        <f t="shared" si="9"/>
        <v>52833.794136691635</v>
      </c>
      <c r="D22" s="5">
        <f t="shared" si="0"/>
        <v>51195.5071946772</v>
      </c>
      <c r="E22" s="5">
        <f t="shared" si="1"/>
        <v>41695.5071946772</v>
      </c>
      <c r="F22" s="5">
        <f t="shared" si="2"/>
        <v>14634.883818529826</v>
      </c>
      <c r="G22" s="5">
        <f t="shared" si="3"/>
        <v>36560.62337614737</v>
      </c>
      <c r="H22" s="22">
        <f t="shared" si="10"/>
        <v>22553.266515331823</v>
      </c>
      <c r="I22" s="5">
        <f t="shared" si="4"/>
        <v>58121.546164804589</v>
      </c>
      <c r="J22" s="26">
        <f t="shared" si="5"/>
        <v>0.19354069676057156</v>
      </c>
      <c r="L22" s="22">
        <f t="shared" si="11"/>
        <v>48286.412696883432</v>
      </c>
      <c r="M22" s="5">
        <f>scrimecost*Meta!O19</f>
        <v>7797.125</v>
      </c>
      <c r="N22" s="5">
        <f>L22-Grade17!L22</f>
        <v>387.69899244476255</v>
      </c>
      <c r="O22" s="5">
        <f>Grade17!M22-M22</f>
        <v>0</v>
      </c>
      <c r="P22" s="22">
        <f t="shared" si="12"/>
        <v>0</v>
      </c>
      <c r="Q22" s="22"/>
      <c r="R22" s="22"/>
      <c r="S22" s="22">
        <f t="shared" si="6"/>
        <v>83.31263648645502</v>
      </c>
      <c r="T22" s="22">
        <f t="shared" si="7"/>
        <v>149.64865709665921</v>
      </c>
    </row>
    <row r="23" spans="1:20" x14ac:dyDescent="0.2">
      <c r="A23" s="5">
        <v>32</v>
      </c>
      <c r="B23" s="1">
        <f t="shared" si="8"/>
        <v>1.2184028975099177</v>
      </c>
      <c r="C23" s="5">
        <f t="shared" si="9"/>
        <v>54154.638990108928</v>
      </c>
      <c r="D23" s="5">
        <f t="shared" si="0"/>
        <v>52458.234874544134</v>
      </c>
      <c r="E23" s="5">
        <f t="shared" si="1"/>
        <v>42958.234874544134</v>
      </c>
      <c r="F23" s="5">
        <f t="shared" si="2"/>
        <v>15173.437173993072</v>
      </c>
      <c r="G23" s="5">
        <f t="shared" si="3"/>
        <v>37284.797700551062</v>
      </c>
      <c r="H23" s="22">
        <f t="shared" si="10"/>
        <v>23117.098178215118</v>
      </c>
      <c r="I23" s="5">
        <f t="shared" si="4"/>
        <v>59384.743558924718</v>
      </c>
      <c r="J23" s="26">
        <f t="shared" si="5"/>
        <v>0.19611057199731949</v>
      </c>
      <c r="L23" s="22">
        <f t="shared" si="11"/>
        <v>49493.573014305504</v>
      </c>
      <c r="M23" s="5">
        <f>scrimecost*Meta!O20</f>
        <v>7797.125</v>
      </c>
      <c r="N23" s="5">
        <f>L23-Grade17!L23</f>
        <v>397.39146725587489</v>
      </c>
      <c r="O23" s="5">
        <f>Grade17!M23-M23</f>
        <v>0</v>
      </c>
      <c r="P23" s="22">
        <f t="shared" si="12"/>
        <v>0</v>
      </c>
      <c r="Q23" s="22"/>
      <c r="R23" s="22"/>
      <c r="S23" s="22">
        <f t="shared" si="6"/>
        <v>85.39545239861495</v>
      </c>
      <c r="T23" s="22">
        <f t="shared" si="7"/>
        <v>165.04103274337552</v>
      </c>
    </row>
    <row r="24" spans="1:20" x14ac:dyDescent="0.2">
      <c r="A24" s="5">
        <v>33</v>
      </c>
      <c r="B24" s="1">
        <f t="shared" si="8"/>
        <v>1.2488629699476654</v>
      </c>
      <c r="C24" s="5">
        <f t="shared" si="9"/>
        <v>55508.504964861633</v>
      </c>
      <c r="D24" s="5">
        <f t="shared" si="0"/>
        <v>53752.53074640772</v>
      </c>
      <c r="E24" s="5">
        <f t="shared" si="1"/>
        <v>44252.53074640772</v>
      </c>
      <c r="F24" s="5">
        <f t="shared" si="2"/>
        <v>15725.454363342891</v>
      </c>
      <c r="G24" s="5">
        <f t="shared" si="3"/>
        <v>38027.076383064828</v>
      </c>
      <c r="H24" s="22">
        <f t="shared" si="10"/>
        <v>23695.025632670491</v>
      </c>
      <c r="I24" s="5">
        <f t="shared" si="4"/>
        <v>60679.520887897816</v>
      </c>
      <c r="J24" s="26">
        <f t="shared" si="5"/>
        <v>0.19861776735024428</v>
      </c>
      <c r="L24" s="22">
        <f t="shared" si="11"/>
        <v>50730.912339663133</v>
      </c>
      <c r="M24" s="5">
        <f>scrimecost*Meta!O21</f>
        <v>7797.125</v>
      </c>
      <c r="N24" s="5">
        <f>L24-Grade17!L24</f>
        <v>407.32625393725903</v>
      </c>
      <c r="O24" s="5">
        <f>Grade17!M24-M24</f>
        <v>0</v>
      </c>
      <c r="P24" s="22">
        <f t="shared" si="12"/>
        <v>0</v>
      </c>
      <c r="Q24" s="22"/>
      <c r="R24" s="22"/>
      <c r="S24" s="22">
        <f t="shared" si="6"/>
        <v>87.530338708577588</v>
      </c>
      <c r="T24" s="22">
        <f t="shared" si="7"/>
        <v>182.01661824072355</v>
      </c>
    </row>
    <row r="25" spans="1:20" x14ac:dyDescent="0.2">
      <c r="A25" s="5">
        <v>34</v>
      </c>
      <c r="B25" s="1">
        <f t="shared" si="8"/>
        <v>1.2800845441963571</v>
      </c>
      <c r="C25" s="5">
        <f t="shared" si="9"/>
        <v>56896.217588983178</v>
      </c>
      <c r="D25" s="5">
        <f t="shared" si="0"/>
        <v>55079.18401506792</v>
      </c>
      <c r="E25" s="5">
        <f t="shared" si="1"/>
        <v>45579.18401506792</v>
      </c>
      <c r="F25" s="5">
        <f t="shared" si="2"/>
        <v>16291.271982426468</v>
      </c>
      <c r="G25" s="5">
        <f t="shared" si="3"/>
        <v>38787.912032641456</v>
      </c>
      <c r="H25" s="22">
        <f t="shared" si="10"/>
        <v>24287.401273487252</v>
      </c>
      <c r="I25" s="5">
        <f t="shared" si="4"/>
        <v>62006.667650095267</v>
      </c>
      <c r="J25" s="26">
        <f t="shared" si="5"/>
        <v>0.20106381159700026</v>
      </c>
      <c r="L25" s="22">
        <f t="shared" si="11"/>
        <v>51999.185148154713</v>
      </c>
      <c r="M25" s="5">
        <f>scrimecost*Meta!O22</f>
        <v>7797.125</v>
      </c>
      <c r="N25" s="5">
        <f>L25-Grade17!L25</f>
        <v>417.5094102856965</v>
      </c>
      <c r="O25" s="5">
        <f>Grade17!M25-M25</f>
        <v>0</v>
      </c>
      <c r="P25" s="22">
        <f t="shared" si="12"/>
        <v>0</v>
      </c>
      <c r="Q25" s="22"/>
      <c r="R25" s="22"/>
      <c r="S25" s="22">
        <f t="shared" si="6"/>
        <v>89.718597176293315</v>
      </c>
      <c r="T25" s="22">
        <f t="shared" si="7"/>
        <v>200.73825742053586</v>
      </c>
    </row>
    <row r="26" spans="1:20" x14ac:dyDescent="0.2">
      <c r="A26" s="5">
        <v>35</v>
      </c>
      <c r="B26" s="1">
        <f t="shared" si="8"/>
        <v>1.312086657801266</v>
      </c>
      <c r="C26" s="5">
        <f t="shared" si="9"/>
        <v>58318.623028707756</v>
      </c>
      <c r="D26" s="5">
        <f t="shared" si="0"/>
        <v>56439.003615444613</v>
      </c>
      <c r="E26" s="5">
        <f t="shared" si="1"/>
        <v>46939.003615444613</v>
      </c>
      <c r="F26" s="5">
        <f t="shared" si="2"/>
        <v>16871.235041987129</v>
      </c>
      <c r="G26" s="5">
        <f t="shared" si="3"/>
        <v>39567.768573457484</v>
      </c>
      <c r="H26" s="22">
        <f t="shared" si="10"/>
        <v>24894.586305324436</v>
      </c>
      <c r="I26" s="5">
        <f t="shared" si="4"/>
        <v>63366.993081347639</v>
      </c>
      <c r="J26" s="26">
        <f t="shared" si="5"/>
        <v>0.20345019622798169</v>
      </c>
      <c r="L26" s="22">
        <f t="shared" si="11"/>
        <v>53299.164776858583</v>
      </c>
      <c r="M26" s="5">
        <f>scrimecost*Meta!O23</f>
        <v>5893.2300000000005</v>
      </c>
      <c r="N26" s="5">
        <f>L26-Grade17!L26</f>
        <v>427.94714554284292</v>
      </c>
      <c r="O26" s="5">
        <f>Grade17!M26-M26</f>
        <v>0</v>
      </c>
      <c r="P26" s="22">
        <f t="shared" si="12"/>
        <v>0</v>
      </c>
      <c r="Q26" s="22"/>
      <c r="R26" s="22"/>
      <c r="S26" s="22">
        <f t="shared" si="6"/>
        <v>91.961562105701503</v>
      </c>
      <c r="T26" s="22">
        <f t="shared" si="7"/>
        <v>221.38554370316018</v>
      </c>
    </row>
    <row r="27" spans="1:20" x14ac:dyDescent="0.2">
      <c r="A27" s="5">
        <v>36</v>
      </c>
      <c r="B27" s="1">
        <f t="shared" si="8"/>
        <v>1.3448888242462975</v>
      </c>
      <c r="C27" s="5">
        <f t="shared" si="9"/>
        <v>59776.588604425444</v>
      </c>
      <c r="D27" s="5">
        <f t="shared" si="0"/>
        <v>57832.818705830723</v>
      </c>
      <c r="E27" s="5">
        <f t="shared" si="1"/>
        <v>48332.818705830723</v>
      </c>
      <c r="F27" s="5">
        <f t="shared" si="2"/>
        <v>17465.697178036804</v>
      </c>
      <c r="G27" s="5">
        <f t="shared" si="3"/>
        <v>40367.121527793919</v>
      </c>
      <c r="H27" s="22">
        <f t="shared" si="10"/>
        <v>25516.950962957544</v>
      </c>
      <c r="I27" s="5">
        <f t="shared" si="4"/>
        <v>64761.326648381335</v>
      </c>
      <c r="J27" s="26">
        <f t="shared" si="5"/>
        <v>0.20577837635576834</v>
      </c>
      <c r="L27" s="22">
        <f t="shared" si="11"/>
        <v>54631.643896280038</v>
      </c>
      <c r="M27" s="5">
        <f>scrimecost*Meta!O24</f>
        <v>5893.2300000000005</v>
      </c>
      <c r="N27" s="5">
        <f>L27-Grade17!L27</f>
        <v>438.64582418140344</v>
      </c>
      <c r="O27" s="5">
        <f>Grade17!M27-M27</f>
        <v>0</v>
      </c>
      <c r="P27" s="22">
        <f t="shared" si="12"/>
        <v>0</v>
      </c>
      <c r="Q27" s="22"/>
      <c r="R27" s="22"/>
      <c r="S27" s="22">
        <f t="shared" si="6"/>
        <v>94.260601158341785</v>
      </c>
      <c r="T27" s="22">
        <f t="shared" si="7"/>
        <v>244.15654290584794</v>
      </c>
    </row>
    <row r="28" spans="1:20" x14ac:dyDescent="0.2">
      <c r="A28" s="5">
        <v>37</v>
      </c>
      <c r="B28" s="1">
        <f t="shared" si="8"/>
        <v>1.3785110448524549</v>
      </c>
      <c r="C28" s="5">
        <f t="shared" si="9"/>
        <v>61271.003319536081</v>
      </c>
      <c r="D28" s="5">
        <f t="shared" si="0"/>
        <v>59261.479173476495</v>
      </c>
      <c r="E28" s="5">
        <f t="shared" si="1"/>
        <v>49761.479173476495</v>
      </c>
      <c r="F28" s="5">
        <f t="shared" si="2"/>
        <v>18075.020867487725</v>
      </c>
      <c r="G28" s="5">
        <f t="shared" si="3"/>
        <v>41186.458305988766</v>
      </c>
      <c r="H28" s="22">
        <f t="shared" si="10"/>
        <v>26154.874737031481</v>
      </c>
      <c r="I28" s="5">
        <f t="shared" si="4"/>
        <v>66190.518554590861</v>
      </c>
      <c r="J28" s="26">
        <f t="shared" si="5"/>
        <v>0.20804977160238955</v>
      </c>
      <c r="L28" s="22">
        <f t="shared" si="11"/>
        <v>55997.434993687035</v>
      </c>
      <c r="M28" s="5">
        <f>scrimecost*Meta!O25</f>
        <v>5893.2300000000005</v>
      </c>
      <c r="N28" s="5">
        <f>L28-Grade17!L28</f>
        <v>449.61196978594671</v>
      </c>
      <c r="O28" s="5">
        <f>Grade17!M28-M28</f>
        <v>0</v>
      </c>
      <c r="P28" s="22">
        <f t="shared" si="12"/>
        <v>0</v>
      </c>
      <c r="Q28" s="22"/>
      <c r="R28" s="22"/>
      <c r="S28" s="22">
        <f t="shared" si="6"/>
        <v>96.617116187302088</v>
      </c>
      <c r="T28" s="22">
        <f t="shared" si="7"/>
        <v>269.2696932536283</v>
      </c>
    </row>
    <row r="29" spans="1:20" x14ac:dyDescent="0.2">
      <c r="A29" s="5">
        <v>38</v>
      </c>
      <c r="B29" s="1">
        <f t="shared" si="8"/>
        <v>1.4129738209737661</v>
      </c>
      <c r="C29" s="5">
        <f t="shared" si="9"/>
        <v>62802.778402524469</v>
      </c>
      <c r="D29" s="5">
        <f t="shared" si="0"/>
        <v>60725.856152813394</v>
      </c>
      <c r="E29" s="5">
        <f t="shared" si="1"/>
        <v>51225.856152813394</v>
      </c>
      <c r="F29" s="5">
        <f t="shared" si="2"/>
        <v>18699.577649174913</v>
      </c>
      <c r="G29" s="5">
        <f t="shared" si="3"/>
        <v>42026.278503638481</v>
      </c>
      <c r="H29" s="22">
        <f t="shared" si="10"/>
        <v>26808.746605457269</v>
      </c>
      <c r="I29" s="5">
        <f t="shared" si="4"/>
        <v>67655.440258455637</v>
      </c>
      <c r="J29" s="26">
        <f t="shared" si="5"/>
        <v>0.21026576696494681</v>
      </c>
      <c r="L29" s="22">
        <f t="shared" si="11"/>
        <v>57397.370868529208</v>
      </c>
      <c r="M29" s="5">
        <f>scrimecost*Meta!O26</f>
        <v>5893.2300000000005</v>
      </c>
      <c r="N29" s="5">
        <f>L29-Grade17!L29</f>
        <v>460.85226903057628</v>
      </c>
      <c r="O29" s="5">
        <f>Grade17!M29-M29</f>
        <v>0</v>
      </c>
      <c r="P29" s="22">
        <f t="shared" si="12"/>
        <v>0</v>
      </c>
      <c r="Q29" s="22"/>
      <c r="R29" s="22"/>
      <c r="S29" s="22">
        <f t="shared" si="6"/>
        <v>99.03254409198054</v>
      </c>
      <c r="T29" s="22">
        <f t="shared" si="7"/>
        <v>296.96590081904435</v>
      </c>
    </row>
    <row r="30" spans="1:20" x14ac:dyDescent="0.2">
      <c r="A30" s="5">
        <v>39</v>
      </c>
      <c r="B30" s="1">
        <f t="shared" si="8"/>
        <v>1.4482981664981105</v>
      </c>
      <c r="C30" s="5">
        <f t="shared" si="9"/>
        <v>64372.847862587594</v>
      </c>
      <c r="D30" s="5">
        <f t="shared" si="0"/>
        <v>62226.842556633739</v>
      </c>
      <c r="E30" s="5">
        <f t="shared" si="1"/>
        <v>52726.842556633739</v>
      </c>
      <c r="F30" s="5">
        <f t="shared" si="2"/>
        <v>19339.74835040429</v>
      </c>
      <c r="G30" s="5">
        <f t="shared" si="3"/>
        <v>42887.094206229449</v>
      </c>
      <c r="H30" s="22">
        <f t="shared" si="10"/>
        <v>27478.965270593704</v>
      </c>
      <c r="I30" s="5">
        <f t="shared" si="4"/>
        <v>69156.98500491702</v>
      </c>
      <c r="J30" s="26">
        <f t="shared" si="5"/>
        <v>0.21242771366012461</v>
      </c>
      <c r="L30" s="22">
        <f t="shared" si="11"/>
        <v>58832.305140242446</v>
      </c>
      <c r="M30" s="5">
        <f>scrimecost*Meta!O27</f>
        <v>5893.2300000000005</v>
      </c>
      <c r="N30" s="5">
        <f>L30-Grade17!L30</f>
        <v>472.3735757563627</v>
      </c>
      <c r="O30" s="5">
        <f>Grade17!M30-M30</f>
        <v>0</v>
      </c>
      <c r="P30" s="22">
        <f t="shared" si="12"/>
        <v>0</v>
      </c>
      <c r="Q30" s="22"/>
      <c r="R30" s="22"/>
      <c r="S30" s="22">
        <f t="shared" si="6"/>
        <v>101.50835769428477</v>
      </c>
      <c r="T30" s="22">
        <f t="shared" si="7"/>
        <v>327.51085049221712</v>
      </c>
    </row>
    <row r="31" spans="1:20" x14ac:dyDescent="0.2">
      <c r="A31" s="5">
        <v>40</v>
      </c>
      <c r="B31" s="1">
        <f t="shared" si="8"/>
        <v>1.4845056206605631</v>
      </c>
      <c r="C31" s="5">
        <f t="shared" si="9"/>
        <v>65982.169059152278</v>
      </c>
      <c r="D31" s="5">
        <f t="shared" si="0"/>
        <v>63765.353620549577</v>
      </c>
      <c r="E31" s="5">
        <f t="shared" si="1"/>
        <v>54265.353620549577</v>
      </c>
      <c r="F31" s="5">
        <f t="shared" si="2"/>
        <v>19995.923319164394</v>
      </c>
      <c r="G31" s="5">
        <f t="shared" si="3"/>
        <v>43769.430301385182</v>
      </c>
      <c r="H31" s="22">
        <f t="shared" si="10"/>
        <v>28165.939402358541</v>
      </c>
      <c r="I31" s="5">
        <f t="shared" si="4"/>
        <v>70696.068370039953</v>
      </c>
      <c r="J31" s="26">
        <f t="shared" si="5"/>
        <v>0.21453692994810297</v>
      </c>
      <c r="L31" s="22">
        <f t="shared" si="11"/>
        <v>60303.112768748506</v>
      </c>
      <c r="M31" s="5">
        <f>scrimecost*Meta!O28</f>
        <v>5264.8050000000003</v>
      </c>
      <c r="N31" s="5">
        <f>L31-Grade17!L31</f>
        <v>484.18291515027522</v>
      </c>
      <c r="O31" s="5">
        <f>Grade17!M31-M31</f>
        <v>0</v>
      </c>
      <c r="P31" s="22">
        <f t="shared" si="12"/>
        <v>0</v>
      </c>
      <c r="Q31" s="22"/>
      <c r="R31" s="22"/>
      <c r="S31" s="22">
        <f t="shared" si="6"/>
        <v>104.04606663664264</v>
      </c>
      <c r="T31" s="22">
        <f t="shared" si="7"/>
        <v>361.19755464952158</v>
      </c>
    </row>
    <row r="32" spans="1:20" x14ac:dyDescent="0.2">
      <c r="A32" s="5">
        <v>41</v>
      </c>
      <c r="B32" s="1">
        <f t="shared" si="8"/>
        <v>1.521618261177077</v>
      </c>
      <c r="C32" s="5">
        <f t="shared" si="9"/>
        <v>67631.723285631073</v>
      </c>
      <c r="D32" s="5">
        <f t="shared" si="0"/>
        <v>65342.327461063302</v>
      </c>
      <c r="E32" s="5">
        <f t="shared" si="1"/>
        <v>55842.327461063302</v>
      </c>
      <c r="F32" s="5">
        <f t="shared" si="2"/>
        <v>20668.502662143499</v>
      </c>
      <c r="G32" s="5">
        <f t="shared" si="3"/>
        <v>44673.824798919799</v>
      </c>
      <c r="H32" s="22">
        <f t="shared" si="10"/>
        <v>28870.0878874175</v>
      </c>
      <c r="I32" s="5">
        <f t="shared" si="4"/>
        <v>72273.628819290927</v>
      </c>
      <c r="J32" s="26">
        <f t="shared" si="5"/>
        <v>0.21659470193637456</v>
      </c>
      <c r="L32" s="22">
        <f t="shared" si="11"/>
        <v>61810.690587967205</v>
      </c>
      <c r="M32" s="5">
        <f>scrimecost*Meta!O29</f>
        <v>5264.8050000000003</v>
      </c>
      <c r="N32" s="5">
        <f>L32-Grade17!L32</f>
        <v>496.28748802901828</v>
      </c>
      <c r="O32" s="5">
        <f>Grade17!M32-M32</f>
        <v>0</v>
      </c>
      <c r="P32" s="22">
        <f t="shared" si="12"/>
        <v>0</v>
      </c>
      <c r="Q32" s="22"/>
      <c r="R32" s="22"/>
      <c r="S32" s="22">
        <f t="shared" si="6"/>
        <v>106.64721830255574</v>
      </c>
      <c r="T32" s="22">
        <f t="shared" si="7"/>
        <v>398.34916397033959</v>
      </c>
    </row>
    <row r="33" spans="1:20" x14ac:dyDescent="0.2">
      <c r="A33" s="5">
        <v>42</v>
      </c>
      <c r="B33" s="1">
        <f t="shared" si="8"/>
        <v>1.559658717706504</v>
      </c>
      <c r="C33" s="5">
        <f t="shared" si="9"/>
        <v>69322.516367771852</v>
      </c>
      <c r="D33" s="5">
        <f t="shared" si="0"/>
        <v>66958.725647589876</v>
      </c>
      <c r="E33" s="5">
        <f t="shared" si="1"/>
        <v>57458.725647589876</v>
      </c>
      <c r="F33" s="5">
        <f t="shared" si="2"/>
        <v>21357.896488697083</v>
      </c>
      <c r="G33" s="5">
        <f t="shared" si="3"/>
        <v>45600.829158892797</v>
      </c>
      <c r="H33" s="22">
        <f t="shared" si="10"/>
        <v>29591.84008460294</v>
      </c>
      <c r="I33" s="5">
        <f t="shared" si="4"/>
        <v>73890.628279773198</v>
      </c>
      <c r="J33" s="26">
        <f t="shared" si="5"/>
        <v>0.21860228436395654</v>
      </c>
      <c r="L33" s="22">
        <f t="shared" si="11"/>
        <v>63355.95785266639</v>
      </c>
      <c r="M33" s="5">
        <f>scrimecost*Meta!O30</f>
        <v>5264.8050000000003</v>
      </c>
      <c r="N33" s="5">
        <f>L33-Grade17!L33</f>
        <v>508.69467522975174</v>
      </c>
      <c r="O33" s="5">
        <f>Grade17!M33-M33</f>
        <v>0</v>
      </c>
      <c r="P33" s="22">
        <f t="shared" si="12"/>
        <v>0</v>
      </c>
      <c r="Q33" s="22"/>
      <c r="R33" s="22"/>
      <c r="S33" s="22">
        <f t="shared" si="6"/>
        <v>109.31339876012133</v>
      </c>
      <c r="T33" s="22">
        <f t="shared" si="7"/>
        <v>439.32206736517986</v>
      </c>
    </row>
    <row r="34" spans="1:20" x14ac:dyDescent="0.2">
      <c r="A34" s="5">
        <v>43</v>
      </c>
      <c r="B34" s="1">
        <f t="shared" si="8"/>
        <v>1.5986501856491666</v>
      </c>
      <c r="C34" s="5">
        <f t="shared" si="9"/>
        <v>71055.579276966149</v>
      </c>
      <c r="D34" s="5">
        <f t="shared" si="0"/>
        <v>68615.533788779634</v>
      </c>
      <c r="E34" s="5">
        <f t="shared" si="1"/>
        <v>59115.533788779634</v>
      </c>
      <c r="F34" s="5">
        <f t="shared" si="2"/>
        <v>22064.525160914516</v>
      </c>
      <c r="G34" s="5">
        <f t="shared" si="3"/>
        <v>46551.008627865114</v>
      </c>
      <c r="H34" s="22">
        <f t="shared" si="10"/>
        <v>30331.636086718012</v>
      </c>
      <c r="I34" s="5">
        <f t="shared" si="4"/>
        <v>75548.052726767535</v>
      </c>
      <c r="J34" s="26">
        <f t="shared" si="5"/>
        <v>0.22056090136647563</v>
      </c>
      <c r="L34" s="22">
        <f t="shared" si="11"/>
        <v>64939.856798983055</v>
      </c>
      <c r="M34" s="5">
        <f>scrimecost*Meta!O31</f>
        <v>5264.8050000000003</v>
      </c>
      <c r="N34" s="5">
        <f>L34-Grade17!L34</f>
        <v>521.41204211050353</v>
      </c>
      <c r="O34" s="5">
        <f>Grade17!M34-M34</f>
        <v>0</v>
      </c>
      <c r="P34" s="22">
        <f t="shared" si="12"/>
        <v>0</v>
      </c>
      <c r="Q34" s="22"/>
      <c r="R34" s="22"/>
      <c r="S34" s="22">
        <f t="shared" si="6"/>
        <v>112.04623372912609</v>
      </c>
      <c r="T34" s="22">
        <f t="shared" si="7"/>
        <v>484.50931075227851</v>
      </c>
    </row>
    <row r="35" spans="1:20" x14ac:dyDescent="0.2">
      <c r="A35" s="5">
        <v>44</v>
      </c>
      <c r="B35" s="1">
        <f t="shared" si="8"/>
        <v>1.6386164402903955</v>
      </c>
      <c r="C35" s="5">
        <f t="shared" si="9"/>
        <v>72831.968758890303</v>
      </c>
      <c r="D35" s="5">
        <f t="shared" si="0"/>
        <v>70313.762133499127</v>
      </c>
      <c r="E35" s="5">
        <f t="shared" si="1"/>
        <v>60813.762133499127</v>
      </c>
      <c r="F35" s="5">
        <f t="shared" si="2"/>
        <v>22788.81954993738</v>
      </c>
      <c r="G35" s="5">
        <f t="shared" si="3"/>
        <v>47524.942583561744</v>
      </c>
      <c r="H35" s="22">
        <f t="shared" si="10"/>
        <v>31089.92698888596</v>
      </c>
      <c r="I35" s="5">
        <f t="shared" si="4"/>
        <v>77246.912784936721</v>
      </c>
      <c r="J35" s="26">
        <f t="shared" si="5"/>
        <v>0.22247174722259183</v>
      </c>
      <c r="L35" s="22">
        <f t="shared" si="11"/>
        <v>66563.353218957622</v>
      </c>
      <c r="M35" s="5">
        <f>scrimecost*Meta!O32</f>
        <v>5264.8050000000003</v>
      </c>
      <c r="N35" s="5">
        <f>L35-Grade17!L35</f>
        <v>534.44734316326503</v>
      </c>
      <c r="O35" s="5">
        <f>Grade17!M35-M35</f>
        <v>0</v>
      </c>
      <c r="P35" s="22">
        <f t="shared" si="12"/>
        <v>0</v>
      </c>
      <c r="Q35" s="22"/>
      <c r="R35" s="22"/>
      <c r="S35" s="22">
        <f t="shared" si="6"/>
        <v>114.84738957235402</v>
      </c>
      <c r="T35" s="22">
        <f t="shared" si="7"/>
        <v>534.34436747861366</v>
      </c>
    </row>
    <row r="36" spans="1:20" x14ac:dyDescent="0.2">
      <c r="A36" s="5">
        <v>45</v>
      </c>
      <c r="B36" s="1">
        <f t="shared" si="8"/>
        <v>1.6795818512976552</v>
      </c>
      <c r="C36" s="5">
        <f t="shared" si="9"/>
        <v>74652.767977862546</v>
      </c>
      <c r="D36" s="5">
        <f t="shared" si="0"/>
        <v>72054.446186836591</v>
      </c>
      <c r="E36" s="5">
        <f t="shared" si="1"/>
        <v>62554.446186836591</v>
      </c>
      <c r="F36" s="5">
        <f t="shared" si="2"/>
        <v>23531.221298685807</v>
      </c>
      <c r="G36" s="5">
        <f t="shared" si="3"/>
        <v>48523.224888150784</v>
      </c>
      <c r="H36" s="22">
        <f t="shared" si="10"/>
        <v>31867.175163608103</v>
      </c>
      <c r="I36" s="5">
        <f t="shared" si="4"/>
        <v>78988.244344560124</v>
      </c>
      <c r="J36" s="26">
        <f t="shared" si="5"/>
        <v>0.22433598708221728</v>
      </c>
      <c r="L36" s="22">
        <f t="shared" si="11"/>
        <v>68227.437049431552</v>
      </c>
      <c r="M36" s="5">
        <f>scrimecost*Meta!O33</f>
        <v>4464.1449999999995</v>
      </c>
      <c r="N36" s="5">
        <f>L36-Grade17!L36</f>
        <v>547.80852674233029</v>
      </c>
      <c r="O36" s="5">
        <f>Grade17!M36-M36</f>
        <v>0</v>
      </c>
      <c r="P36" s="22">
        <f t="shared" si="12"/>
        <v>0</v>
      </c>
      <c r="Q36" s="22"/>
      <c r="R36" s="22"/>
      <c r="S36" s="22">
        <f t="shared" si="6"/>
        <v>117.71857431165934</v>
      </c>
      <c r="T36" s="22">
        <f t="shared" si="7"/>
        <v>589.30529655413636</v>
      </c>
    </row>
    <row r="37" spans="1:20" x14ac:dyDescent="0.2">
      <c r="A37" s="5">
        <v>46</v>
      </c>
      <c r="B37" s="1">
        <f t="shared" ref="B37:B56" si="13">(1+experiencepremium)^(A37-startage)</f>
        <v>1.7215713975800966</v>
      </c>
      <c r="C37" s="5">
        <f t="shared" ref="C37:C56" si="14">pretaxincome*B37/expnorm</f>
        <v>76519.087177309106</v>
      </c>
      <c r="D37" s="5">
        <f t="shared" ref="D37:D56" si="15">IF(A37&lt;startage,1,0)*(C37*(1-initialunempprob))+IF(A37=startage,1,0)*(C37*(1-unempprob))+IF(A37&gt;startage,1,0)*(C37*(1-unempprob)+unempprob*300*52)</f>
        <v>73838.647341507502</v>
      </c>
      <c r="E37" s="5">
        <f t="shared" si="1"/>
        <v>64338.647341507502</v>
      </c>
      <c r="F37" s="5">
        <f t="shared" si="2"/>
        <v>24292.183091152947</v>
      </c>
      <c r="G37" s="5">
        <f t="shared" si="3"/>
        <v>49546.464250354555</v>
      </c>
      <c r="H37" s="22">
        <f t="shared" ref="H37:H56" si="16">benefits*B37/expnorm</f>
        <v>32663.854542698307</v>
      </c>
      <c r="I37" s="5">
        <f t="shared" ref="I37:I56" si="17">G37+IF(A37&lt;startage,1,0)*(H37*(1-initialunempprob))+IF(A37&gt;=startage,1,0)*(H37*(1-unempprob))</f>
        <v>80773.109193174139</v>
      </c>
      <c r="J37" s="26">
        <f t="shared" si="5"/>
        <v>0.22615475767697382</v>
      </c>
      <c r="L37" s="22">
        <f t="shared" ref="L37:L56" si="18">(sincome+sbenefits)*(1-sunemp)*B37/expnorm</f>
        <v>69933.122975667342</v>
      </c>
      <c r="M37" s="5">
        <f>scrimecost*Meta!O34</f>
        <v>4464.1449999999995</v>
      </c>
      <c r="N37" s="5">
        <f>L37-Grade17!L37</f>
        <v>561.50373991089873</v>
      </c>
      <c r="O37" s="5">
        <f>Grade17!M37-M37</f>
        <v>0</v>
      </c>
      <c r="P37" s="22">
        <f t="shared" si="12"/>
        <v>0</v>
      </c>
      <c r="Q37" s="22"/>
      <c r="R37" s="22"/>
      <c r="S37" s="22">
        <f t="shared" si="6"/>
        <v>120.66153866945302</v>
      </c>
      <c r="T37" s="22">
        <f t="shared" si="7"/>
        <v>649.91932858855239</v>
      </c>
    </row>
    <row r="38" spans="1:20" x14ac:dyDescent="0.2">
      <c r="A38" s="5">
        <v>47</v>
      </c>
      <c r="B38" s="1">
        <f t="shared" si="13"/>
        <v>1.7646106825195991</v>
      </c>
      <c r="C38" s="5">
        <f t="shared" si="14"/>
        <v>78432.064356741845</v>
      </c>
      <c r="D38" s="5">
        <f t="shared" si="15"/>
        <v>75667.453525045188</v>
      </c>
      <c r="E38" s="5">
        <f t="shared" si="1"/>
        <v>66167.453525045188</v>
      </c>
      <c r="F38" s="5">
        <f t="shared" si="2"/>
        <v>25072.168928431776</v>
      </c>
      <c r="G38" s="5">
        <f t="shared" si="3"/>
        <v>50595.284596613412</v>
      </c>
      <c r="H38" s="22">
        <f t="shared" si="16"/>
        <v>33480.450906265767</v>
      </c>
      <c r="I38" s="5">
        <f t="shared" si="17"/>
        <v>82602.595663003478</v>
      </c>
      <c r="J38" s="26">
        <f t="shared" si="5"/>
        <v>0.22792916801332178</v>
      </c>
      <c r="L38" s="22">
        <f t="shared" si="18"/>
        <v>71681.451050059026</v>
      </c>
      <c r="M38" s="5">
        <f>scrimecost*Meta!O35</f>
        <v>4464.1449999999995</v>
      </c>
      <c r="N38" s="5">
        <f>L38-Grade17!L38</f>
        <v>575.54133340867702</v>
      </c>
      <c r="O38" s="5">
        <f>Grade17!M38-M38</f>
        <v>0</v>
      </c>
      <c r="P38" s="22">
        <f t="shared" si="12"/>
        <v>0</v>
      </c>
      <c r="Q38" s="22"/>
      <c r="R38" s="22"/>
      <c r="S38" s="22">
        <f t="shared" si="6"/>
        <v>123.67807713619059</v>
      </c>
      <c r="T38" s="22">
        <f t="shared" si="7"/>
        <v>716.76792342250428</v>
      </c>
    </row>
    <row r="39" spans="1:20" x14ac:dyDescent="0.2">
      <c r="A39" s="5">
        <v>48</v>
      </c>
      <c r="B39" s="1">
        <f t="shared" si="13"/>
        <v>1.8087259495825889</v>
      </c>
      <c r="C39" s="5">
        <f t="shared" si="14"/>
        <v>80392.865965660385</v>
      </c>
      <c r="D39" s="5">
        <f t="shared" si="15"/>
        <v>77541.97986317132</v>
      </c>
      <c r="E39" s="5">
        <f t="shared" si="1"/>
        <v>68041.97986317132</v>
      </c>
      <c r="F39" s="5">
        <f t="shared" si="2"/>
        <v>25871.654411642568</v>
      </c>
      <c r="G39" s="5">
        <f t="shared" si="3"/>
        <v>51670.325451528755</v>
      </c>
      <c r="H39" s="22">
        <f t="shared" si="16"/>
        <v>34317.462178922404</v>
      </c>
      <c r="I39" s="5">
        <f t="shared" si="17"/>
        <v>84477.81929457857</v>
      </c>
      <c r="J39" s="26">
        <f t="shared" si="5"/>
        <v>0.22966030004878313</v>
      </c>
      <c r="L39" s="22">
        <f t="shared" si="18"/>
        <v>73473.487326310496</v>
      </c>
      <c r="M39" s="5">
        <f>scrimecost*Meta!O36</f>
        <v>4464.1449999999995</v>
      </c>
      <c r="N39" s="5">
        <f>L39-Grade17!L39</f>
        <v>589.92986674389977</v>
      </c>
      <c r="O39" s="5">
        <f>Grade17!M39-M39</f>
        <v>0</v>
      </c>
      <c r="P39" s="22">
        <f t="shared" si="12"/>
        <v>0</v>
      </c>
      <c r="Q39" s="22"/>
      <c r="R39" s="22"/>
      <c r="S39" s="22">
        <f t="shared" si="6"/>
        <v>126.77002906459661</v>
      </c>
      <c r="T39" s="22">
        <f t="shared" si="7"/>
        <v>790.4923479705509</v>
      </c>
    </row>
    <row r="40" spans="1:20" x14ac:dyDescent="0.2">
      <c r="A40" s="5">
        <v>49</v>
      </c>
      <c r="B40" s="1">
        <f t="shared" si="13"/>
        <v>1.8539440983221533</v>
      </c>
      <c r="C40" s="5">
        <f t="shared" si="14"/>
        <v>82402.687614801878</v>
      </c>
      <c r="D40" s="5">
        <f t="shared" si="15"/>
        <v>79463.369359750592</v>
      </c>
      <c r="E40" s="5">
        <f t="shared" si="1"/>
        <v>69963.369359750592</v>
      </c>
      <c r="F40" s="5">
        <f t="shared" si="2"/>
        <v>26691.127031933625</v>
      </c>
      <c r="G40" s="5">
        <f t="shared" si="3"/>
        <v>52772.242327816966</v>
      </c>
      <c r="H40" s="22">
        <f t="shared" si="16"/>
        <v>35175.398733395457</v>
      </c>
      <c r="I40" s="5">
        <f t="shared" si="17"/>
        <v>86399.923516943032</v>
      </c>
      <c r="J40" s="26">
        <f t="shared" si="5"/>
        <v>0.23134920935167225</v>
      </c>
      <c r="L40" s="22">
        <f t="shared" si="18"/>
        <v>75310.32450946825</v>
      </c>
      <c r="M40" s="5">
        <f>scrimecost*Meta!O37</f>
        <v>4464.1449999999995</v>
      </c>
      <c r="N40" s="5">
        <f>L40-Grade17!L40</f>
        <v>604.6781134124758</v>
      </c>
      <c r="O40" s="5">
        <f>Grade17!M40-M40</f>
        <v>0</v>
      </c>
      <c r="P40" s="22">
        <f t="shared" si="12"/>
        <v>0</v>
      </c>
      <c r="Q40" s="22"/>
      <c r="R40" s="22"/>
      <c r="S40" s="22">
        <f t="shared" si="6"/>
        <v>129.9392797912069</v>
      </c>
      <c r="T40" s="22">
        <f t="shared" si="7"/>
        <v>871.79982778278838</v>
      </c>
    </row>
    <row r="41" spans="1:20" x14ac:dyDescent="0.2">
      <c r="A41" s="5">
        <v>50</v>
      </c>
      <c r="B41" s="1">
        <f t="shared" si="13"/>
        <v>1.9002927007802071</v>
      </c>
      <c r="C41" s="5">
        <f t="shared" si="14"/>
        <v>84462.75480517192</v>
      </c>
      <c r="D41" s="5">
        <f t="shared" si="15"/>
        <v>81432.79359374434</v>
      </c>
      <c r="E41" s="5">
        <f t="shared" si="1"/>
        <v>71932.79359374434</v>
      </c>
      <c r="F41" s="5">
        <f t="shared" si="2"/>
        <v>27531.086467731962</v>
      </c>
      <c r="G41" s="5">
        <f t="shared" si="3"/>
        <v>53901.707126012378</v>
      </c>
      <c r="H41" s="22">
        <f t="shared" si="16"/>
        <v>36054.783701730346</v>
      </c>
      <c r="I41" s="5">
        <f t="shared" si="17"/>
        <v>88370.080344866583</v>
      </c>
      <c r="J41" s="26">
        <f t="shared" si="5"/>
        <v>0.2329969257447348</v>
      </c>
      <c r="L41" s="22">
        <f t="shared" si="18"/>
        <v>77193.082622204951</v>
      </c>
      <c r="M41" s="5">
        <f>scrimecost*Meta!O38</f>
        <v>3230.5699999999997</v>
      </c>
      <c r="N41" s="5">
        <f>L41-Grade17!L41</f>
        <v>619.79506624779606</v>
      </c>
      <c r="O41" s="5">
        <f>Grade17!M41-M41</f>
        <v>0</v>
      </c>
      <c r="P41" s="22">
        <f t="shared" si="12"/>
        <v>0</v>
      </c>
      <c r="Q41" s="22"/>
      <c r="R41" s="22"/>
      <c r="S41" s="22">
        <f t="shared" si="6"/>
        <v>133.1877617859889</v>
      </c>
      <c r="T41" s="22">
        <f t="shared" si="7"/>
        <v>961.47033133640343</v>
      </c>
    </row>
    <row r="42" spans="1:20" x14ac:dyDescent="0.2">
      <c r="A42" s="5">
        <v>51</v>
      </c>
      <c r="B42" s="1">
        <f t="shared" si="13"/>
        <v>1.9478000182997122</v>
      </c>
      <c r="C42" s="5">
        <f t="shared" si="14"/>
        <v>86574.323675301217</v>
      </c>
      <c r="D42" s="5">
        <f t="shared" si="15"/>
        <v>83451.453433587958</v>
      </c>
      <c r="E42" s="5">
        <f t="shared" si="1"/>
        <v>73951.453433587958</v>
      </c>
      <c r="F42" s="5">
        <f t="shared" si="2"/>
        <v>28392.044889425262</v>
      </c>
      <c r="G42" s="5">
        <f t="shared" si="3"/>
        <v>55059.408544162696</v>
      </c>
      <c r="H42" s="22">
        <f t="shared" si="16"/>
        <v>36956.153294273601</v>
      </c>
      <c r="I42" s="5">
        <f t="shared" si="17"/>
        <v>90389.491093488265</v>
      </c>
      <c r="J42" s="26">
        <f t="shared" si="5"/>
        <v>0.23460445393308854</v>
      </c>
      <c r="L42" s="22">
        <f t="shared" si="18"/>
        <v>79122.909687760068</v>
      </c>
      <c r="M42" s="5">
        <f>scrimecost*Meta!O39</f>
        <v>3230.5699999999997</v>
      </c>
      <c r="N42" s="5">
        <f>L42-Grade17!L42</f>
        <v>635.28994290399714</v>
      </c>
      <c r="O42" s="5">
        <f>Grade17!M42-M42</f>
        <v>0</v>
      </c>
      <c r="P42" s="22">
        <f t="shared" si="12"/>
        <v>0</v>
      </c>
      <c r="Q42" s="22"/>
      <c r="R42" s="22"/>
      <c r="S42" s="22">
        <f t="shared" si="6"/>
        <v>136.51745583063993</v>
      </c>
      <c r="T42" s="22">
        <f t="shared" si="7"/>
        <v>1060.3640521370382</v>
      </c>
    </row>
    <row r="43" spans="1:20" x14ac:dyDescent="0.2">
      <c r="A43" s="5">
        <v>52</v>
      </c>
      <c r="B43" s="1">
        <f t="shared" si="13"/>
        <v>1.9964950187572048</v>
      </c>
      <c r="C43" s="5">
        <f t="shared" si="14"/>
        <v>88738.681767183734</v>
      </c>
      <c r="D43" s="5">
        <f t="shared" si="15"/>
        <v>85520.579769427641</v>
      </c>
      <c r="E43" s="5">
        <f t="shared" si="1"/>
        <v>76020.579769427641</v>
      </c>
      <c r="F43" s="5">
        <f t="shared" si="2"/>
        <v>29274.527271660889</v>
      </c>
      <c r="G43" s="5">
        <f t="shared" si="3"/>
        <v>56246.052497766752</v>
      </c>
      <c r="H43" s="22">
        <f t="shared" si="16"/>
        <v>37880.05712663044</v>
      </c>
      <c r="I43" s="5">
        <f t="shared" si="17"/>
        <v>92459.387110825453</v>
      </c>
      <c r="J43" s="26">
        <f t="shared" si="5"/>
        <v>0.23617277411684826</v>
      </c>
      <c r="L43" s="22">
        <f t="shared" si="18"/>
        <v>81100.982429954063</v>
      </c>
      <c r="M43" s="5">
        <f>scrimecost*Meta!O40</f>
        <v>3230.5699999999997</v>
      </c>
      <c r="N43" s="5">
        <f>L43-Grade17!L43</f>
        <v>651.17219147658034</v>
      </c>
      <c r="O43" s="5">
        <f>Grade17!M43-M43</f>
        <v>0</v>
      </c>
      <c r="P43" s="22">
        <f t="shared" si="12"/>
        <v>0</v>
      </c>
      <c r="Q43" s="22"/>
      <c r="R43" s="22"/>
      <c r="S43" s="22">
        <f t="shared" si="6"/>
        <v>139.93039222640232</v>
      </c>
      <c r="T43" s="22">
        <f t="shared" si="7"/>
        <v>1169.4296604052356</v>
      </c>
    </row>
    <row r="44" spans="1:20" x14ac:dyDescent="0.2">
      <c r="A44" s="5">
        <v>53</v>
      </c>
      <c r="B44" s="1">
        <f t="shared" si="13"/>
        <v>2.0464073942261352</v>
      </c>
      <c r="C44" s="5">
        <f t="shared" si="14"/>
        <v>90957.148811363339</v>
      </c>
      <c r="D44" s="5">
        <f t="shared" si="15"/>
        <v>87641.434263663337</v>
      </c>
      <c r="E44" s="5">
        <f t="shared" si="1"/>
        <v>78141.434263663337</v>
      </c>
      <c r="F44" s="5">
        <f t="shared" si="2"/>
        <v>30179.071713452413</v>
      </c>
      <c r="G44" s="5">
        <f t="shared" si="3"/>
        <v>57462.362550210921</v>
      </c>
      <c r="H44" s="22">
        <f t="shared" si="16"/>
        <v>38827.058554796204</v>
      </c>
      <c r="I44" s="5">
        <f t="shared" si="17"/>
        <v>94581.030528596093</v>
      </c>
      <c r="J44" s="26">
        <f t="shared" si="5"/>
        <v>0.23770284258880897</v>
      </c>
      <c r="L44" s="22">
        <f t="shared" si="18"/>
        <v>83128.506990702925</v>
      </c>
      <c r="M44" s="5">
        <f>scrimecost*Meta!O41</f>
        <v>3230.5699999999997</v>
      </c>
      <c r="N44" s="5">
        <f>L44-Grade17!L44</f>
        <v>667.45149626352941</v>
      </c>
      <c r="O44" s="5">
        <f>Grade17!M44-M44</f>
        <v>0</v>
      </c>
      <c r="P44" s="22">
        <f t="shared" si="12"/>
        <v>0</v>
      </c>
      <c r="Q44" s="22"/>
      <c r="R44" s="22"/>
      <c r="S44" s="22">
        <f t="shared" si="6"/>
        <v>143.42865203206981</v>
      </c>
      <c r="T44" s="22">
        <f t="shared" si="7"/>
        <v>1289.7134035046208</v>
      </c>
    </row>
    <row r="45" spans="1:20" x14ac:dyDescent="0.2">
      <c r="A45" s="5">
        <v>54</v>
      </c>
      <c r="B45" s="1">
        <f t="shared" si="13"/>
        <v>2.097567579081788</v>
      </c>
      <c r="C45" s="5">
        <f t="shared" si="14"/>
        <v>93231.077531647403</v>
      </c>
      <c r="D45" s="5">
        <f t="shared" si="15"/>
        <v>89815.310120254901</v>
      </c>
      <c r="E45" s="5">
        <f t="shared" si="1"/>
        <v>80315.310120254901</v>
      </c>
      <c r="F45" s="5">
        <f t="shared" si="2"/>
        <v>31106.229766288714</v>
      </c>
      <c r="G45" s="5">
        <f t="shared" si="3"/>
        <v>58709.080353966187</v>
      </c>
      <c r="H45" s="22">
        <f t="shared" si="16"/>
        <v>39797.735018666099</v>
      </c>
      <c r="I45" s="5">
        <f t="shared" si="17"/>
        <v>96755.715031810978</v>
      </c>
      <c r="J45" s="26">
        <f t="shared" si="5"/>
        <v>0.23919559231755108</v>
      </c>
      <c r="L45" s="22">
        <f t="shared" si="18"/>
        <v>85206.719665470475</v>
      </c>
      <c r="M45" s="5">
        <f>scrimecost*Meta!O42</f>
        <v>3230.5699999999997</v>
      </c>
      <c r="N45" s="5">
        <f>L45-Grade17!L45</f>
        <v>684.13778367007035</v>
      </c>
      <c r="O45" s="5">
        <f>Grade17!M45-M45</f>
        <v>0</v>
      </c>
      <c r="P45" s="22">
        <f t="shared" si="12"/>
        <v>0</v>
      </c>
      <c r="Q45" s="22"/>
      <c r="R45" s="22"/>
      <c r="S45" s="22">
        <f t="shared" si="6"/>
        <v>147.01436833286141</v>
      </c>
      <c r="T45" s="22">
        <f t="shared" si="7"/>
        <v>1422.3691424098802</v>
      </c>
    </row>
    <row r="46" spans="1:20" x14ac:dyDescent="0.2">
      <c r="A46" s="5">
        <v>55</v>
      </c>
      <c r="B46" s="1">
        <f t="shared" si="13"/>
        <v>2.1500067685588333</v>
      </c>
      <c r="C46" s="5">
        <f t="shared" si="14"/>
        <v>95561.854469938611</v>
      </c>
      <c r="D46" s="5">
        <f t="shared" si="15"/>
        <v>92043.532873261298</v>
      </c>
      <c r="E46" s="5">
        <f t="shared" si="1"/>
        <v>82543.532873261298</v>
      </c>
      <c r="F46" s="5">
        <f t="shared" si="2"/>
        <v>32056.566770445945</v>
      </c>
      <c r="G46" s="5">
        <f t="shared" si="3"/>
        <v>59986.96610281535</v>
      </c>
      <c r="H46" s="22">
        <f t="shared" si="16"/>
        <v>40792.678394132759</v>
      </c>
      <c r="I46" s="5">
        <f t="shared" si="17"/>
        <v>98984.766647606273</v>
      </c>
      <c r="J46" s="26">
        <f t="shared" si="5"/>
        <v>0.24065193351632397</v>
      </c>
      <c r="L46" s="22">
        <f t="shared" si="18"/>
        <v>87336.887657107276</v>
      </c>
      <c r="M46" s="5">
        <f>scrimecost*Meta!O43</f>
        <v>1931.8249999999998</v>
      </c>
      <c r="N46" s="5">
        <f>L46-Grade17!L46</f>
        <v>701.24122826187522</v>
      </c>
      <c r="O46" s="5">
        <f>Grade17!M46-M46</f>
        <v>0</v>
      </c>
      <c r="P46" s="22">
        <f t="shared" si="12"/>
        <v>0</v>
      </c>
      <c r="Q46" s="22"/>
      <c r="R46" s="22"/>
      <c r="S46" s="22">
        <f t="shared" ref="S46:S69" si="19">IF(A46&lt;startage,1,0)*(N46-Q46-R46)+IF(A46&gt;=startage,1,0)*completionprob*(N46*spart+O46+P46)</f>
        <v>150.68972754119434</v>
      </c>
      <c r="T46" s="22">
        <f t="shared" ref="T46:T69" si="20">S46/sreturn^(A46-startage+1)</f>
        <v>1568.6694204949092</v>
      </c>
    </row>
    <row r="47" spans="1:20" x14ac:dyDescent="0.2">
      <c r="A47" s="5">
        <v>56</v>
      </c>
      <c r="B47" s="1">
        <f t="shared" si="13"/>
        <v>2.2037569377728037</v>
      </c>
      <c r="C47" s="5">
        <f t="shared" si="14"/>
        <v>97950.900831687046</v>
      </c>
      <c r="D47" s="5">
        <f t="shared" si="15"/>
        <v>94327.461195092808</v>
      </c>
      <c r="E47" s="5">
        <f t="shared" si="1"/>
        <v>84827.461195092808</v>
      </c>
      <c r="F47" s="5">
        <f t="shared" si="2"/>
        <v>33067.486035559872</v>
      </c>
      <c r="G47" s="5">
        <f t="shared" si="3"/>
        <v>61259.975159532936</v>
      </c>
      <c r="H47" s="22">
        <f t="shared" si="16"/>
        <v>41812.49535398608</v>
      </c>
      <c r="I47" s="5">
        <f t="shared" si="17"/>
        <v>101232.72071794362</v>
      </c>
      <c r="J47" s="26">
        <f t="shared" si="5"/>
        <v>0.24234835323042542</v>
      </c>
      <c r="L47" s="22">
        <f t="shared" si="18"/>
        <v>89520.309848534918</v>
      </c>
      <c r="M47" s="5">
        <f>scrimecost*Meta!O44</f>
        <v>1931.8249999999998</v>
      </c>
      <c r="N47" s="5">
        <f>L47-Grade17!L47</f>
        <v>718.77225896838354</v>
      </c>
      <c r="O47" s="5">
        <f>Grade17!M47-M47</f>
        <v>0</v>
      </c>
      <c r="P47" s="22">
        <f t="shared" si="12"/>
        <v>0</v>
      </c>
      <c r="Q47" s="22"/>
      <c r="R47" s="22"/>
      <c r="S47" s="22">
        <f t="shared" si="19"/>
        <v>154.45697072971592</v>
      </c>
      <c r="T47" s="22">
        <f t="shared" si="20"/>
        <v>1730.0176708181255</v>
      </c>
    </row>
    <row r="48" spans="1:20" x14ac:dyDescent="0.2">
      <c r="A48" s="5">
        <v>57</v>
      </c>
      <c r="B48" s="1">
        <f t="shared" si="13"/>
        <v>2.2588508612171236</v>
      </c>
      <c r="C48" s="5">
        <f t="shared" si="14"/>
        <v>100399.67335247922</v>
      </c>
      <c r="D48" s="5">
        <f t="shared" si="15"/>
        <v>96668.487724970124</v>
      </c>
      <c r="E48" s="5">
        <f t="shared" si="1"/>
        <v>87168.487724970124</v>
      </c>
      <c r="F48" s="5">
        <f t="shared" si="2"/>
        <v>34136.164646448859</v>
      </c>
      <c r="G48" s="5">
        <f t="shared" si="3"/>
        <v>62532.323078521265</v>
      </c>
      <c r="H48" s="22">
        <f t="shared" si="16"/>
        <v>42857.807737835727</v>
      </c>
      <c r="I48" s="5">
        <f t="shared" si="17"/>
        <v>103504.38727589222</v>
      </c>
      <c r="J48" s="26">
        <f t="shared" si="5"/>
        <v>0.24424060298234929</v>
      </c>
      <c r="L48" s="22">
        <f t="shared" si="18"/>
        <v>91758.317594748296</v>
      </c>
      <c r="M48" s="5">
        <f>scrimecost*Meta!O45</f>
        <v>1931.8249999999998</v>
      </c>
      <c r="N48" s="5">
        <f>L48-Grade17!L48</f>
        <v>736.7415654426004</v>
      </c>
      <c r="O48" s="5">
        <f>Grade17!M48-M48</f>
        <v>0</v>
      </c>
      <c r="P48" s="22">
        <f t="shared" si="12"/>
        <v>0</v>
      </c>
      <c r="Q48" s="22"/>
      <c r="R48" s="22"/>
      <c r="S48" s="22">
        <f t="shared" si="19"/>
        <v>158.31839499796038</v>
      </c>
      <c r="T48" s="22">
        <f t="shared" si="20"/>
        <v>1907.9616790125829</v>
      </c>
    </row>
    <row r="49" spans="1:20" x14ac:dyDescent="0.2">
      <c r="A49" s="5">
        <v>58</v>
      </c>
      <c r="B49" s="1">
        <f t="shared" si="13"/>
        <v>2.3153221327475517</v>
      </c>
      <c r="C49" s="5">
        <f t="shared" si="14"/>
        <v>102909.6651862912</v>
      </c>
      <c r="D49" s="5">
        <f t="shared" si="15"/>
        <v>99068.039918094379</v>
      </c>
      <c r="E49" s="5">
        <f t="shared" si="1"/>
        <v>89568.039918094379</v>
      </c>
      <c r="F49" s="5">
        <f t="shared" si="2"/>
        <v>35231.560222610089</v>
      </c>
      <c r="G49" s="5">
        <f t="shared" si="3"/>
        <v>63836.47969548429</v>
      </c>
      <c r="H49" s="22">
        <f t="shared" si="16"/>
        <v>43929.252931281619</v>
      </c>
      <c r="I49" s="5">
        <f t="shared" si="17"/>
        <v>105832.84549778952</v>
      </c>
      <c r="J49" s="26">
        <f t="shared" si="5"/>
        <v>0.2460867003012995</v>
      </c>
      <c r="L49" s="22">
        <f t="shared" si="18"/>
        <v>94052.275534617002</v>
      </c>
      <c r="M49" s="5">
        <f>scrimecost*Meta!O46</f>
        <v>1931.8249999999998</v>
      </c>
      <c r="N49" s="5">
        <f>L49-Grade17!L49</f>
        <v>755.16010457868106</v>
      </c>
      <c r="O49" s="5">
        <f>Grade17!M49-M49</f>
        <v>0</v>
      </c>
      <c r="P49" s="22">
        <f t="shared" si="12"/>
        <v>0</v>
      </c>
      <c r="Q49" s="22"/>
      <c r="R49" s="22"/>
      <c r="S49" s="22">
        <f t="shared" si="19"/>
        <v>162.27635487291278</v>
      </c>
      <c r="T49" s="22">
        <f t="shared" si="20"/>
        <v>2104.2084309225861</v>
      </c>
    </row>
    <row r="50" spans="1:20" x14ac:dyDescent="0.2">
      <c r="A50" s="5">
        <v>59</v>
      </c>
      <c r="B50" s="1">
        <f t="shared" si="13"/>
        <v>2.3732051860662402</v>
      </c>
      <c r="C50" s="5">
        <f t="shared" si="14"/>
        <v>105482.40681594847</v>
      </c>
      <c r="D50" s="5">
        <f t="shared" si="15"/>
        <v>101527.58091604673</v>
      </c>
      <c r="E50" s="5">
        <f t="shared" si="1"/>
        <v>92027.580916046732</v>
      </c>
      <c r="F50" s="5">
        <f t="shared" si="2"/>
        <v>36354.340688175333</v>
      </c>
      <c r="G50" s="5">
        <f t="shared" si="3"/>
        <v>65173.2402278714</v>
      </c>
      <c r="H50" s="22">
        <f t="shared" si="16"/>
        <v>45027.484254563657</v>
      </c>
      <c r="I50" s="5">
        <f t="shared" si="17"/>
        <v>108219.51517523426</v>
      </c>
      <c r="J50" s="26">
        <f t="shared" si="5"/>
        <v>0.24788777085637281</v>
      </c>
      <c r="L50" s="22">
        <f t="shared" si="18"/>
        <v>96403.582422982421</v>
      </c>
      <c r="M50" s="5">
        <f>scrimecost*Meta!O47</f>
        <v>1931.8249999999998</v>
      </c>
      <c r="N50" s="5">
        <f>L50-Grade17!L50</f>
        <v>774.03910719312262</v>
      </c>
      <c r="O50" s="5">
        <f>Grade17!M50-M50</f>
        <v>0</v>
      </c>
      <c r="P50" s="22">
        <f t="shared" si="12"/>
        <v>0</v>
      </c>
      <c r="Q50" s="22"/>
      <c r="R50" s="22"/>
      <c r="S50" s="22">
        <f t="shared" si="19"/>
        <v>166.33326374473009</v>
      </c>
      <c r="T50" s="22">
        <f t="shared" si="20"/>
        <v>2320.6404874215777</v>
      </c>
    </row>
    <row r="51" spans="1:20" x14ac:dyDescent="0.2">
      <c r="A51" s="5">
        <v>60</v>
      </c>
      <c r="B51" s="1">
        <f t="shared" si="13"/>
        <v>2.4325353157178964</v>
      </c>
      <c r="C51" s="5">
        <f t="shared" si="14"/>
        <v>108119.46698634719</v>
      </c>
      <c r="D51" s="5">
        <f t="shared" si="15"/>
        <v>104048.6104389479</v>
      </c>
      <c r="E51" s="5">
        <f t="shared" si="1"/>
        <v>94548.610438947901</v>
      </c>
      <c r="F51" s="5">
        <f t="shared" si="2"/>
        <v>37505.19066537972</v>
      </c>
      <c r="G51" s="5">
        <f t="shared" si="3"/>
        <v>66543.419773568181</v>
      </c>
      <c r="H51" s="22">
        <f t="shared" si="16"/>
        <v>46153.171360927743</v>
      </c>
      <c r="I51" s="5">
        <f t="shared" si="17"/>
        <v>110665.8515946151</v>
      </c>
      <c r="J51" s="26">
        <f t="shared" si="5"/>
        <v>0.2496449128613224</v>
      </c>
      <c r="L51" s="22">
        <f t="shared" si="18"/>
        <v>98813.671983556982</v>
      </c>
      <c r="M51" s="5">
        <f>scrimecost*Meta!O48</f>
        <v>1061.3400000000001</v>
      </c>
      <c r="N51" s="5">
        <f>L51-Grade17!L51</f>
        <v>793.39008487296815</v>
      </c>
      <c r="O51" s="5">
        <f>Grade17!M51-M51</f>
        <v>0</v>
      </c>
      <c r="P51" s="22">
        <f t="shared" si="12"/>
        <v>0</v>
      </c>
      <c r="Q51" s="22"/>
      <c r="R51" s="22"/>
      <c r="S51" s="22">
        <f t="shared" si="19"/>
        <v>170.49159533835211</v>
      </c>
      <c r="T51" s="22">
        <f t="shared" si="20"/>
        <v>2559.33404349081</v>
      </c>
    </row>
    <row r="52" spans="1:20" x14ac:dyDescent="0.2">
      <c r="A52" s="5">
        <v>61</v>
      </c>
      <c r="B52" s="1">
        <f t="shared" si="13"/>
        <v>2.4933486986108435</v>
      </c>
      <c r="C52" s="5">
        <f t="shared" si="14"/>
        <v>110822.45366100587</v>
      </c>
      <c r="D52" s="5">
        <f t="shared" si="15"/>
        <v>106632.66569992161</v>
      </c>
      <c r="E52" s="5">
        <f t="shared" si="1"/>
        <v>97132.665699921607</v>
      </c>
      <c r="F52" s="5">
        <f t="shared" si="2"/>
        <v>38684.811892014215</v>
      </c>
      <c r="G52" s="5">
        <f t="shared" si="3"/>
        <v>67947.853807907391</v>
      </c>
      <c r="H52" s="22">
        <f t="shared" si="16"/>
        <v>47307.000644950938</v>
      </c>
      <c r="I52" s="5">
        <f t="shared" si="17"/>
        <v>113173.34642448049</v>
      </c>
      <c r="J52" s="26">
        <f t="shared" si="5"/>
        <v>0.25135919774420007</v>
      </c>
      <c r="L52" s="22">
        <f t="shared" si="18"/>
        <v>101284.0137831459</v>
      </c>
      <c r="M52" s="5">
        <f>scrimecost*Meta!O49</f>
        <v>1061.3400000000001</v>
      </c>
      <c r="N52" s="5">
        <f>L52-Grade17!L52</f>
        <v>813.22483699480654</v>
      </c>
      <c r="O52" s="5">
        <f>Grade17!M52-M52</f>
        <v>0</v>
      </c>
      <c r="P52" s="22">
        <f t="shared" si="12"/>
        <v>0</v>
      </c>
      <c r="Q52" s="22"/>
      <c r="R52" s="22"/>
      <c r="S52" s="22">
        <f t="shared" si="19"/>
        <v>174.75388522181396</v>
      </c>
      <c r="T52" s="22">
        <f t="shared" si="20"/>
        <v>2822.5788447950372</v>
      </c>
    </row>
    <row r="53" spans="1:20" x14ac:dyDescent="0.2">
      <c r="A53" s="5">
        <v>62</v>
      </c>
      <c r="B53" s="1">
        <f t="shared" si="13"/>
        <v>2.555682416076114</v>
      </c>
      <c r="C53" s="5">
        <f t="shared" si="14"/>
        <v>113593.01500253098</v>
      </c>
      <c r="D53" s="5">
        <f t="shared" si="15"/>
        <v>109281.32234241962</v>
      </c>
      <c r="E53" s="5">
        <f t="shared" si="1"/>
        <v>99781.322342419619</v>
      </c>
      <c r="F53" s="5">
        <f t="shared" si="2"/>
        <v>39740.081664084537</v>
      </c>
      <c r="G53" s="5">
        <f t="shared" si="3"/>
        <v>69541.240678335074</v>
      </c>
      <c r="H53" s="22">
        <f t="shared" si="16"/>
        <v>48489.675661074696</v>
      </c>
      <c r="I53" s="5">
        <f t="shared" si="17"/>
        <v>115897.37061032248</v>
      </c>
      <c r="J53" s="26">
        <f t="shared" si="5"/>
        <v>0.25203882833220975</v>
      </c>
      <c r="L53" s="22">
        <f t="shared" si="18"/>
        <v>103816.11412772452</v>
      </c>
      <c r="M53" s="5">
        <f>scrimecost*Meta!O50</f>
        <v>1061.3400000000001</v>
      </c>
      <c r="N53" s="5">
        <f>L53-Grade17!L53</f>
        <v>833.55545791964687</v>
      </c>
      <c r="O53" s="5">
        <f>Grade17!M53-M53</f>
        <v>0</v>
      </c>
      <c r="P53" s="22">
        <f t="shared" si="12"/>
        <v>0</v>
      </c>
      <c r="Q53" s="22"/>
      <c r="R53" s="22"/>
      <c r="S53" s="22">
        <f t="shared" si="19"/>
        <v>179.12273235235293</v>
      </c>
      <c r="T53" s="22">
        <f t="shared" si="20"/>
        <v>3112.9001528137851</v>
      </c>
    </row>
    <row r="54" spans="1:20" x14ac:dyDescent="0.2">
      <c r="A54" s="5">
        <v>63</v>
      </c>
      <c r="B54" s="1">
        <f t="shared" si="13"/>
        <v>2.6195744764780171</v>
      </c>
      <c r="C54" s="5">
        <f t="shared" si="14"/>
        <v>116432.84037759426</v>
      </c>
      <c r="D54" s="5">
        <f t="shared" si="15"/>
        <v>111996.1954009801</v>
      </c>
      <c r="E54" s="5">
        <f t="shared" si="1"/>
        <v>102496.1954009801</v>
      </c>
      <c r="F54" s="5">
        <f t="shared" si="2"/>
        <v>40811.099085686648</v>
      </c>
      <c r="G54" s="5">
        <f t="shared" si="3"/>
        <v>71185.096315293456</v>
      </c>
      <c r="H54" s="22">
        <f t="shared" si="16"/>
        <v>49701.917552601568</v>
      </c>
      <c r="I54" s="5">
        <f t="shared" si="17"/>
        <v>118700.12949558056</v>
      </c>
      <c r="J54" s="26">
        <f t="shared" si="5"/>
        <v>0.25263492770058749</v>
      </c>
      <c r="L54" s="22">
        <f t="shared" si="18"/>
        <v>106411.51698091764</v>
      </c>
      <c r="M54" s="5">
        <f>scrimecost*Meta!O51</f>
        <v>1061.3400000000001</v>
      </c>
      <c r="N54" s="5">
        <f>L54-Grade17!L54</f>
        <v>854.39434436766896</v>
      </c>
      <c r="O54" s="5">
        <f>Grade17!M54-M54</f>
        <v>0</v>
      </c>
      <c r="P54" s="22">
        <f t="shared" si="12"/>
        <v>0</v>
      </c>
      <c r="Q54" s="22"/>
      <c r="R54" s="22"/>
      <c r="S54" s="22">
        <f t="shared" si="19"/>
        <v>183.60080066116836</v>
      </c>
      <c r="T54" s="22">
        <f t="shared" si="20"/>
        <v>3433.0829692349776</v>
      </c>
    </row>
    <row r="55" spans="1:20" x14ac:dyDescent="0.2">
      <c r="A55" s="5">
        <v>64</v>
      </c>
      <c r="B55" s="1">
        <f t="shared" si="13"/>
        <v>2.6850638383899672</v>
      </c>
      <c r="C55" s="5">
        <f t="shared" si="14"/>
        <v>119343.66138703411</v>
      </c>
      <c r="D55" s="5">
        <f t="shared" si="15"/>
        <v>114778.9402860046</v>
      </c>
      <c r="E55" s="5">
        <f t="shared" si="1"/>
        <v>105278.9402860046</v>
      </c>
      <c r="F55" s="5">
        <f t="shared" si="2"/>
        <v>41908.891942828814</v>
      </c>
      <c r="G55" s="5">
        <f t="shared" si="3"/>
        <v>72870.048343175789</v>
      </c>
      <c r="H55" s="22">
        <f t="shared" si="16"/>
        <v>50944.465491416602</v>
      </c>
      <c r="I55" s="5">
        <f t="shared" si="17"/>
        <v>121572.95735297006</v>
      </c>
      <c r="J55" s="26">
        <f t="shared" si="5"/>
        <v>0.25321648805998048</v>
      </c>
      <c r="L55" s="22">
        <f t="shared" si="18"/>
        <v>109071.80490544056</v>
      </c>
      <c r="M55" s="5">
        <f>scrimecost*Meta!O52</f>
        <v>1061.3400000000001</v>
      </c>
      <c r="N55" s="5">
        <f>L55-Grade17!L55</f>
        <v>875.75420297682285</v>
      </c>
      <c r="O55" s="5">
        <f>Grade17!M55-M55</f>
        <v>0</v>
      </c>
      <c r="P55" s="22">
        <f t="shared" si="12"/>
        <v>0</v>
      </c>
      <c r="Q55" s="22"/>
      <c r="R55" s="22"/>
      <c r="S55" s="22">
        <f t="shared" si="19"/>
        <v>188.19082067768946</v>
      </c>
      <c r="T55" s="22">
        <f t="shared" si="20"/>
        <v>3786.1987519891272</v>
      </c>
    </row>
    <row r="56" spans="1:20" x14ac:dyDescent="0.2">
      <c r="A56" s="5">
        <v>65</v>
      </c>
      <c r="B56" s="1">
        <f t="shared" si="13"/>
        <v>2.7521904343497163</v>
      </c>
      <c r="C56" s="5">
        <f t="shared" si="14"/>
        <v>122327.25292170995</v>
      </c>
      <c r="D56" s="5">
        <f t="shared" si="15"/>
        <v>117631.2537931547</v>
      </c>
      <c r="E56" s="5">
        <f t="shared" si="1"/>
        <v>108131.2537931547</v>
      </c>
      <c r="F56" s="5">
        <f t="shared" si="2"/>
        <v>43034.12962139953</v>
      </c>
      <c r="G56" s="5">
        <f t="shared" si="3"/>
        <v>74597.12417175516</v>
      </c>
      <c r="H56" s="22">
        <f t="shared" si="16"/>
        <v>52218.077128702018</v>
      </c>
      <c r="I56" s="5">
        <f t="shared" si="17"/>
        <v>124517.60590679428</v>
      </c>
      <c r="J56" s="26">
        <f t="shared" si="5"/>
        <v>0.25378386402036379</v>
      </c>
      <c r="L56" s="22">
        <f t="shared" si="18"/>
        <v>111798.60002807657</v>
      </c>
      <c r="M56" s="5">
        <f>scrimecost*Meta!O53</f>
        <v>335.15999999999997</v>
      </c>
      <c r="N56" s="5">
        <f>L56-Grade17!L56</f>
        <v>897.64805805124342</v>
      </c>
      <c r="O56" s="5">
        <f>Grade17!M56-M56</f>
        <v>0</v>
      </c>
      <c r="P56" s="22">
        <f t="shared" si="12"/>
        <v>0</v>
      </c>
      <c r="Q56" s="22"/>
      <c r="R56" s="22"/>
      <c r="S56" s="22">
        <f t="shared" si="19"/>
        <v>192.89559119463166</v>
      </c>
      <c r="T56" s="22">
        <f t="shared" si="20"/>
        <v>4175.6348792115259</v>
      </c>
    </row>
    <row r="57" spans="1:20" x14ac:dyDescent="0.2">
      <c r="A57" s="5">
        <v>66</v>
      </c>
      <c r="C57" s="5"/>
      <c r="H57" s="21"/>
      <c r="I57" s="5"/>
      <c r="M57" s="5">
        <f>scrimecost*Meta!O54</f>
        <v>335.15999999999997</v>
      </c>
      <c r="N57" s="5">
        <f>L57-Grade17!L57</f>
        <v>0</v>
      </c>
      <c r="O57" s="5">
        <f>Grade17!M57-M57</f>
        <v>0</v>
      </c>
      <c r="Q57" s="22"/>
      <c r="R57" s="22"/>
      <c r="S57" s="22">
        <f t="shared" si="19"/>
        <v>0</v>
      </c>
      <c r="T57" s="22">
        <f t="shared" si="20"/>
        <v>0</v>
      </c>
    </row>
    <row r="58" spans="1:20" x14ac:dyDescent="0.2">
      <c r="A58" s="5">
        <v>67</v>
      </c>
      <c r="C58" s="5"/>
      <c r="H58" s="21"/>
      <c r="I58" s="5"/>
      <c r="M58" s="5">
        <f>scrimecost*Meta!O55</f>
        <v>335.15999999999997</v>
      </c>
      <c r="N58" s="5">
        <f>L58-Grade17!L58</f>
        <v>0</v>
      </c>
      <c r="O58" s="5">
        <f>Grade17!M58-M58</f>
        <v>0</v>
      </c>
      <c r="Q58" s="22"/>
      <c r="R58" s="22"/>
      <c r="S58" s="22">
        <f t="shared" si="19"/>
        <v>0</v>
      </c>
      <c r="T58" s="22">
        <f t="shared" si="20"/>
        <v>0</v>
      </c>
    </row>
    <row r="59" spans="1:20" x14ac:dyDescent="0.2">
      <c r="A59" s="5">
        <v>68</v>
      </c>
      <c r="H59" s="21"/>
      <c r="I59" s="5"/>
      <c r="M59" s="5">
        <f>scrimecost*Meta!O56</f>
        <v>335.15999999999997</v>
      </c>
      <c r="N59" s="5">
        <f>L59-Grade17!L59</f>
        <v>0</v>
      </c>
      <c r="O59" s="5">
        <f>Grade17!M59-M59</f>
        <v>0</v>
      </c>
      <c r="Q59" s="22"/>
      <c r="R59" s="22"/>
      <c r="S59" s="22">
        <f t="shared" si="19"/>
        <v>0</v>
      </c>
      <c r="T59" s="22">
        <f t="shared" si="20"/>
        <v>0</v>
      </c>
    </row>
    <row r="60" spans="1:20" x14ac:dyDescent="0.2">
      <c r="A60" s="5">
        <v>69</v>
      </c>
      <c r="H60" s="21"/>
      <c r="I60" s="5"/>
      <c r="M60" s="5">
        <f>scrimecost*Meta!O57</f>
        <v>335.15999999999997</v>
      </c>
      <c r="N60" s="5">
        <f>L60-Grade17!L60</f>
        <v>0</v>
      </c>
      <c r="O60" s="5">
        <f>Grade17!M60-M60</f>
        <v>0</v>
      </c>
      <c r="Q60" s="22"/>
      <c r="R60" s="22"/>
      <c r="S60" s="22">
        <f t="shared" si="19"/>
        <v>0</v>
      </c>
      <c r="T60" s="22">
        <f t="shared" si="20"/>
        <v>0</v>
      </c>
    </row>
    <row r="61" spans="1:20" x14ac:dyDescent="0.2">
      <c r="A61" s="5">
        <v>70</v>
      </c>
      <c r="H61" s="21"/>
      <c r="I61" s="5"/>
      <c r="M61" s="5">
        <f>scrimecost*Meta!O58</f>
        <v>335.15999999999997</v>
      </c>
      <c r="N61" s="5">
        <f>L61-Grade17!L61</f>
        <v>0</v>
      </c>
      <c r="O61" s="5">
        <f>Grade17!M61-M61</f>
        <v>0</v>
      </c>
      <c r="Q61" s="22"/>
      <c r="R61" s="22"/>
      <c r="S61" s="22">
        <f t="shared" si="19"/>
        <v>0</v>
      </c>
      <c r="T61" s="22">
        <f t="shared" si="20"/>
        <v>0</v>
      </c>
    </row>
    <row r="62" spans="1:20" x14ac:dyDescent="0.2">
      <c r="A62" s="5">
        <v>71</v>
      </c>
      <c r="H62" s="21"/>
      <c r="I62" s="5"/>
      <c r="M62" s="5">
        <f>scrimecost*Meta!O59</f>
        <v>335.15999999999997</v>
      </c>
      <c r="N62" s="5">
        <f>L62-Grade17!L62</f>
        <v>0</v>
      </c>
      <c r="O62" s="5">
        <f>Grade17!M62-M62</f>
        <v>0</v>
      </c>
      <c r="Q62" s="22"/>
      <c r="R62" s="22"/>
      <c r="S62" s="22">
        <f t="shared" si="19"/>
        <v>0</v>
      </c>
      <c r="T62" s="22">
        <f t="shared" si="20"/>
        <v>0</v>
      </c>
    </row>
    <row r="63" spans="1:20" x14ac:dyDescent="0.2">
      <c r="A63" s="5">
        <v>72</v>
      </c>
      <c r="H63" s="21"/>
      <c r="M63" s="5">
        <f>scrimecost*Meta!O60</f>
        <v>335.15999999999997</v>
      </c>
      <c r="N63" s="5">
        <f>L63-Grade17!L63</f>
        <v>0</v>
      </c>
      <c r="O63" s="5">
        <f>Grade17!M63-M63</f>
        <v>0</v>
      </c>
      <c r="Q63" s="22"/>
      <c r="R63" s="22"/>
      <c r="S63" s="22">
        <f t="shared" si="19"/>
        <v>0</v>
      </c>
      <c r="T63" s="22">
        <f t="shared" si="20"/>
        <v>0</v>
      </c>
    </row>
    <row r="64" spans="1:20" x14ac:dyDescent="0.2">
      <c r="A64" s="5">
        <v>73</v>
      </c>
      <c r="H64" s="21"/>
      <c r="M64" s="5">
        <f>scrimecost*Meta!O61</f>
        <v>335.15999999999997</v>
      </c>
      <c r="N64" s="5">
        <f>L64-Grade17!L64</f>
        <v>0</v>
      </c>
      <c r="O64" s="5">
        <f>Grade17!M64-M64</f>
        <v>0</v>
      </c>
      <c r="Q64" s="22"/>
      <c r="R64" s="22"/>
      <c r="S64" s="22">
        <f t="shared" si="19"/>
        <v>0</v>
      </c>
      <c r="T64" s="22">
        <f t="shared" si="20"/>
        <v>0</v>
      </c>
    </row>
    <row r="65" spans="1:20" x14ac:dyDescent="0.2">
      <c r="A65" s="5">
        <v>74</v>
      </c>
      <c r="H65" s="21"/>
      <c r="M65" s="5">
        <f>scrimecost*Meta!O62</f>
        <v>335.15999999999997</v>
      </c>
      <c r="N65" s="5">
        <f>L65-Grade17!L65</f>
        <v>0</v>
      </c>
      <c r="O65" s="5">
        <f>Grade17!M65-M65</f>
        <v>0</v>
      </c>
      <c r="Q65" s="22"/>
      <c r="R65" s="22"/>
      <c r="S65" s="22">
        <f t="shared" si="19"/>
        <v>0</v>
      </c>
      <c r="T65" s="22">
        <f t="shared" si="20"/>
        <v>0</v>
      </c>
    </row>
    <row r="66" spans="1:20" x14ac:dyDescent="0.2">
      <c r="A66" s="5">
        <v>75</v>
      </c>
      <c r="H66" s="21"/>
      <c r="M66" s="5">
        <f>scrimecost*Meta!O63</f>
        <v>335.15999999999997</v>
      </c>
      <c r="N66" s="5">
        <f>L66-Grade17!L66</f>
        <v>0</v>
      </c>
      <c r="O66" s="5">
        <f>Grade17!M66-M66</f>
        <v>0</v>
      </c>
      <c r="Q66" s="22"/>
      <c r="R66" s="22"/>
      <c r="S66" s="22">
        <f t="shared" si="19"/>
        <v>0</v>
      </c>
      <c r="T66" s="22">
        <f t="shared" si="20"/>
        <v>0</v>
      </c>
    </row>
    <row r="67" spans="1:20" x14ac:dyDescent="0.2">
      <c r="A67" s="5">
        <v>76</v>
      </c>
      <c r="H67" s="21"/>
      <c r="M67" s="5">
        <f>scrimecost*Meta!O64</f>
        <v>335.15999999999997</v>
      </c>
      <c r="N67" s="5">
        <f>L67-Grade17!L67</f>
        <v>0</v>
      </c>
      <c r="O67" s="5">
        <f>Grade17!M67-M67</f>
        <v>0</v>
      </c>
      <c r="Q67" s="22"/>
      <c r="R67" s="22"/>
      <c r="S67" s="22">
        <f t="shared" si="19"/>
        <v>0</v>
      </c>
      <c r="T67" s="22">
        <f t="shared" si="20"/>
        <v>0</v>
      </c>
    </row>
    <row r="68" spans="1:20" x14ac:dyDescent="0.2">
      <c r="A68" s="5">
        <v>77</v>
      </c>
      <c r="H68" s="21"/>
      <c r="M68" s="5">
        <f>scrimecost*Meta!O65</f>
        <v>335.15999999999997</v>
      </c>
      <c r="N68" s="5">
        <f>L68-Grade17!L68</f>
        <v>0</v>
      </c>
      <c r="O68" s="5">
        <f>Grade17!M68-M68</f>
        <v>0</v>
      </c>
      <c r="Q68" s="22"/>
      <c r="R68" s="22"/>
      <c r="S68" s="22">
        <f t="shared" si="19"/>
        <v>0</v>
      </c>
      <c r="T68" s="22">
        <f t="shared" si="20"/>
        <v>0</v>
      </c>
    </row>
    <row r="69" spans="1:20" x14ac:dyDescent="0.2">
      <c r="A69" s="5">
        <v>78</v>
      </c>
      <c r="H69" s="21"/>
      <c r="M69" s="5">
        <f>scrimecost*Meta!O66</f>
        <v>335.15999999999997</v>
      </c>
      <c r="N69" s="5">
        <f>L69-Grade17!L69</f>
        <v>0</v>
      </c>
      <c r="O69" s="5">
        <f>Grade17!M69-M69</f>
        <v>0</v>
      </c>
      <c r="Q69" s="22"/>
      <c r="R69" s="22"/>
      <c r="S69" s="22">
        <f t="shared" si="19"/>
        <v>0</v>
      </c>
      <c r="T69" s="22">
        <f t="shared" si="20"/>
        <v>0</v>
      </c>
    </row>
    <row r="70" spans="1:20" x14ac:dyDescent="0.2">
      <c r="A70" s="5">
        <v>79</v>
      </c>
      <c r="H70" s="21"/>
      <c r="M70" s="5"/>
      <c r="Q70" s="22"/>
      <c r="R70" s="22"/>
      <c r="S70" s="22">
        <f>SUM(T5:T69)</f>
        <v>-7.9126039054244757E-11</v>
      </c>
    </row>
    <row r="71" spans="1:20" x14ac:dyDescent="0.2">
      <c r="A71" s="5">
        <v>80</v>
      </c>
      <c r="H71" s="21"/>
      <c r="M71" s="5"/>
      <c r="Q71" s="22"/>
      <c r="R71" s="22"/>
    </row>
    <row r="72" spans="1:20" x14ac:dyDescent="0.2">
      <c r="A72" s="5">
        <v>81</v>
      </c>
      <c r="H72" s="21"/>
      <c r="M72" s="5"/>
      <c r="Q72" s="22"/>
      <c r="R72" s="22"/>
    </row>
    <row r="73" spans="1:20" x14ac:dyDescent="0.2">
      <c r="A73" s="5">
        <v>82</v>
      </c>
      <c r="H73" s="21"/>
      <c r="M73" s="5"/>
    </row>
    <row r="74" spans="1:20" x14ac:dyDescent="0.2">
      <c r="A74" s="5">
        <v>83</v>
      </c>
      <c r="H74" s="21"/>
      <c r="M74" s="5"/>
    </row>
    <row r="75" spans="1:20" x14ac:dyDescent="0.2">
      <c r="A75" s="5">
        <v>84</v>
      </c>
      <c r="H75" s="21"/>
      <c r="M75" s="5"/>
    </row>
    <row r="76" spans="1:20" x14ac:dyDescent="0.2">
      <c r="A76" s="5">
        <v>85</v>
      </c>
      <c r="H76" s="21"/>
    </row>
    <row r="77" spans="1:20" x14ac:dyDescent="0.2">
      <c r="A77" s="5">
        <v>86</v>
      </c>
      <c r="H77" s="21"/>
    </row>
    <row r="78" spans="1:20" x14ac:dyDescent="0.2">
      <c r="A78" s="5">
        <v>87</v>
      </c>
      <c r="H78" s="21"/>
    </row>
    <row r="79" spans="1:20" x14ac:dyDescent="0.2">
      <c r="A79" s="5">
        <v>88</v>
      </c>
      <c r="H79" s="21"/>
    </row>
    <row r="80" spans="1:20" x14ac:dyDescent="0.2">
      <c r="A80" s="5">
        <v>89</v>
      </c>
      <c r="H80" s="21"/>
    </row>
    <row r="81" spans="1:8" x14ac:dyDescent="0.2">
      <c r="A81" s="5">
        <v>90</v>
      </c>
      <c r="H81" s="21"/>
    </row>
  </sheetData>
  <pageMargins left="0.75" right="0.75" top="1" bottom="1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8"/>
  <sheetViews>
    <sheetView tabSelected="1" workbookViewId="0">
      <selection activeCell="G3" sqref="G3:G12"/>
    </sheetView>
  </sheetViews>
  <sheetFormatPr defaultRowHeight="12.75" x14ac:dyDescent="0.2"/>
  <cols>
    <col min="1" max="16384" width="9.140625" style="8"/>
  </cols>
  <sheetData>
    <row r="1" spans="1:22" x14ac:dyDescent="0.2">
      <c r="A1" s="18" t="s">
        <v>5</v>
      </c>
      <c r="B1" s="8" t="s">
        <v>8</v>
      </c>
      <c r="D1" s="8" t="s">
        <v>13</v>
      </c>
      <c r="F1" s="8" t="s">
        <v>21</v>
      </c>
      <c r="G1" s="8" t="s">
        <v>34</v>
      </c>
      <c r="K1" s="8" t="s">
        <v>22</v>
      </c>
      <c r="L1" s="8" t="s">
        <v>26</v>
      </c>
      <c r="M1" s="8" t="s">
        <v>30</v>
      </c>
      <c r="N1" s="8" t="s">
        <v>23</v>
      </c>
      <c r="O1" s="8" t="s">
        <v>27</v>
      </c>
      <c r="P1" s="8" t="s">
        <v>31</v>
      </c>
      <c r="Q1" s="8" t="s">
        <v>24</v>
      </c>
      <c r="R1" s="8" t="s">
        <v>28</v>
      </c>
      <c r="S1" s="8" t="s">
        <v>32</v>
      </c>
      <c r="T1" s="8" t="s">
        <v>25</v>
      </c>
      <c r="U1" s="8" t="s">
        <v>29</v>
      </c>
      <c r="V1" s="8" t="s">
        <v>33</v>
      </c>
    </row>
    <row r="2" spans="1:22" x14ac:dyDescent="0.2">
      <c r="A2" s="18">
        <v>8</v>
      </c>
      <c r="B2" s="11">
        <f>Meta!E2</f>
        <v>1</v>
      </c>
    </row>
    <row r="3" spans="1:22" x14ac:dyDescent="0.2">
      <c r="A3" s="18">
        <v>9</v>
      </c>
      <c r="B3" s="11">
        <f>Meta!E3</f>
        <v>0.93300000000000005</v>
      </c>
      <c r="D3" s="8">
        <f>Grade9!T2</f>
        <v>0.98678423218159372</v>
      </c>
      <c r="F3" s="15">
        <f t="shared" ref="F3:F12" si="0">(D3-1)*100</f>
        <v>-1.3215767818406277</v>
      </c>
      <c r="G3" s="15">
        <f>K3*M3+K4*M4+K5*M5+K6*M6</f>
        <v>-1.4852807106927</v>
      </c>
      <c r="H3" s="15"/>
      <c r="I3" s="15"/>
      <c r="K3" s="8">
        <f>1-B3</f>
        <v>6.6999999999999948E-2</v>
      </c>
      <c r="L3" s="8">
        <f>D3</f>
        <v>0.98678423218159372</v>
      </c>
      <c r="M3" s="8">
        <f t="shared" ref="M3:M12" si="1">(L3-1)*100</f>
        <v>-1.3215767818406277</v>
      </c>
    </row>
    <row r="4" spans="1:22" x14ac:dyDescent="0.2">
      <c r="A4" s="18">
        <v>10</v>
      </c>
      <c r="B4" s="11">
        <f>Meta!E4</f>
        <v>0.93300000000000005</v>
      </c>
      <c r="D4" s="8">
        <f>Grade10!T2</f>
        <v>0.98537205722830035</v>
      </c>
      <c r="F4" s="15">
        <f t="shared" si="0"/>
        <v>-1.4627942771699654</v>
      </c>
      <c r="G4" s="15">
        <f>N4*P4+N5*P5+N6*P6</f>
        <v>-1.5597268751349367</v>
      </c>
      <c r="H4" s="15"/>
      <c r="I4" s="15"/>
      <c r="K4" s="8">
        <f>B3*(1-B4)</f>
        <v>6.2510999999999955E-2</v>
      </c>
      <c r="L4" s="8">
        <f>(D3*D4)^0.5</f>
        <v>0.98607789190571848</v>
      </c>
      <c r="M4" s="8">
        <f t="shared" si="1"/>
        <v>-1.3922108094281516</v>
      </c>
      <c r="N4" s="8">
        <f>1-B4</f>
        <v>6.6999999999999948E-2</v>
      </c>
      <c r="O4" s="8">
        <f>D4</f>
        <v>0.98537205722830035</v>
      </c>
      <c r="P4" s="8">
        <f>(O4-1)*100</f>
        <v>-1.4627942771699654</v>
      </c>
    </row>
    <row r="5" spans="1:22" x14ac:dyDescent="0.2">
      <c r="A5" s="18">
        <v>11</v>
      </c>
      <c r="B5" s="11">
        <f>Meta!E5</f>
        <v>0.93300000000000005</v>
      </c>
      <c r="D5" s="8">
        <f>Grade11!T2</f>
        <v>0.98495920767166123</v>
      </c>
      <c r="F5" s="15">
        <f t="shared" si="0"/>
        <v>-1.504079232833877</v>
      </c>
      <c r="G5" s="15">
        <f>Q5*S5+Q6*S6</f>
        <v>-1.6192829013631016</v>
      </c>
      <c r="H5" s="15"/>
      <c r="I5" s="15"/>
      <c r="K5" s="8">
        <f>B3*B4*(1-B5)</f>
        <v>5.8322762999999958E-2</v>
      </c>
      <c r="L5" s="8">
        <f>(D3*D4*D5)^(1/3)</f>
        <v>0.98570485605839075</v>
      </c>
      <c r="M5" s="8">
        <f t="shared" si="1"/>
        <v>-1.4295143941609245</v>
      </c>
      <c r="N5" s="8">
        <f>B4*(1-B5)</f>
        <v>6.2510999999999955E-2</v>
      </c>
      <c r="O5" s="8">
        <f>(D4*D5)^0.5</f>
        <v>0.9851656108235719</v>
      </c>
      <c r="P5" s="8">
        <f>(O5-1)*100</f>
        <v>-1.4834389176428098</v>
      </c>
      <c r="Q5" s="8">
        <f>1-B5</f>
        <v>6.6999999999999948E-2</v>
      </c>
      <c r="R5" s="8">
        <f>D5</f>
        <v>0.98495920767166123</v>
      </c>
      <c r="S5" s="8">
        <f>(R5-1)*100</f>
        <v>-1.504079232833877</v>
      </c>
    </row>
    <row r="6" spans="1:22" x14ac:dyDescent="0.2">
      <c r="A6" s="18">
        <v>12</v>
      </c>
      <c r="B6" s="11">
        <f>Meta!E6</f>
        <v>0.93300000000000005</v>
      </c>
      <c r="D6" s="8">
        <f>Grade12!T2</f>
        <v>0.98249122358520469</v>
      </c>
      <c r="F6" s="15">
        <f t="shared" si="0"/>
        <v>-1.7508776414795313</v>
      </c>
      <c r="G6" s="15">
        <f>T6*V6</f>
        <v>-1.7508776414795313</v>
      </c>
      <c r="H6" s="15"/>
      <c r="I6" s="15"/>
      <c r="K6" s="8">
        <f>B3*B4*B5</f>
        <v>0.81216623700000012</v>
      </c>
      <c r="L6" s="8">
        <f>(D3*D4*D5*D6)^0.25</f>
        <v>0.98490046382972851</v>
      </c>
      <c r="M6" s="8">
        <f t="shared" si="1"/>
        <v>-1.5099536170271488</v>
      </c>
      <c r="N6" s="8">
        <f>B4*B5</f>
        <v>0.87048900000000007</v>
      </c>
      <c r="O6" s="8">
        <f>(D4*D5*D6)^(1/3)</f>
        <v>0.98427334052028481</v>
      </c>
      <c r="P6" s="8">
        <f>(O6-1)*100</f>
        <v>-1.5726659479715188</v>
      </c>
      <c r="Q6" s="8">
        <f>B5</f>
        <v>0.93300000000000005</v>
      </c>
      <c r="R6" s="8">
        <f>(D5*D6)^0.5</f>
        <v>0.98372444166384532</v>
      </c>
      <c r="S6" s="8">
        <f>(R6-1)*100</f>
        <v>-1.6275558336154683</v>
      </c>
      <c r="T6" s="8">
        <v>1</v>
      </c>
      <c r="U6" s="8">
        <f>D6</f>
        <v>0.98249122358520469</v>
      </c>
      <c r="V6" s="8">
        <f>(U6-1)*100</f>
        <v>-1.7508776414795313</v>
      </c>
    </row>
    <row r="7" spans="1:22" x14ac:dyDescent="0.2">
      <c r="A7" s="18">
        <v>13</v>
      </c>
      <c r="B7" s="11">
        <f>Meta!E7</f>
        <v>0.57299999999999995</v>
      </c>
      <c r="D7" s="8">
        <f>Grade13!T2</f>
        <v>0.97020464907745163</v>
      </c>
      <c r="F7" s="15">
        <f t="shared" si="0"/>
        <v>-2.9795350922548369</v>
      </c>
      <c r="G7" s="15">
        <f>K7*M7+K8*M8+K9*M9+K10*M10</f>
        <v>-3.0725788920708843</v>
      </c>
      <c r="H7" s="15"/>
      <c r="I7" s="15"/>
      <c r="K7" s="8">
        <f>1-B7</f>
        <v>0.42700000000000005</v>
      </c>
      <c r="L7" s="8">
        <f>D7</f>
        <v>0.97020464907745163</v>
      </c>
      <c r="M7" s="8">
        <f t="shared" si="1"/>
        <v>-2.9795350922548369</v>
      </c>
    </row>
    <row r="8" spans="1:22" x14ac:dyDescent="0.2">
      <c r="A8" s="18">
        <v>14</v>
      </c>
      <c r="B8" s="11">
        <f>Meta!E8</f>
        <v>0.57299999999999995</v>
      </c>
      <c r="D8" s="8">
        <f>Grade14!T2</f>
        <v>0.96848601505234355</v>
      </c>
      <c r="F8" s="15">
        <f t="shared" si="0"/>
        <v>-3.1513984947656448</v>
      </c>
      <c r="G8" s="15">
        <f>N8*P8+N9*P9+N10*P10</f>
        <v>-3.227402694258227</v>
      </c>
      <c r="H8" s="15"/>
      <c r="I8" s="15"/>
      <c r="K8" s="8">
        <f>B7*(1-B8)</f>
        <v>0.244671</v>
      </c>
      <c r="L8" s="8">
        <f>(D7*D8)^0.5</f>
        <v>0.96934495117593633</v>
      </c>
      <c r="M8" s="8">
        <f t="shared" si="1"/>
        <v>-3.0655048824063669</v>
      </c>
      <c r="N8" s="8">
        <f>1-B8</f>
        <v>0.42700000000000005</v>
      </c>
      <c r="O8" s="8">
        <f>D8</f>
        <v>0.96848601505234355</v>
      </c>
      <c r="P8" s="8">
        <f>(O8-1)*100</f>
        <v>-3.1513984947656448</v>
      </c>
    </row>
    <row r="9" spans="1:22" x14ac:dyDescent="0.2">
      <c r="A9" s="18">
        <v>15</v>
      </c>
      <c r="B9" s="11">
        <f>Meta!E9</f>
        <v>0.57299999999999995</v>
      </c>
      <c r="D9" s="8">
        <f>Grade15!T2</f>
        <v>0.96677850486462191</v>
      </c>
      <c r="F9" s="15">
        <f t="shared" si="0"/>
        <v>-3.3221495135378087</v>
      </c>
      <c r="G9" s="15">
        <f>Q9*S9+Q10*S10</f>
        <v>-3.3685033981992252</v>
      </c>
      <c r="H9" s="15"/>
      <c r="I9" s="15"/>
      <c r="K9" s="8">
        <f>B7*B8*(1-B9)</f>
        <v>0.14019648299999998</v>
      </c>
      <c r="L9" s="8">
        <f>(D7*D8*D9)^(1/3)</f>
        <v>0.96848871296567685</v>
      </c>
      <c r="M9" s="8">
        <f t="shared" si="1"/>
        <v>-3.1511287034323154</v>
      </c>
      <c r="N9" s="8">
        <f>B8*(1-B9)</f>
        <v>0.244671</v>
      </c>
      <c r="O9" s="8">
        <f>(D8*D9)^0.5</f>
        <v>0.96763188331854821</v>
      </c>
      <c r="P9" s="8">
        <f>(O9-1)*100</f>
        <v>-3.2368116681451786</v>
      </c>
      <c r="Q9" s="8">
        <f>1-B9</f>
        <v>0.42700000000000005</v>
      </c>
      <c r="R9" s="8">
        <f>D9</f>
        <v>0.96677850486462191</v>
      </c>
      <c r="S9" s="8">
        <f>(R9-1)*100</f>
        <v>-3.3221495135378087</v>
      </c>
    </row>
    <row r="10" spans="1:22" x14ac:dyDescent="0.2">
      <c r="A10" s="18">
        <v>16</v>
      </c>
      <c r="B10" s="11">
        <f>Meta!E10</f>
        <v>0.57299999999999995</v>
      </c>
      <c r="D10" s="8">
        <f>Grade16!T2</f>
        <v>0.96516124514519297</v>
      </c>
      <c r="F10" s="15">
        <f t="shared" si="0"/>
        <v>-3.483875485480703</v>
      </c>
      <c r="G10" s="15">
        <f>T10*V10</f>
        <v>-3.483875485480703</v>
      </c>
      <c r="H10" s="15"/>
      <c r="I10" s="15"/>
      <c r="K10" s="8">
        <f>B7*B8*B9</f>
        <v>0.18813251699999994</v>
      </c>
      <c r="L10" s="8">
        <f>(D7*D8*D9*D10)^0.25</f>
        <v>0.9676557720804182</v>
      </c>
      <c r="M10" s="8">
        <f t="shared" si="1"/>
        <v>-3.2344227919581803</v>
      </c>
      <c r="N10" s="8">
        <f>B8*B9</f>
        <v>0.32832899999999993</v>
      </c>
      <c r="O10" s="8">
        <f>(D8*D9*D10)^(1/3)</f>
        <v>0.96680763534940417</v>
      </c>
      <c r="P10" s="8">
        <f>(O10-1)*100</f>
        <v>-3.3192364650595829</v>
      </c>
      <c r="Q10" s="8">
        <f>B9</f>
        <v>0.57299999999999995</v>
      </c>
      <c r="R10" s="8">
        <f>(D9*D10)^0.5</f>
        <v>0.96596953654592355</v>
      </c>
      <c r="S10" s="8">
        <f>(R10-1)*100</f>
        <v>-3.4030463454076454</v>
      </c>
      <c r="T10" s="8">
        <v>1</v>
      </c>
      <c r="U10" s="8">
        <f>D10</f>
        <v>0.96516124514519297</v>
      </c>
      <c r="V10" s="8">
        <f>(U10-1)*100</f>
        <v>-3.483875485480703</v>
      </c>
    </row>
    <row r="11" spans="1:22" x14ac:dyDescent="0.2">
      <c r="A11" s="18">
        <v>17</v>
      </c>
      <c r="B11" s="11">
        <f>Meta!E11</f>
        <v>0.28499999999999998</v>
      </c>
      <c r="D11" s="8">
        <f>Grade17!T2</f>
        <v>0.92824941513955339</v>
      </c>
      <c r="F11" s="15">
        <f t="shared" si="0"/>
        <v>-7.1750584860446605</v>
      </c>
      <c r="G11" s="15">
        <f>K11*M11+K12*M12</f>
        <v>-7.1586040749411257</v>
      </c>
      <c r="H11" s="15"/>
      <c r="I11" s="15"/>
      <c r="K11" s="8">
        <f>1-B11</f>
        <v>0.71500000000000008</v>
      </c>
      <c r="L11" s="8">
        <f>D11</f>
        <v>0.92824941513955339</v>
      </c>
      <c r="M11" s="8">
        <f t="shared" si="1"/>
        <v>-7.1750584860446605</v>
      </c>
    </row>
    <row r="12" spans="1:22" x14ac:dyDescent="0.2">
      <c r="A12" s="18">
        <v>18</v>
      </c>
      <c r="B12" s="11">
        <f>Meta!E12</f>
        <v>0.28499999999999998</v>
      </c>
      <c r="D12" s="8">
        <f>Grade18!T2</f>
        <v>0.92940446975135582</v>
      </c>
      <c r="F12" s="15">
        <f t="shared" si="0"/>
        <v>-7.0595530248644174</v>
      </c>
      <c r="G12" s="15">
        <f>N12*P12</f>
        <v>-7.0595530248644174</v>
      </c>
      <c r="H12" s="15"/>
      <c r="I12" s="15"/>
      <c r="K12" s="8">
        <f>B11</f>
        <v>0.28499999999999998</v>
      </c>
      <c r="L12" s="8">
        <f>(D11*D12)^0.5</f>
        <v>0.92882676289757216</v>
      </c>
      <c r="M12" s="8">
        <f t="shared" si="1"/>
        <v>-7.1173237102427844</v>
      </c>
      <c r="N12" s="8">
        <v>1</v>
      </c>
      <c r="O12" s="8">
        <f>D12</f>
        <v>0.92940446975135582</v>
      </c>
      <c r="P12" s="8">
        <f>(O12-1)*100</f>
        <v>-7.0595530248644174</v>
      </c>
    </row>
    <row r="14" spans="1:22" x14ac:dyDescent="0.2">
      <c r="B14" s="16"/>
    </row>
    <row r="15" spans="1:22" x14ac:dyDescent="0.2">
      <c r="B15" s="16"/>
    </row>
    <row r="16" spans="1:22" x14ac:dyDescent="0.2">
      <c r="B16" s="16"/>
    </row>
    <row r="17" spans="2:4" x14ac:dyDescent="0.2">
      <c r="B17" s="16"/>
    </row>
    <row r="18" spans="2:4" x14ac:dyDescent="0.2">
      <c r="B18" s="16"/>
    </row>
    <row r="19" spans="2:4" x14ac:dyDescent="0.2">
      <c r="B19" s="16"/>
      <c r="D19" s="30"/>
    </row>
    <row r="20" spans="2:4" x14ac:dyDescent="0.2">
      <c r="B20" s="16"/>
    </row>
    <row r="21" spans="2:4" x14ac:dyDescent="0.2">
      <c r="B21" s="16"/>
    </row>
    <row r="22" spans="2:4" x14ac:dyDescent="0.2">
      <c r="B22" s="16"/>
    </row>
    <row r="23" spans="2:4" x14ac:dyDescent="0.2">
      <c r="B23" s="16"/>
    </row>
    <row r="24" spans="2:4" x14ac:dyDescent="0.2">
      <c r="B24" s="16"/>
    </row>
    <row r="25" spans="2:4" x14ac:dyDescent="0.2">
      <c r="B25" s="16"/>
    </row>
    <row r="26" spans="2:4" x14ac:dyDescent="0.2">
      <c r="B26" s="16"/>
    </row>
    <row r="27" spans="2:4" x14ac:dyDescent="0.2">
      <c r="B27" s="2"/>
    </row>
    <row r="28" spans="2:4" x14ac:dyDescent="0.2">
      <c r="B28" s="2"/>
    </row>
  </sheetData>
  <phoneticPr fontId="2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81"/>
  <sheetViews>
    <sheetView workbookViewId="0">
      <selection activeCell="R2" sqref="R2"/>
    </sheetView>
  </sheetViews>
  <sheetFormatPr defaultRowHeight="12.75" x14ac:dyDescent="0.2"/>
  <cols>
    <col min="1" max="1" width="13.7109375" style="5" customWidth="1"/>
    <col min="2" max="7" width="13.7109375" style="1" customWidth="1"/>
    <col min="8" max="8" width="9.5703125" style="1" customWidth="1"/>
    <col min="9" max="9" width="9.140625" style="1"/>
    <col min="10" max="11" width="9.28515625" style="1" customWidth="1"/>
    <col min="12" max="12" width="9.140625" style="1"/>
    <col min="13" max="13" width="9.5703125" style="1" customWidth="1"/>
    <col min="14" max="14" width="9.28515625" style="1" customWidth="1"/>
    <col min="15" max="16384" width="9.140625" style="1"/>
  </cols>
  <sheetData>
    <row r="1" spans="1:18" x14ac:dyDescent="0.2">
      <c r="B1" s="1" t="s">
        <v>11</v>
      </c>
      <c r="C1" s="27" t="s">
        <v>35</v>
      </c>
      <c r="D1" s="27" t="s">
        <v>36</v>
      </c>
      <c r="E1" s="6" t="s">
        <v>9</v>
      </c>
      <c r="F1" s="6" t="s">
        <v>49</v>
      </c>
      <c r="G1" s="1" t="s">
        <v>4</v>
      </c>
      <c r="H1" s="1" t="s">
        <v>8</v>
      </c>
      <c r="K1" s="1" t="s">
        <v>20</v>
      </c>
      <c r="N1" s="1" t="s">
        <v>43</v>
      </c>
      <c r="O1" s="1" t="s">
        <v>44</v>
      </c>
      <c r="P1" s="1" t="s">
        <v>45</v>
      </c>
      <c r="Q1" s="1" t="s">
        <v>46</v>
      </c>
      <c r="R1" s="1" t="s">
        <v>53</v>
      </c>
    </row>
    <row r="2" spans="1:18" x14ac:dyDescent="0.2">
      <c r="B2" s="5">
        <f>Meta!A2+6</f>
        <v>14</v>
      </c>
      <c r="C2" s="7">
        <f>Meta!B2</f>
        <v>36888</v>
      </c>
      <c r="D2" s="7">
        <f>Meta!C2</f>
        <v>16969</v>
      </c>
      <c r="E2" s="1">
        <f>Meta!D2</f>
        <v>8.4000000000000005E-2</v>
      </c>
      <c r="F2" s="1">
        <f>Meta!F2</f>
        <v>0.67</v>
      </c>
      <c r="G2" s="1">
        <f>Meta!I2</f>
        <v>2.0085479604911836</v>
      </c>
      <c r="H2" s="1">
        <f>Meta!E2</f>
        <v>1</v>
      </c>
      <c r="I2" s="13"/>
      <c r="K2" s="1">
        <f>Meta!D2</f>
        <v>8.4000000000000005E-2</v>
      </c>
      <c r="L2" s="13"/>
      <c r="N2" s="22">
        <f>Meta!T2</f>
        <v>43181</v>
      </c>
      <c r="O2" s="22">
        <f>Meta!U2</f>
        <v>19863</v>
      </c>
      <c r="P2" s="1">
        <f>Meta!V2</f>
        <v>7.0000000000000007E-2</v>
      </c>
      <c r="Q2" s="1">
        <f>Meta!X2</f>
        <v>0.72099999999999997</v>
      </c>
      <c r="R2" s="22">
        <f>Meta!W2</f>
        <v>5215</v>
      </c>
    </row>
    <row r="3" spans="1:18" ht="14.25" x14ac:dyDescent="0.2">
      <c r="C3" s="3"/>
      <c r="G3" s="4"/>
      <c r="L3" s="1" t="s">
        <v>10</v>
      </c>
    </row>
    <row r="4" spans="1:18" x14ac:dyDescent="0.2">
      <c r="A4" s="7" t="s">
        <v>0</v>
      </c>
      <c r="B4" s="2" t="s">
        <v>1</v>
      </c>
      <c r="C4" s="1" t="s">
        <v>37</v>
      </c>
      <c r="D4" s="1" t="s">
        <v>2</v>
      </c>
      <c r="E4" t="s">
        <v>12</v>
      </c>
      <c r="F4" t="s">
        <v>19</v>
      </c>
      <c r="G4" t="s">
        <v>18</v>
      </c>
      <c r="H4" t="s">
        <v>38</v>
      </c>
      <c r="I4" t="s">
        <v>6</v>
      </c>
      <c r="J4" s="1" t="s">
        <v>47</v>
      </c>
      <c r="L4" s="1" t="s">
        <v>48</v>
      </c>
      <c r="M4" s="1" t="s">
        <v>54</v>
      </c>
    </row>
    <row r="5" spans="1:18" x14ac:dyDescent="0.2">
      <c r="A5" s="5">
        <v>14</v>
      </c>
      <c r="B5" s="1">
        <f t="shared" ref="B5:B36" si="0">(1+experiencepremium)^(A5-startage)</f>
        <v>1</v>
      </c>
      <c r="C5" s="5">
        <f>pretaxincome*B5/expnorm</f>
        <v>18365.506189346441</v>
      </c>
      <c r="D5" s="5">
        <f>IF(A5&lt;startage,1,0)*(C5*(1-initialunempprob))+IF(A5=startage,1,0)*(C5*(1-unempprob))+IF(A5&gt;startage,1,0)*(C5*(1-unempprob)+unempprob*300*52)</f>
        <v>16822.803669441342</v>
      </c>
      <c r="E5" s="5">
        <f>IF(D5-9500&gt;0,1,0)*(D5-9500)</f>
        <v>7322.8036694413422</v>
      </c>
      <c r="F5" s="5">
        <f>IF(E5&lt;=8500,1,0)*(0.1*E5+0.1*E5+0.0765*D5)+IF(AND(E5&gt;8500,E5&lt;=34500),1,0)*(850+0.15*(E5-8500)+0.1*E5+0.0765*D5)+IF(AND(E5&gt;34500,E5&lt;=83600),1,0)*(4750+0.25*(E5-34500)+0.1*E5+0.0765*D5)+IF(AND(E5&gt;83600,E5&lt;=174400,D5&lt;=106800),1,0)*(17025+0.28*(E5-83600)+0.1*E5+0.0765*D5)+IF(AND(E5&gt;83600,E5&lt;=174400,D5&gt;106800),1,0)*(17025+0.28*(E5-83600)+0.1*E5+8170.2+0.0145*(D5-106800))+IF(AND(E5&gt;174400,E5&lt;=379150),1,0)*(42449+0.33*(E5-174400)+0.1*E5+8170.2+0.0145*(D5-106800))+IF(E5&gt;379150,1,0)*(110016.5+0.35*(E5-379150)+0.1*E5+8170.2+0.0145*(D5-106800))</f>
        <v>2751.505214600531</v>
      </c>
      <c r="G5" s="5">
        <f>D5-F5</f>
        <v>14071.298454840811</v>
      </c>
      <c r="H5" s="22">
        <f t="shared" ref="H5:H36" si="1">benefits*B5/expnorm</f>
        <v>8448.3917405936827</v>
      </c>
      <c r="I5" s="5">
        <f>G5+IF(A5&lt;startage,1,0)*(H5*(1-initialunempprob))+IF(A5&gt;=startage,1,0)*(H5*(1-unempprob))</f>
        <v>21810.025289224624</v>
      </c>
      <c r="J5" s="26">
        <f t="shared" ref="J5:J36" si="2">(F5-(IF(A5&gt;startage,1,0)*(unempprob*300*52)))/(IF(A5&lt;startage,1,0)*((C5+H5)*(1-initialunempprob))+IF(A5&gt;=startage,1,0)*((C5+H5)*(1-unempprob)))</f>
        <v>0.11202499022493805</v>
      </c>
      <c r="L5" s="22">
        <f t="shared" ref="L5:L36" si="3">(sincome+sbenefits)*(1-sunemp)*B5/expnorm</f>
        <v>29190.699526867164</v>
      </c>
      <c r="M5" s="5">
        <f>scrimecost*Meta!O2</f>
        <v>4516.1899999999996</v>
      </c>
      <c r="N5" s="22"/>
    </row>
    <row r="6" spans="1:18" x14ac:dyDescent="0.2">
      <c r="A6" s="5">
        <v>15</v>
      </c>
      <c r="B6" s="1">
        <f t="shared" si="0"/>
        <v>1.0249999999999999</v>
      </c>
      <c r="C6" s="5">
        <f t="shared" ref="C6:C36" si="4">pretaxincome*B6/expnorm</f>
        <v>18824.643844080099</v>
      </c>
      <c r="D6" s="5">
        <f t="shared" ref="D6:D36" si="5">IF(A6&lt;startage,1,0)*(C6*(1-initialunempprob))+IF(A6=startage,1,0)*(C6*(1-unempprob))+IF(A6&gt;startage,1,0)*(C6*(1-unempprob)+unempprob*300*52)</f>
        <v>18553.773761177374</v>
      </c>
      <c r="E6" s="5">
        <f t="shared" ref="E6:E56" si="6">IF(D6-9500&gt;0,1,0)*(D6-9500)</f>
        <v>9053.7737611773737</v>
      </c>
      <c r="F6" s="5">
        <f t="shared" ref="F6:F56" si="7">IF(E6&lt;=8500,1,0)*(0.1*E6+0.1*E6+0.0765*D6)+IF(AND(E6&gt;8500,E6&lt;=34500),1,0)*(850+0.15*(E6-8500)+0.1*E6+0.0765*D6)+IF(AND(E6&gt;34500,E6&lt;=83600),1,0)*(4750+0.25*(E6-34500)+0.1*E6+0.0765*D6)+IF(AND(E6&gt;83600,E6&lt;=174400,D6&lt;=106800),1,0)*(17025+0.28*(E6-83600)+0.1*E6+0.0765*D6)+IF(AND(E6&gt;83600,E6&lt;=174400,D6&gt;106800),1,0)*(17025+0.28*(E6-83600)+0.1*E6+8170.2+0.0145*(D6-106800))+IF(AND(E6&gt;174400,E6&lt;=379150),1,0)*(42449+0.33*(E6-174400)+0.1*E6+8170.2+0.0145*(D6-106800))+IF(E6&gt;379150,1,0)*(110016.5+0.35*(E6-379150)+0.1*E6+8170.2+0.0145*(D6-106800))</f>
        <v>3257.8071330244125</v>
      </c>
      <c r="G6" s="5">
        <f t="shared" ref="G6:G56" si="8">D6-F6</f>
        <v>15295.966628152961</v>
      </c>
      <c r="H6" s="22">
        <f t="shared" si="1"/>
        <v>8659.601534108524</v>
      </c>
      <c r="I6" s="5">
        <f t="shared" ref="I6:I36" si="9">G6+IF(A6&lt;startage,1,0)*(H6*(1-initialunempprob))+IF(A6&gt;=startage,1,0)*(H6*(1-unempprob))</f>
        <v>23228.161633396368</v>
      </c>
      <c r="J6" s="26">
        <f t="shared" si="2"/>
        <v>7.7353054109421657E-2</v>
      </c>
      <c r="L6" s="22">
        <f t="shared" si="3"/>
        <v>29920.467015038841</v>
      </c>
      <c r="M6" s="5">
        <f>scrimecost*Meta!O3</f>
        <v>8031.1</v>
      </c>
      <c r="N6" s="22"/>
    </row>
    <row r="7" spans="1:18" x14ac:dyDescent="0.2">
      <c r="A7" s="5">
        <v>16</v>
      </c>
      <c r="B7" s="1">
        <f t="shared" si="0"/>
        <v>1.0506249999999999</v>
      </c>
      <c r="C7" s="5">
        <f t="shared" si="4"/>
        <v>19295.259940182099</v>
      </c>
      <c r="D7" s="5">
        <f t="shared" si="5"/>
        <v>18984.858105206804</v>
      </c>
      <c r="E7" s="5">
        <f t="shared" si="6"/>
        <v>9484.8581052068039</v>
      </c>
      <c r="F7" s="5">
        <f t="shared" si="7"/>
        <v>3398.5561713500215</v>
      </c>
      <c r="G7" s="5">
        <f t="shared" si="8"/>
        <v>15586.301933856783</v>
      </c>
      <c r="H7" s="22">
        <f t="shared" si="1"/>
        <v>8876.091572461235</v>
      </c>
      <c r="I7" s="5">
        <f t="shared" si="9"/>
        <v>23716.801814231276</v>
      </c>
      <c r="J7" s="26">
        <f t="shared" si="2"/>
        <v>8.092073517487583E-2</v>
      </c>
      <c r="L7" s="22">
        <f t="shared" si="3"/>
        <v>30668.478690414813</v>
      </c>
      <c r="M7" s="5">
        <f>scrimecost*Meta!O4</f>
        <v>10758.545</v>
      </c>
      <c r="N7" s="22"/>
    </row>
    <row r="8" spans="1:18" x14ac:dyDescent="0.2">
      <c r="A8" s="5">
        <v>17</v>
      </c>
      <c r="B8" s="1">
        <f t="shared" si="0"/>
        <v>1.0768906249999999</v>
      </c>
      <c r="C8" s="5">
        <f t="shared" si="4"/>
        <v>19777.641438686653</v>
      </c>
      <c r="D8" s="5">
        <f t="shared" si="5"/>
        <v>19426.719557836976</v>
      </c>
      <c r="E8" s="5">
        <f t="shared" si="6"/>
        <v>9926.7195578369756</v>
      </c>
      <c r="F8" s="5">
        <f t="shared" si="7"/>
        <v>3542.8239356337726</v>
      </c>
      <c r="G8" s="5">
        <f t="shared" si="8"/>
        <v>15883.895622203203</v>
      </c>
      <c r="H8" s="22">
        <f t="shared" si="1"/>
        <v>9097.9938617727657</v>
      </c>
      <c r="I8" s="5">
        <f t="shared" si="9"/>
        <v>24217.657999587056</v>
      </c>
      <c r="J8" s="26">
        <f t="shared" si="2"/>
        <v>8.4401399628977525E-2</v>
      </c>
      <c r="L8" s="22">
        <f t="shared" si="3"/>
        <v>31435.190657675179</v>
      </c>
      <c r="M8" s="5">
        <f>scrimecost*Meta!O5</f>
        <v>13209.594999999999</v>
      </c>
      <c r="N8" s="22"/>
    </row>
    <row r="9" spans="1:18" x14ac:dyDescent="0.2">
      <c r="A9" s="5">
        <v>18</v>
      </c>
      <c r="B9" s="1">
        <f t="shared" si="0"/>
        <v>1.1038128906249998</v>
      </c>
      <c r="C9" s="5">
        <f t="shared" si="4"/>
        <v>20272.082474653816</v>
      </c>
      <c r="D9" s="5">
        <f t="shared" si="5"/>
        <v>19879.627546782896</v>
      </c>
      <c r="E9" s="5">
        <f t="shared" si="6"/>
        <v>10379.627546782896</v>
      </c>
      <c r="F9" s="5">
        <f t="shared" si="7"/>
        <v>3690.6983940246155</v>
      </c>
      <c r="G9" s="5">
        <f t="shared" si="8"/>
        <v>16188.929152758281</v>
      </c>
      <c r="H9" s="22">
        <f t="shared" si="1"/>
        <v>9325.4437083170851</v>
      </c>
      <c r="I9" s="5">
        <f t="shared" si="9"/>
        <v>24731.035589576732</v>
      </c>
      <c r="J9" s="26">
        <f t="shared" si="2"/>
        <v>8.7797169828101068E-2</v>
      </c>
      <c r="L9" s="22">
        <f t="shared" si="3"/>
        <v>32221.070424117057</v>
      </c>
      <c r="M9" s="5">
        <f>scrimecost*Meta!O6</f>
        <v>16734.935000000001</v>
      </c>
      <c r="N9" s="22"/>
    </row>
    <row r="10" spans="1:18" x14ac:dyDescent="0.2">
      <c r="A10" s="5">
        <v>19</v>
      </c>
      <c r="B10" s="1">
        <f t="shared" si="0"/>
        <v>1.1314082128906247</v>
      </c>
      <c r="C10" s="5">
        <f t="shared" si="4"/>
        <v>20778.884536520163</v>
      </c>
      <c r="D10" s="5">
        <f t="shared" si="5"/>
        <v>20343.858235452473</v>
      </c>
      <c r="E10" s="5">
        <f t="shared" si="6"/>
        <v>10843.858235452473</v>
      </c>
      <c r="F10" s="5">
        <f t="shared" si="7"/>
        <v>3842.2697138752328</v>
      </c>
      <c r="G10" s="5">
        <f t="shared" si="8"/>
        <v>16501.58852157724</v>
      </c>
      <c r="H10" s="22">
        <f t="shared" si="1"/>
        <v>9558.579801025011</v>
      </c>
      <c r="I10" s="5">
        <f t="shared" si="9"/>
        <v>25257.247619316149</v>
      </c>
      <c r="J10" s="26">
        <f t="shared" si="2"/>
        <v>9.111011636383147E-2</v>
      </c>
      <c r="L10" s="22">
        <f t="shared" si="3"/>
        <v>33026.597184719983</v>
      </c>
      <c r="M10" s="5">
        <f>scrimecost*Meta!O7</f>
        <v>17757.075000000001</v>
      </c>
      <c r="N10" s="22"/>
    </row>
    <row r="11" spans="1:18" x14ac:dyDescent="0.2">
      <c r="A11" s="5">
        <v>20</v>
      </c>
      <c r="B11" s="1">
        <f t="shared" si="0"/>
        <v>1.1596934182128902</v>
      </c>
      <c r="C11" s="5">
        <f t="shared" si="4"/>
        <v>21298.356649933165</v>
      </c>
      <c r="D11" s="5">
        <f t="shared" si="5"/>
        <v>20819.69469133878</v>
      </c>
      <c r="E11" s="5">
        <f t="shared" si="6"/>
        <v>11319.69469133878</v>
      </c>
      <c r="F11" s="5">
        <f t="shared" si="7"/>
        <v>3997.6303167221117</v>
      </c>
      <c r="G11" s="5">
        <f t="shared" si="8"/>
        <v>16822.064374616668</v>
      </c>
      <c r="H11" s="22">
        <f t="shared" si="1"/>
        <v>9797.5442960506352</v>
      </c>
      <c r="I11" s="5">
        <f t="shared" si="9"/>
        <v>25796.614949799048</v>
      </c>
      <c r="J11" s="26">
        <f t="shared" si="2"/>
        <v>9.4342259325519554E-2</v>
      </c>
      <c r="L11" s="22">
        <f t="shared" si="3"/>
        <v>33852.262114337973</v>
      </c>
      <c r="M11" s="5">
        <f>scrimecost*Meta!O8</f>
        <v>17042.62</v>
      </c>
      <c r="N11" s="22"/>
    </row>
    <row r="12" spans="1:18" x14ac:dyDescent="0.2">
      <c r="A12" s="5">
        <v>21</v>
      </c>
      <c r="B12" s="1">
        <f t="shared" si="0"/>
        <v>1.1886857536682125</v>
      </c>
      <c r="C12" s="5">
        <f t="shared" si="4"/>
        <v>21830.815566181493</v>
      </c>
      <c r="D12" s="5">
        <f t="shared" si="5"/>
        <v>21307.427058622248</v>
      </c>
      <c r="E12" s="5">
        <f t="shared" si="6"/>
        <v>11807.427058622248</v>
      </c>
      <c r="F12" s="5">
        <f t="shared" si="7"/>
        <v>4156.8749346401637</v>
      </c>
      <c r="G12" s="5">
        <f t="shared" si="8"/>
        <v>17150.552123982085</v>
      </c>
      <c r="H12" s="22">
        <f t="shared" si="1"/>
        <v>10042.482903451903</v>
      </c>
      <c r="I12" s="5">
        <f t="shared" si="9"/>
        <v>26349.466463544028</v>
      </c>
      <c r="J12" s="26">
        <f t="shared" si="2"/>
        <v>9.749556953204451E-2</v>
      </c>
      <c r="L12" s="22">
        <f t="shared" si="3"/>
        <v>34698.568667196429</v>
      </c>
      <c r="M12" s="5">
        <f>scrimecost*Meta!O9</f>
        <v>15702.365</v>
      </c>
      <c r="N12" s="22"/>
    </row>
    <row r="13" spans="1:18" x14ac:dyDescent="0.2">
      <c r="A13" s="5">
        <v>22</v>
      </c>
      <c r="B13" s="1">
        <f t="shared" si="0"/>
        <v>1.2184028975099177</v>
      </c>
      <c r="C13" s="5">
        <f t="shared" si="4"/>
        <v>22376.585955336028</v>
      </c>
      <c r="D13" s="5">
        <f t="shared" si="5"/>
        <v>21807.352735087803</v>
      </c>
      <c r="E13" s="5">
        <f t="shared" si="6"/>
        <v>12307.352735087803</v>
      </c>
      <c r="F13" s="5">
        <f t="shared" si="7"/>
        <v>4320.1006680061673</v>
      </c>
      <c r="G13" s="5">
        <f t="shared" si="8"/>
        <v>17487.252067081638</v>
      </c>
      <c r="H13" s="22">
        <f t="shared" si="1"/>
        <v>10293.544976038198</v>
      </c>
      <c r="I13" s="5">
        <f t="shared" si="9"/>
        <v>26916.139265132628</v>
      </c>
      <c r="J13" s="26">
        <f t="shared" si="2"/>
        <v>0.10057196973353232</v>
      </c>
      <c r="L13" s="22">
        <f t="shared" si="3"/>
        <v>35566.032883876338</v>
      </c>
      <c r="M13" s="5">
        <f>scrimecost*Meta!O10</f>
        <v>14320.39</v>
      </c>
      <c r="N13" s="22"/>
    </row>
    <row r="14" spans="1:18" x14ac:dyDescent="0.2">
      <c r="A14" s="5">
        <v>23</v>
      </c>
      <c r="B14" s="1">
        <f t="shared" si="0"/>
        <v>1.2488629699476654</v>
      </c>
      <c r="C14" s="5">
        <f t="shared" si="4"/>
        <v>22936.000604219429</v>
      </c>
      <c r="D14" s="5">
        <f t="shared" si="5"/>
        <v>22319.776553464999</v>
      </c>
      <c r="E14" s="5">
        <f t="shared" si="6"/>
        <v>12819.776553464999</v>
      </c>
      <c r="F14" s="5">
        <f t="shared" si="7"/>
        <v>4487.4070447063223</v>
      </c>
      <c r="G14" s="5">
        <f t="shared" si="8"/>
        <v>17832.369508758675</v>
      </c>
      <c r="H14" s="22">
        <f t="shared" si="1"/>
        <v>10550.883600439152</v>
      </c>
      <c r="I14" s="5">
        <f t="shared" si="9"/>
        <v>27496.978886760939</v>
      </c>
      <c r="J14" s="26">
        <f t="shared" si="2"/>
        <v>0.10357333578376436</v>
      </c>
      <c r="L14" s="22">
        <f t="shared" si="3"/>
        <v>36455.183705973235</v>
      </c>
      <c r="M14" s="5">
        <f>scrimecost*Meta!O11</f>
        <v>13350.4</v>
      </c>
      <c r="N14" s="22"/>
    </row>
    <row r="15" spans="1:18" x14ac:dyDescent="0.2">
      <c r="A15" s="5">
        <v>24</v>
      </c>
      <c r="B15" s="1">
        <f t="shared" si="0"/>
        <v>1.2800845441963571</v>
      </c>
      <c r="C15" s="5">
        <f t="shared" si="4"/>
        <v>23509.400619324912</v>
      </c>
      <c r="D15" s="5">
        <f t="shared" si="5"/>
        <v>22845.01096730162</v>
      </c>
      <c r="E15" s="5">
        <f t="shared" si="6"/>
        <v>13345.01096730162</v>
      </c>
      <c r="F15" s="5">
        <f t="shared" si="7"/>
        <v>4658.896080823979</v>
      </c>
      <c r="G15" s="5">
        <f t="shared" si="8"/>
        <v>18186.114886477641</v>
      </c>
      <c r="H15" s="22">
        <f t="shared" si="1"/>
        <v>10814.65569045013</v>
      </c>
      <c r="I15" s="5">
        <f t="shared" si="9"/>
        <v>28092.33949892996</v>
      </c>
      <c r="J15" s="26">
        <f t="shared" si="2"/>
        <v>0.10650149778399065</v>
      </c>
      <c r="L15" s="22">
        <f t="shared" si="3"/>
        <v>37366.563298622568</v>
      </c>
      <c r="M15" s="5">
        <f>scrimecost*Meta!O12</f>
        <v>12735.03</v>
      </c>
      <c r="N15" s="22"/>
    </row>
    <row r="16" spans="1:18" x14ac:dyDescent="0.2">
      <c r="A16" s="5">
        <v>25</v>
      </c>
      <c r="B16" s="1">
        <f t="shared" si="0"/>
        <v>1.312086657801266</v>
      </c>
      <c r="C16" s="5">
        <f t="shared" si="4"/>
        <v>24097.135634808034</v>
      </c>
      <c r="D16" s="5">
        <f t="shared" si="5"/>
        <v>23383.376241484162</v>
      </c>
      <c r="E16" s="5">
        <f t="shared" si="6"/>
        <v>13883.376241484162</v>
      </c>
      <c r="F16" s="5">
        <f t="shared" si="7"/>
        <v>4834.6723428445785</v>
      </c>
      <c r="G16" s="5">
        <f t="shared" si="8"/>
        <v>18548.703898639586</v>
      </c>
      <c r="H16" s="22">
        <f t="shared" si="1"/>
        <v>11085.022082711384</v>
      </c>
      <c r="I16" s="5">
        <f t="shared" si="9"/>
        <v>28702.584126403213</v>
      </c>
      <c r="J16" s="26">
        <f t="shared" si="2"/>
        <v>0.10935824119884563</v>
      </c>
      <c r="L16" s="22">
        <f t="shared" si="3"/>
        <v>38300.727381088138</v>
      </c>
      <c r="M16" s="5">
        <f>scrimecost*Meta!O13</f>
        <v>10602.094999999999</v>
      </c>
      <c r="N16" s="22"/>
    </row>
    <row r="17" spans="1:14" x14ac:dyDescent="0.2">
      <c r="A17" s="5">
        <v>26</v>
      </c>
      <c r="B17" s="1">
        <f t="shared" si="0"/>
        <v>1.3448888242462975</v>
      </c>
      <c r="C17" s="5">
        <f t="shared" si="4"/>
        <v>24699.564025678235</v>
      </c>
      <c r="D17" s="5">
        <f t="shared" si="5"/>
        <v>23935.200647521266</v>
      </c>
      <c r="E17" s="5">
        <f t="shared" si="6"/>
        <v>14435.200647521266</v>
      </c>
      <c r="F17" s="5">
        <f t="shared" si="7"/>
        <v>5014.8430114156927</v>
      </c>
      <c r="G17" s="5">
        <f t="shared" si="8"/>
        <v>18920.357636105575</v>
      </c>
      <c r="H17" s="22">
        <f t="shared" si="1"/>
        <v>11362.147634779169</v>
      </c>
      <c r="I17" s="5">
        <f t="shared" si="9"/>
        <v>29328.084869563296</v>
      </c>
      <c r="J17" s="26">
        <f t="shared" si="2"/>
        <v>0.1121453079450456</v>
      </c>
      <c r="L17" s="22">
        <f t="shared" si="3"/>
        <v>39258.245565615332</v>
      </c>
      <c r="M17" s="5">
        <f>scrimecost*Meta!O14</f>
        <v>10602.094999999999</v>
      </c>
      <c r="N17" s="22"/>
    </row>
    <row r="18" spans="1:14" x14ac:dyDescent="0.2">
      <c r="A18" s="5">
        <v>27</v>
      </c>
      <c r="B18" s="1">
        <f t="shared" si="0"/>
        <v>1.3785110448524549</v>
      </c>
      <c r="C18" s="5">
        <f t="shared" si="4"/>
        <v>25317.053126320188</v>
      </c>
      <c r="D18" s="5">
        <f t="shared" si="5"/>
        <v>24500.820663709295</v>
      </c>
      <c r="E18" s="5">
        <f t="shared" si="6"/>
        <v>15000.820663709295</v>
      </c>
      <c r="F18" s="5">
        <f t="shared" si="7"/>
        <v>5199.5179467010848</v>
      </c>
      <c r="G18" s="5">
        <f t="shared" si="8"/>
        <v>19301.30271700821</v>
      </c>
      <c r="H18" s="22">
        <f t="shared" si="1"/>
        <v>11646.201325648646</v>
      </c>
      <c r="I18" s="5">
        <f t="shared" si="9"/>
        <v>29969.223131302369</v>
      </c>
      <c r="J18" s="26">
        <f t="shared" si="2"/>
        <v>0.11486439745353338</v>
      </c>
      <c r="L18" s="22">
        <f t="shared" si="3"/>
        <v>40239.701704755716</v>
      </c>
      <c r="M18" s="5">
        <f>scrimecost*Meta!O15</f>
        <v>10602.094999999999</v>
      </c>
      <c r="N18" s="22"/>
    </row>
    <row r="19" spans="1:14" x14ac:dyDescent="0.2">
      <c r="A19" s="5">
        <v>28</v>
      </c>
      <c r="B19" s="1">
        <f t="shared" si="0"/>
        <v>1.4129738209737661</v>
      </c>
      <c r="C19" s="5">
        <f t="shared" si="4"/>
        <v>25949.979454478191</v>
      </c>
      <c r="D19" s="5">
        <f t="shared" si="5"/>
        <v>25080.581180302026</v>
      </c>
      <c r="E19" s="5">
        <f t="shared" si="6"/>
        <v>15580.581180302026</v>
      </c>
      <c r="F19" s="5">
        <f t="shared" si="7"/>
        <v>5388.8097553686111</v>
      </c>
      <c r="G19" s="5">
        <f t="shared" si="8"/>
        <v>19691.771424933417</v>
      </c>
      <c r="H19" s="22">
        <f t="shared" si="1"/>
        <v>11937.356358789861</v>
      </c>
      <c r="I19" s="5">
        <f t="shared" si="9"/>
        <v>30626.389849584928</v>
      </c>
      <c r="J19" s="26">
        <f t="shared" si="2"/>
        <v>0.11751716770571657</v>
      </c>
      <c r="L19" s="22">
        <f t="shared" si="3"/>
        <v>41245.694247374609</v>
      </c>
      <c r="M19" s="5">
        <f>scrimecost*Meta!O16</f>
        <v>10602.094999999999</v>
      </c>
      <c r="N19" s="22"/>
    </row>
    <row r="20" spans="1:14" x14ac:dyDescent="0.2">
      <c r="A20" s="5">
        <v>29</v>
      </c>
      <c r="B20" s="1">
        <f t="shared" si="0"/>
        <v>1.4482981664981105</v>
      </c>
      <c r="C20" s="5">
        <f t="shared" si="4"/>
        <v>26598.728940840148</v>
      </c>
      <c r="D20" s="5">
        <f t="shared" si="5"/>
        <v>25674.835709809577</v>
      </c>
      <c r="E20" s="5">
        <f t="shared" si="6"/>
        <v>16174.835709809577</v>
      </c>
      <c r="F20" s="5">
        <f t="shared" si="7"/>
        <v>5582.8338592528271</v>
      </c>
      <c r="G20" s="5">
        <f t="shared" si="8"/>
        <v>20092.00185055675</v>
      </c>
      <c r="H20" s="22">
        <f t="shared" si="1"/>
        <v>12235.79026775961</v>
      </c>
      <c r="I20" s="5">
        <f t="shared" si="9"/>
        <v>31299.985735824554</v>
      </c>
      <c r="J20" s="26">
        <f t="shared" si="2"/>
        <v>0.12010523624443191</v>
      </c>
      <c r="L20" s="22">
        <f t="shared" si="3"/>
        <v>42276.836603558972</v>
      </c>
      <c r="M20" s="5">
        <f>scrimecost*Meta!O17</f>
        <v>10602.094999999999</v>
      </c>
      <c r="N20" s="22"/>
    </row>
    <row r="21" spans="1:14" x14ac:dyDescent="0.2">
      <c r="A21" s="5">
        <v>30</v>
      </c>
      <c r="B21" s="1">
        <f t="shared" si="0"/>
        <v>1.4845056206605631</v>
      </c>
      <c r="C21" s="5">
        <f t="shared" si="4"/>
        <v>27263.69716436115</v>
      </c>
      <c r="D21" s="5">
        <f t="shared" si="5"/>
        <v>26283.946602554817</v>
      </c>
      <c r="E21" s="5">
        <f t="shared" si="6"/>
        <v>16783.946602554817</v>
      </c>
      <c r="F21" s="5">
        <f t="shared" si="7"/>
        <v>5781.7085657341477</v>
      </c>
      <c r="G21" s="5">
        <f t="shared" si="8"/>
        <v>20502.238036820669</v>
      </c>
      <c r="H21" s="22">
        <f t="shared" si="1"/>
        <v>12541.6850244536</v>
      </c>
      <c r="I21" s="5">
        <f t="shared" si="9"/>
        <v>31990.421519220166</v>
      </c>
      <c r="J21" s="26">
        <f t="shared" si="2"/>
        <v>0.12263018116025172</v>
      </c>
      <c r="L21" s="22">
        <f t="shared" si="3"/>
        <v>43333.757518647944</v>
      </c>
      <c r="M21" s="5">
        <f>scrimecost*Meta!O18</f>
        <v>8735.125</v>
      </c>
      <c r="N21" s="22"/>
    </row>
    <row r="22" spans="1:14" x14ac:dyDescent="0.2">
      <c r="A22" s="5">
        <v>31</v>
      </c>
      <c r="B22" s="1">
        <f t="shared" si="0"/>
        <v>1.521618261177077</v>
      </c>
      <c r="C22" s="5">
        <f t="shared" si="4"/>
        <v>27945.289593470177</v>
      </c>
      <c r="D22" s="5">
        <f t="shared" si="5"/>
        <v>26908.285267618685</v>
      </c>
      <c r="E22" s="5">
        <f t="shared" si="6"/>
        <v>17408.285267618685</v>
      </c>
      <c r="F22" s="5">
        <f t="shared" si="7"/>
        <v>5985.5551398775006</v>
      </c>
      <c r="G22" s="5">
        <f t="shared" si="8"/>
        <v>20922.730127741183</v>
      </c>
      <c r="H22" s="22">
        <f t="shared" si="1"/>
        <v>12855.227150064937</v>
      </c>
      <c r="I22" s="5">
        <f t="shared" si="9"/>
        <v>32698.118197200667</v>
      </c>
      <c r="J22" s="26">
        <f t="shared" si="2"/>
        <v>0.12509354205373446</v>
      </c>
      <c r="L22" s="22">
        <f t="shared" si="3"/>
        <v>44417.101456614138</v>
      </c>
      <c r="M22" s="5">
        <f>scrimecost*Meta!O19</f>
        <v>8735.125</v>
      </c>
      <c r="N22" s="22"/>
    </row>
    <row r="23" spans="1:14" x14ac:dyDescent="0.2">
      <c r="A23" s="5">
        <v>32</v>
      </c>
      <c r="B23" s="1">
        <f t="shared" si="0"/>
        <v>1.559658717706504</v>
      </c>
      <c r="C23" s="5">
        <f t="shared" si="4"/>
        <v>28643.921833306929</v>
      </c>
      <c r="D23" s="5">
        <f t="shared" si="5"/>
        <v>27548.232399309149</v>
      </c>
      <c r="E23" s="5">
        <f t="shared" si="6"/>
        <v>18048.232399309149</v>
      </c>
      <c r="F23" s="5">
        <f t="shared" si="7"/>
        <v>6194.4978783744373</v>
      </c>
      <c r="G23" s="5">
        <f t="shared" si="8"/>
        <v>21353.734520934711</v>
      </c>
      <c r="H23" s="22">
        <f t="shared" si="1"/>
        <v>13176.607828816561</v>
      </c>
      <c r="I23" s="5">
        <f t="shared" si="9"/>
        <v>33423.507292130686</v>
      </c>
      <c r="J23" s="26">
        <f t="shared" si="2"/>
        <v>0.12749682097420545</v>
      </c>
      <c r="L23" s="22">
        <f t="shared" si="3"/>
        <v>45527.528993029489</v>
      </c>
      <c r="M23" s="5">
        <f>scrimecost*Meta!O20</f>
        <v>8735.125</v>
      </c>
      <c r="N23" s="22"/>
    </row>
    <row r="24" spans="1:14" x14ac:dyDescent="0.2">
      <c r="A24" s="5">
        <v>33</v>
      </c>
      <c r="B24" s="1">
        <f t="shared" si="0"/>
        <v>1.5986501856491666</v>
      </c>
      <c r="C24" s="5">
        <f t="shared" si="4"/>
        <v>29360.019879139607</v>
      </c>
      <c r="D24" s="5">
        <f t="shared" si="5"/>
        <v>28204.178209291884</v>
      </c>
      <c r="E24" s="5">
        <f t="shared" si="6"/>
        <v>18704.178209291884</v>
      </c>
      <c r="F24" s="5">
        <f t="shared" si="7"/>
        <v>6408.6641853338006</v>
      </c>
      <c r="G24" s="5">
        <f t="shared" si="8"/>
        <v>21795.514023958083</v>
      </c>
      <c r="H24" s="22">
        <f t="shared" si="1"/>
        <v>13506.023024536977</v>
      </c>
      <c r="I24" s="5">
        <f t="shared" si="9"/>
        <v>34167.03111443395</v>
      </c>
      <c r="J24" s="26">
        <f t="shared" si="2"/>
        <v>0.12984148333564055</v>
      </c>
      <c r="L24" s="22">
        <f t="shared" si="3"/>
        <v>46665.717217855228</v>
      </c>
      <c r="M24" s="5">
        <f>scrimecost*Meta!O21</f>
        <v>8735.125</v>
      </c>
      <c r="N24" s="22"/>
    </row>
    <row r="25" spans="1:14" x14ac:dyDescent="0.2">
      <c r="A25" s="5">
        <v>34</v>
      </c>
      <c r="B25" s="1">
        <f t="shared" si="0"/>
        <v>1.6386164402903955</v>
      </c>
      <c r="C25" s="5">
        <f t="shared" si="4"/>
        <v>30094.020376118089</v>
      </c>
      <c r="D25" s="5">
        <f t="shared" si="5"/>
        <v>28876.522664524171</v>
      </c>
      <c r="E25" s="5">
        <f t="shared" si="6"/>
        <v>19376.522664524171</v>
      </c>
      <c r="F25" s="5">
        <f t="shared" si="7"/>
        <v>6628.1846499671419</v>
      </c>
      <c r="G25" s="5">
        <f t="shared" si="8"/>
        <v>22248.33801455703</v>
      </c>
      <c r="H25" s="22">
        <f t="shared" si="1"/>
        <v>13843.673600150398</v>
      </c>
      <c r="I25" s="5">
        <f t="shared" si="9"/>
        <v>34929.143032294793</v>
      </c>
      <c r="J25" s="26">
        <f t="shared" si="2"/>
        <v>0.13212895881021133</v>
      </c>
      <c r="L25" s="22">
        <f t="shared" si="3"/>
        <v>47832.36014830161</v>
      </c>
      <c r="M25" s="5">
        <f>scrimecost*Meta!O22</f>
        <v>8735.125</v>
      </c>
      <c r="N25" s="22"/>
    </row>
    <row r="26" spans="1:14" x14ac:dyDescent="0.2">
      <c r="A26" s="5">
        <v>35</v>
      </c>
      <c r="B26" s="1">
        <f t="shared" si="0"/>
        <v>1.6795818512976552</v>
      </c>
      <c r="C26" s="5">
        <f t="shared" si="4"/>
        <v>30846.370885521039</v>
      </c>
      <c r="D26" s="5">
        <f t="shared" si="5"/>
        <v>29565.675731137275</v>
      </c>
      <c r="E26" s="5">
        <f t="shared" si="6"/>
        <v>20065.675731137275</v>
      </c>
      <c r="F26" s="5">
        <f t="shared" si="7"/>
        <v>6853.1931262163198</v>
      </c>
      <c r="G26" s="5">
        <f t="shared" si="8"/>
        <v>22712.482604920955</v>
      </c>
      <c r="H26" s="22">
        <f t="shared" si="1"/>
        <v>14189.765440154155</v>
      </c>
      <c r="I26" s="5">
        <f t="shared" si="9"/>
        <v>35710.307748102161</v>
      </c>
      <c r="J26" s="26">
        <f t="shared" si="2"/>
        <v>0.13436064220003655</v>
      </c>
      <c r="L26" s="22">
        <f t="shared" si="3"/>
        <v>49028.169152009134</v>
      </c>
      <c r="M26" s="5">
        <f>scrimecost*Meta!O23</f>
        <v>6602.1900000000005</v>
      </c>
      <c r="N26" s="22"/>
    </row>
    <row r="27" spans="1:14" x14ac:dyDescent="0.2">
      <c r="A27" s="5">
        <v>36</v>
      </c>
      <c r="B27" s="1">
        <f t="shared" si="0"/>
        <v>1.7215713975800966</v>
      </c>
      <c r="C27" s="5">
        <f t="shared" si="4"/>
        <v>31617.530157659065</v>
      </c>
      <c r="D27" s="5">
        <f t="shared" si="5"/>
        <v>30272.057624415706</v>
      </c>
      <c r="E27" s="5">
        <f t="shared" si="6"/>
        <v>20772.057624415706</v>
      </c>
      <c r="F27" s="5">
        <f t="shared" si="7"/>
        <v>7083.8268143717278</v>
      </c>
      <c r="G27" s="5">
        <f t="shared" si="8"/>
        <v>23188.230810043977</v>
      </c>
      <c r="H27" s="22">
        <f t="shared" si="1"/>
        <v>14544.509576158009</v>
      </c>
      <c r="I27" s="5">
        <f t="shared" si="9"/>
        <v>36511.00158180471</v>
      </c>
      <c r="J27" s="26">
        <f t="shared" si="2"/>
        <v>0.13653789428767088</v>
      </c>
      <c r="L27" s="22">
        <f t="shared" si="3"/>
        <v>50253.873380809368</v>
      </c>
      <c r="M27" s="5">
        <f>scrimecost*Meta!O24</f>
        <v>6602.1900000000005</v>
      </c>
      <c r="N27" s="22"/>
    </row>
    <row r="28" spans="1:14" x14ac:dyDescent="0.2">
      <c r="A28" s="5">
        <v>37</v>
      </c>
      <c r="B28" s="1">
        <f t="shared" si="0"/>
        <v>1.7646106825195991</v>
      </c>
      <c r="C28" s="5">
        <f t="shared" si="4"/>
        <v>32407.968411600541</v>
      </c>
      <c r="D28" s="5">
        <f t="shared" si="5"/>
        <v>30996.099065026097</v>
      </c>
      <c r="E28" s="5">
        <f t="shared" si="6"/>
        <v>21496.099065026097</v>
      </c>
      <c r="F28" s="5">
        <f t="shared" si="7"/>
        <v>7320.2263447310197</v>
      </c>
      <c r="G28" s="5">
        <f t="shared" si="8"/>
        <v>23675.872720295076</v>
      </c>
      <c r="H28" s="22">
        <f t="shared" si="1"/>
        <v>14908.122315561961</v>
      </c>
      <c r="I28" s="5">
        <f t="shared" si="9"/>
        <v>37331.712761349831</v>
      </c>
      <c r="J28" s="26">
        <f t="shared" si="2"/>
        <v>0.13866204266585069</v>
      </c>
      <c r="L28" s="22">
        <f t="shared" si="3"/>
        <v>51510.220215329602</v>
      </c>
      <c r="M28" s="5">
        <f>scrimecost*Meta!O25</f>
        <v>6602.1900000000005</v>
      </c>
      <c r="N28" s="22"/>
    </row>
    <row r="29" spans="1:14" x14ac:dyDescent="0.2">
      <c r="A29" s="5">
        <v>38</v>
      </c>
      <c r="B29" s="1">
        <f t="shared" si="0"/>
        <v>1.8087259495825889</v>
      </c>
      <c r="C29" s="5">
        <f t="shared" si="4"/>
        <v>33218.167621890556</v>
      </c>
      <c r="D29" s="5">
        <f t="shared" si="5"/>
        <v>31738.241541651751</v>
      </c>
      <c r="E29" s="5">
        <f t="shared" si="6"/>
        <v>22238.241541651751</v>
      </c>
      <c r="F29" s="5">
        <f t="shared" si="7"/>
        <v>7562.5358633492961</v>
      </c>
      <c r="G29" s="5">
        <f t="shared" si="8"/>
        <v>24175.705678302453</v>
      </c>
      <c r="H29" s="22">
        <f t="shared" si="1"/>
        <v>15280.825373451009</v>
      </c>
      <c r="I29" s="5">
        <f t="shared" si="9"/>
        <v>38172.941720383576</v>
      </c>
      <c r="J29" s="26">
        <f t="shared" si="2"/>
        <v>0.1407343825470018</v>
      </c>
      <c r="L29" s="22">
        <f t="shared" si="3"/>
        <v>52797.975720712835</v>
      </c>
      <c r="M29" s="5">
        <f>scrimecost*Meta!O26</f>
        <v>6602.1900000000005</v>
      </c>
      <c r="N29" s="22"/>
    </row>
    <row r="30" spans="1:14" x14ac:dyDescent="0.2">
      <c r="A30" s="5">
        <v>39</v>
      </c>
      <c r="B30" s="1">
        <f t="shared" si="0"/>
        <v>1.8539440983221533</v>
      </c>
      <c r="C30" s="5">
        <f t="shared" si="4"/>
        <v>34048.621812437814</v>
      </c>
      <c r="D30" s="5">
        <f t="shared" si="5"/>
        <v>32498.93758019304</v>
      </c>
      <c r="E30" s="5">
        <f t="shared" si="6"/>
        <v>22998.93758019304</v>
      </c>
      <c r="F30" s="5">
        <f t="shared" si="7"/>
        <v>7810.9031199330275</v>
      </c>
      <c r="G30" s="5">
        <f t="shared" si="8"/>
        <v>24688.034460260013</v>
      </c>
      <c r="H30" s="22">
        <f t="shared" si="1"/>
        <v>15662.846007787281</v>
      </c>
      <c r="I30" s="5">
        <f t="shared" si="9"/>
        <v>39035.201403393163</v>
      </c>
      <c r="J30" s="26">
        <f t="shared" si="2"/>
        <v>0.14275617755300285</v>
      </c>
      <c r="L30" s="22">
        <f t="shared" si="3"/>
        <v>54117.925113730649</v>
      </c>
      <c r="M30" s="5">
        <f>scrimecost*Meta!O27</f>
        <v>6602.1900000000005</v>
      </c>
      <c r="N30" s="22"/>
    </row>
    <row r="31" spans="1:14" x14ac:dyDescent="0.2">
      <c r="A31" s="5">
        <v>40</v>
      </c>
      <c r="B31" s="1">
        <f t="shared" si="0"/>
        <v>1.9002927007802071</v>
      </c>
      <c r="C31" s="5">
        <f t="shared" si="4"/>
        <v>34899.837357748758</v>
      </c>
      <c r="D31" s="5">
        <f t="shared" si="5"/>
        <v>33278.651019697863</v>
      </c>
      <c r="E31" s="5">
        <f t="shared" si="6"/>
        <v>23778.651019697863</v>
      </c>
      <c r="F31" s="5">
        <f t="shared" si="7"/>
        <v>8065.4795579313522</v>
      </c>
      <c r="G31" s="5">
        <f t="shared" si="8"/>
        <v>25213.171461766513</v>
      </c>
      <c r="H31" s="22">
        <f t="shared" si="1"/>
        <v>16054.417157981961</v>
      </c>
      <c r="I31" s="5">
        <f t="shared" si="9"/>
        <v>39919.017578477986</v>
      </c>
      <c r="J31" s="26">
        <f t="shared" si="2"/>
        <v>0.14472866048568678</v>
      </c>
      <c r="L31" s="22">
        <f t="shared" si="3"/>
        <v>55470.873241573914</v>
      </c>
      <c r="M31" s="5">
        <f>scrimecost*Meta!O28</f>
        <v>5898.165</v>
      </c>
      <c r="N31" s="22"/>
    </row>
    <row r="32" spans="1:14" x14ac:dyDescent="0.2">
      <c r="A32" s="5">
        <v>41</v>
      </c>
      <c r="B32" s="1">
        <f t="shared" si="0"/>
        <v>1.9478000182997122</v>
      </c>
      <c r="C32" s="5">
        <f t="shared" si="4"/>
        <v>35772.333291692477</v>
      </c>
      <c r="D32" s="5">
        <f t="shared" si="5"/>
        <v>34077.857295190312</v>
      </c>
      <c r="E32" s="5">
        <f t="shared" si="6"/>
        <v>24577.857295190312</v>
      </c>
      <c r="F32" s="5">
        <f t="shared" si="7"/>
        <v>8326.4204068796371</v>
      </c>
      <c r="G32" s="5">
        <f t="shared" si="8"/>
        <v>25751.436888310673</v>
      </c>
      <c r="H32" s="22">
        <f t="shared" si="1"/>
        <v>16455.777586931512</v>
      </c>
      <c r="I32" s="5">
        <f t="shared" si="9"/>
        <v>40824.929157939936</v>
      </c>
      <c r="J32" s="26">
        <f t="shared" si="2"/>
        <v>0.14665303407854915</v>
      </c>
      <c r="L32" s="22">
        <f t="shared" si="3"/>
        <v>56857.645072613261</v>
      </c>
      <c r="M32" s="5">
        <f>scrimecost*Meta!O29</f>
        <v>5898.165</v>
      </c>
      <c r="N32" s="22"/>
    </row>
    <row r="33" spans="1:14" x14ac:dyDescent="0.2">
      <c r="A33" s="5">
        <v>42</v>
      </c>
      <c r="B33" s="1">
        <f t="shared" si="0"/>
        <v>1.9964950187572048</v>
      </c>
      <c r="C33" s="5">
        <f t="shared" si="4"/>
        <v>36666.641623984782</v>
      </c>
      <c r="D33" s="5">
        <f t="shared" si="5"/>
        <v>34897.043727570061</v>
      </c>
      <c r="E33" s="5">
        <f t="shared" si="6"/>
        <v>25397.043727570061</v>
      </c>
      <c r="F33" s="5">
        <f t="shared" si="7"/>
        <v>8593.8847770516259</v>
      </c>
      <c r="G33" s="5">
        <f t="shared" si="8"/>
        <v>26303.158950518435</v>
      </c>
      <c r="H33" s="22">
        <f t="shared" si="1"/>
        <v>16867.172026604796</v>
      </c>
      <c r="I33" s="5">
        <f t="shared" si="9"/>
        <v>41753.488526888425</v>
      </c>
      <c r="J33" s="26">
        <f t="shared" si="2"/>
        <v>0.14853047173012221</v>
      </c>
      <c r="L33" s="22">
        <f t="shared" si="3"/>
        <v>58279.086199428588</v>
      </c>
      <c r="M33" s="5">
        <f>scrimecost*Meta!O30</f>
        <v>5898.165</v>
      </c>
      <c r="N33" s="22"/>
    </row>
    <row r="34" spans="1:14" x14ac:dyDescent="0.2">
      <c r="A34" s="5">
        <v>43</v>
      </c>
      <c r="B34" s="1">
        <f t="shared" si="0"/>
        <v>2.0464073942261352</v>
      </c>
      <c r="C34" s="5">
        <f t="shared" si="4"/>
        <v>37583.307664584405</v>
      </c>
      <c r="D34" s="5">
        <f t="shared" si="5"/>
        <v>35736.709820759315</v>
      </c>
      <c r="E34" s="5">
        <f t="shared" si="6"/>
        <v>26236.709820759315</v>
      </c>
      <c r="F34" s="5">
        <f t="shared" si="7"/>
        <v>8868.0357564779169</v>
      </c>
      <c r="G34" s="5">
        <f t="shared" si="8"/>
        <v>26868.674064281397</v>
      </c>
      <c r="H34" s="22">
        <f t="shared" si="1"/>
        <v>17288.851327269917</v>
      </c>
      <c r="I34" s="5">
        <f t="shared" si="9"/>
        <v>42705.261880060643</v>
      </c>
      <c r="J34" s="26">
        <f t="shared" si="2"/>
        <v>0.15036211821946177</v>
      </c>
      <c r="L34" s="22">
        <f t="shared" si="3"/>
        <v>59736.063354414313</v>
      </c>
      <c r="M34" s="5">
        <f>scrimecost*Meta!O31</f>
        <v>5898.165</v>
      </c>
      <c r="N34" s="22"/>
    </row>
    <row r="35" spans="1:14" x14ac:dyDescent="0.2">
      <c r="A35" s="5">
        <v>44</v>
      </c>
      <c r="B35" s="1">
        <f t="shared" si="0"/>
        <v>2.097567579081788</v>
      </c>
      <c r="C35" s="5">
        <f t="shared" si="4"/>
        <v>38522.890356199008</v>
      </c>
      <c r="D35" s="5">
        <f t="shared" si="5"/>
        <v>36597.367566278292</v>
      </c>
      <c r="E35" s="5">
        <f t="shared" si="6"/>
        <v>27097.367566278292</v>
      </c>
      <c r="F35" s="5">
        <f t="shared" si="7"/>
        <v>9149.0405103898629</v>
      </c>
      <c r="G35" s="5">
        <f t="shared" si="8"/>
        <v>27448.327055888429</v>
      </c>
      <c r="H35" s="22">
        <f t="shared" si="1"/>
        <v>17721.072610451665</v>
      </c>
      <c r="I35" s="5">
        <f t="shared" si="9"/>
        <v>43680.829567062159</v>
      </c>
      <c r="J35" s="26">
        <f t="shared" si="2"/>
        <v>0.15214909040418331</v>
      </c>
      <c r="L35" s="22">
        <f t="shared" si="3"/>
        <v>61229.46493827465</v>
      </c>
      <c r="M35" s="5">
        <f>scrimecost*Meta!O32</f>
        <v>5898.165</v>
      </c>
      <c r="N35" s="22"/>
    </row>
    <row r="36" spans="1:14" x14ac:dyDescent="0.2">
      <c r="A36" s="5">
        <v>45</v>
      </c>
      <c r="B36" s="1">
        <f t="shared" si="0"/>
        <v>2.1500067685588333</v>
      </c>
      <c r="C36" s="5">
        <f t="shared" si="4"/>
        <v>39485.962615103992</v>
      </c>
      <c r="D36" s="5">
        <f t="shared" si="5"/>
        <v>37479.541755435261</v>
      </c>
      <c r="E36" s="5">
        <f t="shared" si="6"/>
        <v>27979.541755435261</v>
      </c>
      <c r="F36" s="5">
        <f t="shared" si="7"/>
        <v>9437.0703831496121</v>
      </c>
      <c r="G36" s="5">
        <f t="shared" si="8"/>
        <v>28042.471372285647</v>
      </c>
      <c r="H36" s="22">
        <f t="shared" si="1"/>
        <v>18164.099425712961</v>
      </c>
      <c r="I36" s="5">
        <f t="shared" si="9"/>
        <v>44680.786446238722</v>
      </c>
      <c r="J36" s="26">
        <f t="shared" si="2"/>
        <v>0.15389247790147262</v>
      </c>
      <c r="L36" s="22">
        <f t="shared" si="3"/>
        <v>62760.201561731541</v>
      </c>
      <c r="M36" s="5">
        <f>scrimecost*Meta!O33</f>
        <v>5001.1849999999995</v>
      </c>
      <c r="N36" s="22"/>
    </row>
    <row r="37" spans="1:14" x14ac:dyDescent="0.2">
      <c r="A37" s="5">
        <v>46</v>
      </c>
      <c r="B37" s="1">
        <f t="shared" ref="B37:B56" si="10">(1+experiencepremium)^(A37-startage)</f>
        <v>2.2037569377728037</v>
      </c>
      <c r="C37" s="5">
        <f t="shared" ref="C37:C56" si="11">pretaxincome*B37/expnorm</f>
        <v>40473.111680481583</v>
      </c>
      <c r="D37" s="5">
        <f t="shared" ref="D37:D56" si="12">IF(A37&lt;startage,1,0)*(C37*(1-initialunempprob))+IF(A37=startage,1,0)*(C37*(1-unempprob))+IF(A37&gt;startage,1,0)*(C37*(1-unempprob)+unempprob*300*52)</f>
        <v>38383.770299321135</v>
      </c>
      <c r="E37" s="5">
        <f t="shared" si="6"/>
        <v>28883.770299321135</v>
      </c>
      <c r="F37" s="5">
        <f t="shared" si="7"/>
        <v>9732.3010027283508</v>
      </c>
      <c r="G37" s="5">
        <f t="shared" si="8"/>
        <v>28651.469296592782</v>
      </c>
      <c r="H37" s="22">
        <f t="shared" ref="H37:H56" si="13">benefits*B37/expnorm</f>
        <v>18618.20191135578</v>
      </c>
      <c r="I37" s="5">
        <f t="shared" ref="I37:I56" si="14">G37+IF(A37&lt;startage,1,0)*(H37*(1-initialunempprob))+IF(A37&gt;=startage,1,0)*(H37*(1-unempprob))</f>
        <v>45705.742247394679</v>
      </c>
      <c r="J37" s="26">
        <f t="shared" ref="J37:J56" si="15">(F37-(IF(A37&gt;startage,1,0)*(unempprob*300*52)))/(IF(A37&lt;startage,1,0)*((C37+H37)*(1-initialunempprob))+IF(A37&gt;=startage,1,0)*((C37+H37)*(1-unempprob)))</f>
        <v>0.15559334375248657</v>
      </c>
      <c r="L37" s="22">
        <f t="shared" ref="L37:L56" si="16">(sincome+sbenefits)*(1-sunemp)*B37/expnorm</f>
        <v>64329.206600774807</v>
      </c>
      <c r="M37" s="5">
        <f>scrimecost*Meta!O34</f>
        <v>5001.1849999999995</v>
      </c>
      <c r="N37" s="22"/>
    </row>
    <row r="38" spans="1:14" x14ac:dyDescent="0.2">
      <c r="A38" s="5">
        <v>47</v>
      </c>
      <c r="B38" s="1">
        <f t="shared" si="10"/>
        <v>2.2588508612171236</v>
      </c>
      <c r="C38" s="5">
        <f t="shared" si="11"/>
        <v>41484.939472493621</v>
      </c>
      <c r="D38" s="5">
        <f t="shared" si="12"/>
        <v>39310.604556804159</v>
      </c>
      <c r="E38" s="5">
        <f t="shared" si="6"/>
        <v>29810.604556804159</v>
      </c>
      <c r="F38" s="5">
        <f t="shared" si="7"/>
        <v>10034.912387796558</v>
      </c>
      <c r="G38" s="5">
        <f t="shared" si="8"/>
        <v>29275.692169007601</v>
      </c>
      <c r="H38" s="22">
        <f t="shared" si="13"/>
        <v>19083.656959139673</v>
      </c>
      <c r="I38" s="5">
        <f t="shared" si="14"/>
        <v>46756.321943579547</v>
      </c>
      <c r="J38" s="26">
        <f t="shared" si="15"/>
        <v>0.15725272507054894</v>
      </c>
      <c r="L38" s="22">
        <f t="shared" si="16"/>
        <v>65937.436765794177</v>
      </c>
      <c r="M38" s="5">
        <f>scrimecost*Meta!O35</f>
        <v>5001.1849999999995</v>
      </c>
      <c r="N38" s="22"/>
    </row>
    <row r="39" spans="1:14" x14ac:dyDescent="0.2">
      <c r="A39" s="5">
        <v>48</v>
      </c>
      <c r="B39" s="1">
        <f t="shared" si="10"/>
        <v>2.3153221327475517</v>
      </c>
      <c r="C39" s="5">
        <f t="shared" si="11"/>
        <v>42522.062959305957</v>
      </c>
      <c r="D39" s="5">
        <f t="shared" si="12"/>
        <v>40260.609670724261</v>
      </c>
      <c r="E39" s="5">
        <f t="shared" si="6"/>
        <v>30760.609670724261</v>
      </c>
      <c r="F39" s="5">
        <f t="shared" si="7"/>
        <v>10345.08905749147</v>
      </c>
      <c r="G39" s="5">
        <f t="shared" si="8"/>
        <v>29915.520613232791</v>
      </c>
      <c r="H39" s="22">
        <f t="shared" si="13"/>
        <v>19560.748383118163</v>
      </c>
      <c r="I39" s="5">
        <f t="shared" si="14"/>
        <v>47833.166132169034</v>
      </c>
      <c r="J39" s="26">
        <f t="shared" si="15"/>
        <v>0.15887163367353663</v>
      </c>
      <c r="L39" s="22">
        <f t="shared" si="16"/>
        <v>67585.872684939022</v>
      </c>
      <c r="M39" s="5">
        <f>scrimecost*Meta!O36</f>
        <v>5001.1849999999995</v>
      </c>
      <c r="N39" s="22"/>
    </row>
    <row r="40" spans="1:14" x14ac:dyDescent="0.2">
      <c r="A40" s="5">
        <v>49</v>
      </c>
      <c r="B40" s="1">
        <f t="shared" si="10"/>
        <v>2.3732051860662402</v>
      </c>
      <c r="C40" s="5">
        <f t="shared" si="11"/>
        <v>43585.114533288601</v>
      </c>
      <c r="D40" s="5">
        <f t="shared" si="12"/>
        <v>41234.364912492361</v>
      </c>
      <c r="E40" s="5">
        <f t="shared" si="6"/>
        <v>31734.364912492361</v>
      </c>
      <c r="F40" s="5">
        <f t="shared" si="7"/>
        <v>10663.020143928756</v>
      </c>
      <c r="G40" s="5">
        <f t="shared" si="8"/>
        <v>30571.344768563606</v>
      </c>
      <c r="H40" s="22">
        <f t="shared" si="13"/>
        <v>20049.767092696115</v>
      </c>
      <c r="I40" s="5">
        <f t="shared" si="14"/>
        <v>48936.931425473245</v>
      </c>
      <c r="J40" s="26">
        <f t="shared" si="15"/>
        <v>0.1604510567008417</v>
      </c>
      <c r="L40" s="22">
        <f t="shared" si="16"/>
        <v>69275.519502062496</v>
      </c>
      <c r="M40" s="5">
        <f>scrimecost*Meta!O37</f>
        <v>5001.1849999999995</v>
      </c>
      <c r="N40" s="22"/>
    </row>
    <row r="41" spans="1:14" x14ac:dyDescent="0.2">
      <c r="A41" s="5">
        <v>50</v>
      </c>
      <c r="B41" s="1">
        <f t="shared" si="10"/>
        <v>2.4325353157178964</v>
      </c>
      <c r="C41" s="5">
        <f t="shared" si="11"/>
        <v>44674.742396620823</v>
      </c>
      <c r="D41" s="5">
        <f t="shared" si="12"/>
        <v>42232.464035304678</v>
      </c>
      <c r="E41" s="5">
        <f t="shared" si="6"/>
        <v>32732.464035304678</v>
      </c>
      <c r="F41" s="5">
        <f t="shared" si="7"/>
        <v>10988.899507526978</v>
      </c>
      <c r="G41" s="5">
        <f t="shared" si="8"/>
        <v>31243.5645277777</v>
      </c>
      <c r="H41" s="22">
        <f t="shared" si="13"/>
        <v>20551.011270013521</v>
      </c>
      <c r="I41" s="5">
        <f t="shared" si="14"/>
        <v>50068.290851110083</v>
      </c>
      <c r="J41" s="26">
        <f t="shared" si="15"/>
        <v>0.1619919572152857</v>
      </c>
      <c r="L41" s="22">
        <f t="shared" si="16"/>
        <v>71007.407489614066</v>
      </c>
      <c r="M41" s="5">
        <f>scrimecost*Meta!O38</f>
        <v>3619.2099999999996</v>
      </c>
      <c r="N41" s="22"/>
    </row>
    <row r="42" spans="1:14" x14ac:dyDescent="0.2">
      <c r="A42" s="5">
        <v>51</v>
      </c>
      <c r="B42" s="1">
        <f t="shared" si="10"/>
        <v>2.4933486986108435</v>
      </c>
      <c r="C42" s="5">
        <f t="shared" si="11"/>
        <v>45791.610956536337</v>
      </c>
      <c r="D42" s="5">
        <f t="shared" si="12"/>
        <v>43255.515636187287</v>
      </c>
      <c r="E42" s="5">
        <f t="shared" si="6"/>
        <v>33755.515636187287</v>
      </c>
      <c r="F42" s="5">
        <f t="shared" si="7"/>
        <v>11322.92585521515</v>
      </c>
      <c r="G42" s="5">
        <f t="shared" si="8"/>
        <v>31932.589780972135</v>
      </c>
      <c r="H42" s="22">
        <f t="shared" si="13"/>
        <v>21064.786551763857</v>
      </c>
      <c r="I42" s="5">
        <f t="shared" si="14"/>
        <v>51227.934262387833</v>
      </c>
      <c r="J42" s="26">
        <f t="shared" si="15"/>
        <v>0.16349527479035295</v>
      </c>
      <c r="L42" s="22">
        <f t="shared" si="16"/>
        <v>72782.592676854401</v>
      </c>
      <c r="M42" s="5">
        <f>scrimecost*Meta!O39</f>
        <v>3619.2099999999996</v>
      </c>
      <c r="N42" s="22"/>
    </row>
    <row r="43" spans="1:14" x14ac:dyDescent="0.2">
      <c r="A43" s="5">
        <v>52</v>
      </c>
      <c r="B43" s="1">
        <f t="shared" si="10"/>
        <v>2.555682416076114</v>
      </c>
      <c r="C43" s="5">
        <f t="shared" si="11"/>
        <v>46936.401230449737</v>
      </c>
      <c r="D43" s="5">
        <f t="shared" si="12"/>
        <v>44304.143527091961</v>
      </c>
      <c r="E43" s="5">
        <f t="shared" si="6"/>
        <v>34804.143527091961</v>
      </c>
      <c r="F43" s="5">
        <f t="shared" si="7"/>
        <v>11695.717214304721</v>
      </c>
      <c r="G43" s="5">
        <f t="shared" si="8"/>
        <v>32608.42631278724</v>
      </c>
      <c r="H43" s="22">
        <f t="shared" si="13"/>
        <v>21591.406215557949</v>
      </c>
      <c r="I43" s="5">
        <f t="shared" si="14"/>
        <v>52386.154406238318</v>
      </c>
      <c r="J43" s="26">
        <f t="shared" si="15"/>
        <v>0.16544645116948234</v>
      </c>
      <c r="L43" s="22">
        <f t="shared" si="16"/>
        <v>74602.157493775754</v>
      </c>
      <c r="M43" s="5">
        <f>scrimecost*Meta!O40</f>
        <v>3619.2099999999996</v>
      </c>
      <c r="N43" s="22"/>
    </row>
    <row r="44" spans="1:14" x14ac:dyDescent="0.2">
      <c r="A44" s="5">
        <v>53</v>
      </c>
      <c r="B44" s="1">
        <f t="shared" si="10"/>
        <v>2.6195744764780171</v>
      </c>
      <c r="C44" s="5">
        <f t="shared" si="11"/>
        <v>48109.811261210984</v>
      </c>
      <c r="D44" s="5">
        <f t="shared" si="12"/>
        <v>45378.987115269265</v>
      </c>
      <c r="E44" s="5">
        <f t="shared" si="6"/>
        <v>35878.987115269265</v>
      </c>
      <c r="F44" s="5">
        <f t="shared" si="7"/>
        <v>12154.138004662342</v>
      </c>
      <c r="G44" s="5">
        <f t="shared" si="8"/>
        <v>33224.849110606927</v>
      </c>
      <c r="H44" s="22">
        <f t="shared" si="13"/>
        <v>22131.191370946897</v>
      </c>
      <c r="I44" s="5">
        <f t="shared" si="14"/>
        <v>53497.02040639428</v>
      </c>
      <c r="J44" s="26">
        <f t="shared" si="15"/>
        <v>0.16853606131566679</v>
      </c>
      <c r="L44" s="22">
        <f t="shared" si="16"/>
        <v>76467.211431120159</v>
      </c>
      <c r="M44" s="5">
        <f>scrimecost*Meta!O41</f>
        <v>3619.2099999999996</v>
      </c>
      <c r="N44" s="22"/>
    </row>
    <row r="45" spans="1:14" x14ac:dyDescent="0.2">
      <c r="A45" s="5">
        <v>54</v>
      </c>
      <c r="B45" s="1">
        <f t="shared" si="10"/>
        <v>2.6850638383899672</v>
      </c>
      <c r="C45" s="5">
        <f t="shared" si="11"/>
        <v>49312.556542741251</v>
      </c>
      <c r="D45" s="5">
        <f t="shared" si="12"/>
        <v>46480.701793150991</v>
      </c>
      <c r="E45" s="5">
        <f t="shared" si="6"/>
        <v>36980.701793150991</v>
      </c>
      <c r="F45" s="5">
        <f t="shared" si="7"/>
        <v>12624.019314778896</v>
      </c>
      <c r="G45" s="5">
        <f t="shared" si="8"/>
        <v>33856.682478372095</v>
      </c>
      <c r="H45" s="22">
        <f t="shared" si="13"/>
        <v>22684.47115522057</v>
      </c>
      <c r="I45" s="5">
        <f t="shared" si="14"/>
        <v>54635.658056554137</v>
      </c>
      <c r="J45" s="26">
        <f t="shared" si="15"/>
        <v>0.17155031511682226</v>
      </c>
      <c r="L45" s="22">
        <f t="shared" si="16"/>
        <v>78378.891716898142</v>
      </c>
      <c r="M45" s="5">
        <f>scrimecost*Meta!O42</f>
        <v>3619.2099999999996</v>
      </c>
      <c r="N45" s="22"/>
    </row>
    <row r="46" spans="1:14" x14ac:dyDescent="0.2">
      <c r="A46" s="5">
        <v>55</v>
      </c>
      <c r="B46" s="1">
        <f t="shared" si="10"/>
        <v>2.7521904343497163</v>
      </c>
      <c r="C46" s="5">
        <f t="shared" si="11"/>
        <v>50545.370456309785</v>
      </c>
      <c r="D46" s="5">
        <f t="shared" si="12"/>
        <v>47609.959337979766</v>
      </c>
      <c r="E46" s="5">
        <f t="shared" si="6"/>
        <v>38109.959337979766</v>
      </c>
      <c r="F46" s="5">
        <f t="shared" si="7"/>
        <v>13105.647657648369</v>
      </c>
      <c r="G46" s="5">
        <f t="shared" si="8"/>
        <v>34504.311680331397</v>
      </c>
      <c r="H46" s="22">
        <f t="shared" si="13"/>
        <v>23251.582934101079</v>
      </c>
      <c r="I46" s="5">
        <f t="shared" si="14"/>
        <v>55802.761647967985</v>
      </c>
      <c r="J46" s="26">
        <f t="shared" si="15"/>
        <v>0.17449105053258374</v>
      </c>
      <c r="L46" s="22">
        <f t="shared" si="16"/>
        <v>80338.364009820594</v>
      </c>
      <c r="M46" s="5">
        <f>scrimecost*Meta!O43</f>
        <v>2164.2249999999999</v>
      </c>
      <c r="N46" s="22"/>
    </row>
    <row r="47" spans="1:14" x14ac:dyDescent="0.2">
      <c r="A47" s="5">
        <v>56</v>
      </c>
      <c r="B47" s="1">
        <f t="shared" si="10"/>
        <v>2.8209951952084591</v>
      </c>
      <c r="C47" s="5">
        <f t="shared" si="11"/>
        <v>51809.004717717522</v>
      </c>
      <c r="D47" s="5">
        <f t="shared" si="12"/>
        <v>48767.448321429256</v>
      </c>
      <c r="E47" s="5">
        <f t="shared" si="6"/>
        <v>39267.448321429256</v>
      </c>
      <c r="F47" s="5">
        <f t="shared" si="7"/>
        <v>13599.316709089577</v>
      </c>
      <c r="G47" s="5">
        <f t="shared" si="8"/>
        <v>35168.131612339683</v>
      </c>
      <c r="H47" s="22">
        <f t="shared" si="13"/>
        <v>23832.872507453609</v>
      </c>
      <c r="I47" s="5">
        <f t="shared" si="14"/>
        <v>56999.042829167185</v>
      </c>
      <c r="J47" s="26">
        <f t="shared" si="15"/>
        <v>0.17736006069430224</v>
      </c>
      <c r="L47" s="22">
        <f t="shared" si="16"/>
        <v>82346.823110066107</v>
      </c>
      <c r="M47" s="5">
        <f>scrimecost*Meta!O44</f>
        <v>2164.2249999999999</v>
      </c>
      <c r="N47" s="22"/>
    </row>
    <row r="48" spans="1:14" x14ac:dyDescent="0.2">
      <c r="A48" s="5">
        <v>57</v>
      </c>
      <c r="B48" s="1">
        <f t="shared" si="10"/>
        <v>2.8915200750886707</v>
      </c>
      <c r="C48" s="5">
        <f t="shared" si="11"/>
        <v>53104.229835660459</v>
      </c>
      <c r="D48" s="5">
        <f t="shared" si="12"/>
        <v>49953.874529464985</v>
      </c>
      <c r="E48" s="5">
        <f t="shared" si="6"/>
        <v>40453.874529464985</v>
      </c>
      <c r="F48" s="5">
        <f t="shared" si="7"/>
        <v>14105.327486816817</v>
      </c>
      <c r="G48" s="5">
        <f t="shared" si="8"/>
        <v>35848.54704264817</v>
      </c>
      <c r="H48" s="22">
        <f t="shared" si="13"/>
        <v>24428.694320139948</v>
      </c>
      <c r="I48" s="5">
        <f t="shared" si="14"/>
        <v>58225.23103989636</v>
      </c>
      <c r="J48" s="26">
        <f t="shared" si="15"/>
        <v>0.1801590949984179</v>
      </c>
      <c r="L48" s="22">
        <f t="shared" si="16"/>
        <v>84405.493687817769</v>
      </c>
      <c r="M48" s="5">
        <f>scrimecost*Meta!O45</f>
        <v>2164.2249999999999</v>
      </c>
      <c r="N48" s="22"/>
    </row>
    <row r="49" spans="1:14" x14ac:dyDescent="0.2">
      <c r="A49" s="5">
        <v>58</v>
      </c>
      <c r="B49" s="1">
        <f t="shared" si="10"/>
        <v>2.9638080769658868</v>
      </c>
      <c r="C49" s="5">
        <f t="shared" si="11"/>
        <v>54431.835581551968</v>
      </c>
      <c r="D49" s="5">
        <f t="shared" si="12"/>
        <v>51169.961392701603</v>
      </c>
      <c r="E49" s="5">
        <f t="shared" si="6"/>
        <v>41669.961392701603</v>
      </c>
      <c r="F49" s="5">
        <f t="shared" si="7"/>
        <v>14623.988533987234</v>
      </c>
      <c r="G49" s="5">
        <f t="shared" si="8"/>
        <v>36545.972858714369</v>
      </c>
      <c r="H49" s="22">
        <f t="shared" si="13"/>
        <v>25039.411678143442</v>
      </c>
      <c r="I49" s="5">
        <f t="shared" si="14"/>
        <v>59482.073955893764</v>
      </c>
      <c r="J49" s="26">
        <f t="shared" si="15"/>
        <v>0.18288986017316483</v>
      </c>
      <c r="L49" s="22">
        <f t="shared" si="16"/>
        <v>86515.631030013188</v>
      </c>
      <c r="M49" s="5">
        <f>scrimecost*Meta!O46</f>
        <v>2164.2249999999999</v>
      </c>
      <c r="N49" s="22"/>
    </row>
    <row r="50" spans="1:14" x14ac:dyDescent="0.2">
      <c r="A50" s="5">
        <v>59</v>
      </c>
      <c r="B50" s="1">
        <f t="shared" si="10"/>
        <v>3.0379032788900342</v>
      </c>
      <c r="C50" s="5">
        <f t="shared" si="11"/>
        <v>55792.631471090768</v>
      </c>
      <c r="D50" s="5">
        <f t="shared" si="12"/>
        <v>52416.45042751915</v>
      </c>
      <c r="E50" s="5">
        <f t="shared" si="6"/>
        <v>42916.45042751915</v>
      </c>
      <c r="F50" s="5">
        <f t="shared" si="7"/>
        <v>15155.616107336917</v>
      </c>
      <c r="G50" s="5">
        <f t="shared" si="8"/>
        <v>37260.834320182235</v>
      </c>
      <c r="H50" s="22">
        <f t="shared" si="13"/>
        <v>25665.39697009703</v>
      </c>
      <c r="I50" s="5">
        <f t="shared" si="14"/>
        <v>60770.337944791114</v>
      </c>
      <c r="J50" s="26">
        <f t="shared" si="15"/>
        <v>0.18555402131925944</v>
      </c>
      <c r="L50" s="22">
        <f t="shared" si="16"/>
        <v>88678.521805763536</v>
      </c>
      <c r="M50" s="5">
        <f>scrimecost*Meta!O47</f>
        <v>2164.2249999999999</v>
      </c>
      <c r="N50" s="22"/>
    </row>
    <row r="51" spans="1:14" x14ac:dyDescent="0.2">
      <c r="A51" s="5">
        <v>60</v>
      </c>
      <c r="B51" s="1">
        <f t="shared" si="10"/>
        <v>3.1138508608622844</v>
      </c>
      <c r="C51" s="5">
        <f t="shared" si="11"/>
        <v>57187.447257868022</v>
      </c>
      <c r="D51" s="5">
        <f t="shared" si="12"/>
        <v>53694.101688207113</v>
      </c>
      <c r="E51" s="5">
        <f t="shared" si="6"/>
        <v>44194.101688207113</v>
      </c>
      <c r="F51" s="5">
        <f t="shared" si="7"/>
        <v>15700.534370020334</v>
      </c>
      <c r="G51" s="5">
        <f t="shared" si="8"/>
        <v>37993.567318186775</v>
      </c>
      <c r="H51" s="22">
        <f t="shared" si="13"/>
        <v>26307.031894349449</v>
      </c>
      <c r="I51" s="5">
        <f t="shared" si="14"/>
        <v>62090.808533410876</v>
      </c>
      <c r="J51" s="26">
        <f t="shared" si="15"/>
        <v>0.18815320292520529</v>
      </c>
      <c r="L51" s="22">
        <f t="shared" si="16"/>
        <v>90895.484850907582</v>
      </c>
      <c r="M51" s="5">
        <f>scrimecost*Meta!O48</f>
        <v>1189.02</v>
      </c>
      <c r="N51" s="22"/>
    </row>
    <row r="52" spans="1:14" x14ac:dyDescent="0.2">
      <c r="A52" s="5">
        <v>61</v>
      </c>
      <c r="B52" s="1">
        <f t="shared" si="10"/>
        <v>3.1916971323838421</v>
      </c>
      <c r="C52" s="5">
        <f t="shared" si="11"/>
        <v>58617.133439314741</v>
      </c>
      <c r="D52" s="5">
        <f t="shared" si="12"/>
        <v>55003.694230412308</v>
      </c>
      <c r="E52" s="5">
        <f t="shared" si="6"/>
        <v>45503.694230412308</v>
      </c>
      <c r="F52" s="5">
        <f t="shared" si="7"/>
        <v>16259.075589270849</v>
      </c>
      <c r="G52" s="5">
        <f t="shared" si="8"/>
        <v>38744.61864114146</v>
      </c>
      <c r="H52" s="22">
        <f t="shared" si="13"/>
        <v>26964.70769170819</v>
      </c>
      <c r="I52" s="5">
        <f t="shared" si="14"/>
        <v>63444.290886746167</v>
      </c>
      <c r="J52" s="26">
        <f t="shared" si="15"/>
        <v>0.19068898985783558</v>
      </c>
      <c r="L52" s="22">
        <f t="shared" si="16"/>
        <v>93167.871972180306</v>
      </c>
      <c r="M52" s="5">
        <f>scrimecost*Meta!O49</f>
        <v>1189.02</v>
      </c>
      <c r="N52" s="22"/>
    </row>
    <row r="53" spans="1:14" x14ac:dyDescent="0.2">
      <c r="A53" s="5">
        <v>62</v>
      </c>
      <c r="B53" s="1">
        <f t="shared" si="10"/>
        <v>3.2714895606934378</v>
      </c>
      <c r="C53" s="5">
        <f t="shared" si="11"/>
        <v>60082.561775297596</v>
      </c>
      <c r="D53" s="5">
        <f t="shared" si="12"/>
        <v>56346.0265861726</v>
      </c>
      <c r="E53" s="5">
        <f t="shared" si="6"/>
        <v>46846.0265861726</v>
      </c>
      <c r="F53" s="5">
        <f t="shared" si="7"/>
        <v>16831.580339002616</v>
      </c>
      <c r="G53" s="5">
        <f t="shared" si="8"/>
        <v>39514.446247169981</v>
      </c>
      <c r="H53" s="22">
        <f t="shared" si="13"/>
        <v>27638.825384000891</v>
      </c>
      <c r="I53" s="5">
        <f t="shared" si="14"/>
        <v>64831.610298914798</v>
      </c>
      <c r="J53" s="26">
        <f t="shared" si="15"/>
        <v>0.19316292832869422</v>
      </c>
      <c r="L53" s="22">
        <f t="shared" si="16"/>
        <v>95497.068771484803</v>
      </c>
      <c r="M53" s="5">
        <f>scrimecost*Meta!O50</f>
        <v>1189.02</v>
      </c>
      <c r="N53" s="22"/>
    </row>
    <row r="54" spans="1:14" x14ac:dyDescent="0.2">
      <c r="A54" s="5">
        <v>63</v>
      </c>
      <c r="B54" s="1">
        <f t="shared" si="10"/>
        <v>3.3532767997107733</v>
      </c>
      <c r="C54" s="5">
        <f t="shared" si="11"/>
        <v>61584.625819680026</v>
      </c>
      <c r="D54" s="5">
        <f t="shared" si="12"/>
        <v>57721.917250826911</v>
      </c>
      <c r="E54" s="5">
        <f t="shared" si="6"/>
        <v>48221.917250826911</v>
      </c>
      <c r="F54" s="5">
        <f t="shared" si="7"/>
        <v>17418.397707477678</v>
      </c>
      <c r="G54" s="5">
        <f t="shared" si="8"/>
        <v>40303.519543349234</v>
      </c>
      <c r="H54" s="22">
        <f t="shared" si="13"/>
        <v>28329.796018600911</v>
      </c>
      <c r="I54" s="5">
        <f t="shared" si="14"/>
        <v>66253.612696387674</v>
      </c>
      <c r="J54" s="26">
        <f t="shared" si="15"/>
        <v>0.19557652683684906</v>
      </c>
      <c r="L54" s="22">
        <f t="shared" si="16"/>
        <v>97884.495490771907</v>
      </c>
      <c r="M54" s="5">
        <f>scrimecost*Meta!O51</f>
        <v>1189.02</v>
      </c>
      <c r="N54" s="22"/>
    </row>
    <row r="55" spans="1:14" x14ac:dyDescent="0.2">
      <c r="A55" s="5">
        <v>64</v>
      </c>
      <c r="B55" s="1">
        <f t="shared" si="10"/>
        <v>3.4371087197035428</v>
      </c>
      <c r="C55" s="5">
        <f t="shared" si="11"/>
        <v>63124.241465172032</v>
      </c>
      <c r="D55" s="5">
        <f t="shared" si="12"/>
        <v>59132.205182097583</v>
      </c>
      <c r="E55" s="5">
        <f t="shared" si="6"/>
        <v>49632.205182097583</v>
      </c>
      <c r="F55" s="5">
        <f t="shared" si="7"/>
        <v>18019.885510164619</v>
      </c>
      <c r="G55" s="5">
        <f t="shared" si="8"/>
        <v>41112.319671932964</v>
      </c>
      <c r="H55" s="22">
        <f t="shared" si="13"/>
        <v>29038.040919065934</v>
      </c>
      <c r="I55" s="5">
        <f t="shared" si="14"/>
        <v>67711.165153797367</v>
      </c>
      <c r="J55" s="26">
        <f t="shared" si="15"/>
        <v>0.1979312570887074</v>
      </c>
      <c r="L55" s="22">
        <f t="shared" si="16"/>
        <v>100331.60787804121</v>
      </c>
      <c r="M55" s="5">
        <f>scrimecost*Meta!O52</f>
        <v>1189.02</v>
      </c>
      <c r="N55" s="22"/>
    </row>
    <row r="56" spans="1:14" x14ac:dyDescent="0.2">
      <c r="A56" s="5">
        <v>65</v>
      </c>
      <c r="B56" s="1">
        <f t="shared" si="10"/>
        <v>3.5230364376961316</v>
      </c>
      <c r="C56" s="5">
        <f t="shared" si="11"/>
        <v>64702.347501801334</v>
      </c>
      <c r="D56" s="5">
        <f t="shared" si="12"/>
        <v>60577.750311650023</v>
      </c>
      <c r="E56" s="5">
        <f t="shared" si="6"/>
        <v>51077.750311650023</v>
      </c>
      <c r="F56" s="5">
        <f t="shared" si="7"/>
        <v>18636.410507918736</v>
      </c>
      <c r="G56" s="5">
        <f t="shared" si="8"/>
        <v>41941.339803731287</v>
      </c>
      <c r="H56" s="22">
        <f t="shared" si="13"/>
        <v>29763.991942042583</v>
      </c>
      <c r="I56" s="5">
        <f t="shared" si="14"/>
        <v>69205.156422642292</v>
      </c>
      <c r="J56" s="26">
        <f t="shared" si="15"/>
        <v>0.20022855489539856</v>
      </c>
      <c r="L56" s="22">
        <f t="shared" si="16"/>
        <v>102839.89807499223</v>
      </c>
      <c r="M56" s="5">
        <f>scrimecost*Meta!O53</f>
        <v>375.47999999999996</v>
      </c>
      <c r="N56" s="22"/>
    </row>
    <row r="57" spans="1:14" x14ac:dyDescent="0.2">
      <c r="A57" s="5">
        <v>66</v>
      </c>
      <c r="C57" s="5"/>
      <c r="H57" s="21"/>
      <c r="I57" s="5"/>
      <c r="M57" s="5">
        <f>scrimecost*Meta!O54</f>
        <v>375.47999999999996</v>
      </c>
      <c r="N57" s="5"/>
    </row>
    <row r="58" spans="1:14" x14ac:dyDescent="0.2">
      <c r="A58" s="5">
        <v>67</v>
      </c>
      <c r="C58" s="5"/>
      <c r="H58" s="21"/>
      <c r="I58" s="5"/>
      <c r="M58" s="5">
        <f>scrimecost*Meta!O55</f>
        <v>375.47999999999996</v>
      </c>
      <c r="N58" s="5"/>
    </row>
    <row r="59" spans="1:14" x14ac:dyDescent="0.2">
      <c r="A59" s="5">
        <v>68</v>
      </c>
      <c r="H59" s="21"/>
      <c r="I59" s="5"/>
      <c r="M59" s="5">
        <f>scrimecost*Meta!O56</f>
        <v>375.47999999999996</v>
      </c>
      <c r="N59" s="5"/>
    </row>
    <row r="60" spans="1:14" x14ac:dyDescent="0.2">
      <c r="A60" s="5">
        <v>69</v>
      </c>
      <c r="H60" s="21"/>
      <c r="I60" s="5"/>
      <c r="M60" s="5">
        <f>scrimecost*Meta!O57</f>
        <v>375.47999999999996</v>
      </c>
      <c r="N60" s="5"/>
    </row>
    <row r="61" spans="1:14" x14ac:dyDescent="0.2">
      <c r="A61" s="5">
        <v>70</v>
      </c>
      <c r="H61" s="21"/>
      <c r="I61" s="5"/>
      <c r="M61" s="5">
        <f>scrimecost*Meta!O58</f>
        <v>375.47999999999996</v>
      </c>
      <c r="N61" s="5"/>
    </row>
    <row r="62" spans="1:14" x14ac:dyDescent="0.2">
      <c r="A62" s="5">
        <v>71</v>
      </c>
      <c r="H62" s="21"/>
      <c r="I62" s="5"/>
      <c r="M62" s="5">
        <f>scrimecost*Meta!O59</f>
        <v>375.47999999999996</v>
      </c>
      <c r="N62" s="5"/>
    </row>
    <row r="63" spans="1:14" x14ac:dyDescent="0.2">
      <c r="A63" s="5">
        <v>72</v>
      </c>
      <c r="H63" s="21"/>
      <c r="M63" s="5">
        <f>scrimecost*Meta!O60</f>
        <v>375.47999999999996</v>
      </c>
      <c r="N63" s="5"/>
    </row>
    <row r="64" spans="1:14" x14ac:dyDescent="0.2">
      <c r="A64" s="5">
        <v>73</v>
      </c>
      <c r="H64" s="21"/>
      <c r="M64" s="5">
        <f>scrimecost*Meta!O61</f>
        <v>375.47999999999996</v>
      </c>
      <c r="N64" s="5"/>
    </row>
    <row r="65" spans="1:14" x14ac:dyDescent="0.2">
      <c r="A65" s="5">
        <v>74</v>
      </c>
      <c r="H65" s="21"/>
      <c r="M65" s="5">
        <f>scrimecost*Meta!O62</f>
        <v>375.47999999999996</v>
      </c>
      <c r="N65" s="5"/>
    </row>
    <row r="66" spans="1:14" x14ac:dyDescent="0.2">
      <c r="A66" s="5">
        <v>75</v>
      </c>
      <c r="H66" s="21"/>
      <c r="M66" s="5">
        <f>scrimecost*Meta!O63</f>
        <v>375.47999999999996</v>
      </c>
      <c r="N66" s="5"/>
    </row>
    <row r="67" spans="1:14" x14ac:dyDescent="0.2">
      <c r="A67" s="5">
        <v>76</v>
      </c>
      <c r="H67" s="21"/>
      <c r="M67" s="5">
        <f>scrimecost*Meta!O64</f>
        <v>375.47999999999996</v>
      </c>
      <c r="N67" s="5"/>
    </row>
    <row r="68" spans="1:14" x14ac:dyDescent="0.2">
      <c r="A68" s="5">
        <v>77</v>
      </c>
      <c r="H68" s="21"/>
      <c r="M68" s="5">
        <f>scrimecost*Meta!O65</f>
        <v>375.47999999999996</v>
      </c>
      <c r="N68" s="5"/>
    </row>
    <row r="69" spans="1:14" x14ac:dyDescent="0.2">
      <c r="A69" s="5">
        <v>78</v>
      </c>
      <c r="H69" s="21"/>
      <c r="M69" s="5">
        <f>scrimecost*Meta!O66</f>
        <v>375.47999999999996</v>
      </c>
      <c r="N69" s="5"/>
    </row>
    <row r="70" spans="1:14" x14ac:dyDescent="0.2">
      <c r="A70" s="5">
        <v>79</v>
      </c>
      <c r="H70" s="21"/>
      <c r="M70" s="5"/>
    </row>
    <row r="71" spans="1:14" x14ac:dyDescent="0.2">
      <c r="A71" s="5">
        <v>80</v>
      </c>
      <c r="H71" s="21"/>
      <c r="M71" s="5"/>
    </row>
    <row r="72" spans="1:14" x14ac:dyDescent="0.2">
      <c r="A72" s="5">
        <v>81</v>
      </c>
      <c r="H72" s="21"/>
      <c r="M72" s="5"/>
    </row>
    <row r="73" spans="1:14" x14ac:dyDescent="0.2">
      <c r="A73" s="5">
        <v>82</v>
      </c>
      <c r="H73" s="21"/>
      <c r="M73" s="5"/>
    </row>
    <row r="74" spans="1:14" x14ac:dyDescent="0.2">
      <c r="A74" s="5">
        <v>83</v>
      </c>
      <c r="H74" s="21"/>
      <c r="M74" s="5"/>
    </row>
    <row r="75" spans="1:14" x14ac:dyDescent="0.2">
      <c r="A75" s="5">
        <v>84</v>
      </c>
      <c r="H75" s="21"/>
      <c r="M75" s="5"/>
    </row>
    <row r="76" spans="1:14" x14ac:dyDescent="0.2">
      <c r="A76" s="5">
        <v>85</v>
      </c>
      <c r="H76" s="21"/>
    </row>
    <row r="77" spans="1:14" x14ac:dyDescent="0.2">
      <c r="A77" s="5">
        <v>86</v>
      </c>
      <c r="H77" s="21"/>
    </row>
    <row r="78" spans="1:14" x14ac:dyDescent="0.2">
      <c r="A78" s="5">
        <v>87</v>
      </c>
      <c r="H78" s="21"/>
    </row>
    <row r="79" spans="1:14" x14ac:dyDescent="0.2">
      <c r="A79" s="5">
        <v>88</v>
      </c>
      <c r="H79" s="21"/>
    </row>
    <row r="80" spans="1:14" x14ac:dyDescent="0.2">
      <c r="A80" s="5">
        <v>89</v>
      </c>
      <c r="H80" s="21"/>
    </row>
    <row r="81" spans="1:8" x14ac:dyDescent="0.2">
      <c r="A81" s="5">
        <v>90</v>
      </c>
      <c r="H81" s="21"/>
    </row>
  </sheetData>
  <phoneticPr fontId="2" type="noConversion"/>
  <pageMargins left="0.75" right="0.75" top="1" bottom="1" header="0.5" footer="0.5"/>
  <pageSetup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1"/>
  <sheetViews>
    <sheetView workbookViewId="0">
      <selection activeCell="A5" sqref="A5"/>
    </sheetView>
  </sheetViews>
  <sheetFormatPr defaultRowHeight="12.75" x14ac:dyDescent="0.2"/>
  <cols>
    <col min="1" max="1" width="13.7109375" style="5" customWidth="1"/>
    <col min="2" max="7" width="13.7109375" style="1" customWidth="1"/>
    <col min="8" max="8" width="9.5703125" style="1" customWidth="1"/>
    <col min="9" max="9" width="9.140625" style="1"/>
    <col min="10" max="11" width="9.28515625" style="1" customWidth="1"/>
    <col min="12" max="12" width="9.140625" style="1"/>
    <col min="13" max="13" width="9.5703125" style="1" customWidth="1"/>
    <col min="14" max="14" width="9.28515625" style="1" customWidth="1"/>
    <col min="15" max="17" width="9.140625" style="1"/>
    <col min="18" max="18" width="9.5703125" style="1" bestFit="1" customWidth="1"/>
    <col min="19" max="19" width="10.140625" style="1" bestFit="1" customWidth="1"/>
    <col min="20" max="16384" width="9.140625" style="1"/>
  </cols>
  <sheetData>
    <row r="1" spans="1:20" x14ac:dyDescent="0.2">
      <c r="B1" s="1" t="s">
        <v>11</v>
      </c>
      <c r="C1" s="27" t="s">
        <v>35</v>
      </c>
      <c r="D1" s="27" t="s">
        <v>36</v>
      </c>
      <c r="E1" s="6" t="s">
        <v>9</v>
      </c>
      <c r="F1" s="6" t="s">
        <v>49</v>
      </c>
      <c r="G1" s="1" t="s">
        <v>4</v>
      </c>
      <c r="H1" s="1" t="s">
        <v>8</v>
      </c>
      <c r="J1" s="1" t="s">
        <v>56</v>
      </c>
      <c r="K1" s="1" t="s">
        <v>20</v>
      </c>
      <c r="N1" s="1" t="s">
        <v>43</v>
      </c>
      <c r="O1" s="1" t="s">
        <v>44</v>
      </c>
      <c r="P1" s="1" t="s">
        <v>45</v>
      </c>
      <c r="Q1" s="1" t="s">
        <v>46</v>
      </c>
      <c r="R1" s="1" t="s">
        <v>53</v>
      </c>
      <c r="T1" s="12" t="s">
        <v>57</v>
      </c>
    </row>
    <row r="2" spans="1:20" x14ac:dyDescent="0.2">
      <c r="B2" s="5">
        <f>Meta!A3+6</f>
        <v>15</v>
      </c>
      <c r="C2" s="7">
        <f>Meta!B3</f>
        <v>38216</v>
      </c>
      <c r="D2" s="7">
        <f>Meta!C3</f>
        <v>17580</v>
      </c>
      <c r="E2" s="1">
        <f>Meta!D3</f>
        <v>8.1000000000000003E-2</v>
      </c>
      <c r="F2" s="1">
        <f>Meta!F3</f>
        <v>0.68100000000000005</v>
      </c>
      <c r="G2" s="1">
        <f>Meta!I3</f>
        <v>1.978852107996969</v>
      </c>
      <c r="H2" s="1">
        <f>Meta!E3</f>
        <v>0.93300000000000005</v>
      </c>
      <c r="I2" s="13"/>
      <c r="J2" s="1">
        <f>Meta!X2</f>
        <v>0.72099999999999997</v>
      </c>
      <c r="K2" s="1">
        <f>Meta!D2</f>
        <v>8.4000000000000005E-2</v>
      </c>
      <c r="L2" s="29"/>
      <c r="N2" s="22">
        <f>Meta!T3</f>
        <v>43878</v>
      </c>
      <c r="O2" s="22">
        <f>Meta!U3</f>
        <v>20184</v>
      </c>
      <c r="P2" s="1">
        <f>Meta!V3</f>
        <v>6.9000000000000006E-2</v>
      </c>
      <c r="Q2" s="1">
        <f>Meta!X3</f>
        <v>0.72599999999999998</v>
      </c>
      <c r="R2" s="22">
        <f>Meta!W3</f>
        <v>5109</v>
      </c>
      <c r="T2" s="12">
        <f>IRR(S5:S69)+1</f>
        <v>0.98678423218159372</v>
      </c>
    </row>
    <row r="3" spans="1:20" ht="14.25" x14ac:dyDescent="0.2">
      <c r="C3" s="3"/>
      <c r="G3" s="4"/>
      <c r="L3" s="1" t="s">
        <v>10</v>
      </c>
    </row>
    <row r="4" spans="1:20" x14ac:dyDescent="0.2">
      <c r="A4" s="7" t="s">
        <v>0</v>
      </c>
      <c r="B4" s="2" t="s">
        <v>1</v>
      </c>
      <c r="C4" s="1" t="s">
        <v>37</v>
      </c>
      <c r="D4" s="1" t="s">
        <v>2</v>
      </c>
      <c r="E4" t="s">
        <v>12</v>
      </c>
      <c r="F4" t="s">
        <v>19</v>
      </c>
      <c r="G4" t="s">
        <v>18</v>
      </c>
      <c r="H4" t="s">
        <v>38</v>
      </c>
      <c r="I4" t="s">
        <v>6</v>
      </c>
      <c r="J4" s="1" t="s">
        <v>47</v>
      </c>
      <c r="L4" s="1" t="s">
        <v>48</v>
      </c>
      <c r="M4" s="1" t="s">
        <v>54</v>
      </c>
      <c r="N4" s="1" t="s">
        <v>59</v>
      </c>
      <c r="O4" s="1" t="s">
        <v>58</v>
      </c>
      <c r="P4" s="1" t="s">
        <v>55</v>
      </c>
      <c r="Q4" s="1" t="s">
        <v>17</v>
      </c>
      <c r="R4" s="1" t="s">
        <v>7</v>
      </c>
      <c r="S4" s="5" t="s">
        <v>14</v>
      </c>
      <c r="T4" s="5" t="s">
        <v>15</v>
      </c>
    </row>
    <row r="5" spans="1:20" x14ac:dyDescent="0.2">
      <c r="A5" s="5">
        <v>14</v>
      </c>
      <c r="B5" s="1">
        <v>1</v>
      </c>
      <c r="C5" s="5">
        <f>0.1*Grade8!C5</f>
        <v>1836.5506189346443</v>
      </c>
      <c r="D5" s="5">
        <f>IF(A5&lt;startage,1,0)*(C5*(1-initialunempprob))+IF(A5=startage,1,0)*(C5*(1-unempprob))+IF(A5&gt;startage,1,0)*(C5*(1-unempprob)+unempprob*300*52)</f>
        <v>1682.2803669441341</v>
      </c>
      <c r="E5" s="5">
        <f>IF(D5-9500&gt;0,1,0)*(D5-9500)</f>
        <v>0</v>
      </c>
      <c r="F5" s="5">
        <f>IF(E5&lt;=8500,1,0)*(0.1*E5+0.1*E5+0.0765*D5)+IF(AND(E5&gt;8500,E5&lt;=34500),1,0)*(850+0.15*(E5-8500)+0.1*E5+0.0765*D5)+IF(AND(E5&gt;34500,E5&lt;=83600),1,0)*(4750+0.25*(E5-34500)+0.1*E5+0.0765*D5)+IF(AND(E5&gt;83600,E5&lt;=174400,D5&lt;=106800),1,0)*(17025+0.28*(E5-83600)+0.1*E5+0.0765*D5)+IF(AND(E5&gt;83600,E5&lt;=174400,D5&gt;106800),1,0)*(17025+0.28*(E5-83600)+0.1*E5+8170.2+0.0145*(D5-106800))+IF(AND(E5&gt;174400,E5&lt;=379150),1,0)*(42449+0.33*(E5-174400)+0.1*E5+8170.2+0.0145*(D5-106800))+IF(E5&gt;379150,1,0)*(110016.5+0.35*(E5-379150)+0.1*E5+8170.2+0.0145*(D5-106800))</f>
        <v>128.69444807122625</v>
      </c>
      <c r="G5" s="5">
        <f>D5-F5</f>
        <v>1553.5859188729078</v>
      </c>
      <c r="H5" s="22">
        <f>0.1*Grade8!H5</f>
        <v>844.83917405936836</v>
      </c>
      <c r="I5" s="5">
        <f>G5+IF(A5&lt;startage,1,0)*(H5*(1-initialunempprob))+IF(A5&gt;=startage,1,0)*(H5*(1-unempprob))</f>
        <v>2327.4586023112893</v>
      </c>
      <c r="J5" s="26">
        <f t="shared" ref="J5:J36" si="0">(F5-(IF(A5&gt;startage,1,0)*(unempprob*300*52)))/(IF(A5&lt;startage,1,0)*((C5+H5)*(1-initialunempprob))+IF(A5&gt;=startage,1,0)*((C5+H5)*(1-unempprob)))</f>
        <v>5.2396754368048713E-2</v>
      </c>
      <c r="L5" s="22">
        <f>0.1*Grade8!L5</f>
        <v>2919.0699526867165</v>
      </c>
      <c r="M5" s="5"/>
      <c r="N5" s="5">
        <f>L5-Grade8!L5</f>
        <v>-26271.629574180446</v>
      </c>
      <c r="O5" s="5"/>
      <c r="P5" s="22"/>
      <c r="Q5" s="22">
        <f>0.05*feel*Grade8!G5</f>
        <v>196.99817836777137</v>
      </c>
      <c r="R5" s="22">
        <f>hstuition</f>
        <v>11298</v>
      </c>
      <c r="S5" s="22">
        <f t="shared" ref="S5:S36" si="1">IF(A5&lt;startage,1,0)*(N5-Q5-R5)+IF(A5&gt;=startage,1,0)*completionprob*(N5*spart+O5+P5)</f>
        <v>-37766.627752548215</v>
      </c>
      <c r="T5" s="22">
        <f t="shared" ref="T5:T36" si="2">S5/sreturn^(A5-startage+1)</f>
        <v>-37766.627752548215</v>
      </c>
    </row>
    <row r="6" spans="1:20" x14ac:dyDescent="0.2">
      <c r="A6" s="5">
        <v>15</v>
      </c>
      <c r="B6" s="1">
        <f t="shared" ref="B6:B36" si="3">(1+experiencepremium)^(A6-startage)</f>
        <v>1</v>
      </c>
      <c r="C6" s="5">
        <f t="shared" ref="C6:C36" si="4">pretaxincome*B6/expnorm</f>
        <v>19312.206225801758</v>
      </c>
      <c r="D6" s="5">
        <f t="shared" ref="D6:D36" si="5">IF(A6&lt;startage,1,0)*(C6*(1-initialunempprob))+IF(A6=startage,1,0)*(C6*(1-unempprob))+IF(A6&gt;startage,1,0)*(C6*(1-unempprob)+unempprob*300*52)</f>
        <v>17747.917521511816</v>
      </c>
      <c r="E6" s="5">
        <f t="shared" ref="E6:E56" si="6">IF(D6-9500&gt;0,1,0)*(D6-9500)</f>
        <v>8247.9175215118157</v>
      </c>
      <c r="F6" s="5">
        <f t="shared" ref="F6:F56" si="7">IF(E6&lt;=8500,1,0)*(0.1*E6+0.1*E6+0.0765*D6)+IF(AND(E6&gt;8500,E6&lt;=34500),1,0)*(850+0.15*(E6-8500)+0.1*E6+0.0765*D6)+IF(AND(E6&gt;34500,E6&lt;=83600),1,0)*(4750+0.25*(E6-34500)+0.1*E6+0.0765*D6)+IF(AND(E6&gt;83600,E6&lt;=174400,D6&lt;=106800),1,0)*(17025+0.28*(E6-83600)+0.1*E6+0.0765*D6)+IF(AND(E6&gt;83600,E6&lt;=174400,D6&gt;106800),1,0)*(17025+0.28*(E6-83600)+0.1*E6+8170.2+0.0145*(D6-106800))+IF(AND(E6&gt;174400,E6&lt;=379150),1,0)*(42449+0.33*(E6-174400)+0.1*E6+8170.2+0.0145*(D6-106800))+IF(E6&gt;379150,1,0)*(110016.5+0.35*(E6-379150)+0.1*E6+8170.2+0.0145*(D6-106800))</f>
        <v>3007.2991946980173</v>
      </c>
      <c r="G6" s="5">
        <f t="shared" ref="G6:G56" si="8">D6-F6</f>
        <v>14740.618326813797</v>
      </c>
      <c r="H6" s="22">
        <f t="shared" ref="H6:H36" si="9">benefits*B6/expnorm</f>
        <v>8883.9382836925615</v>
      </c>
      <c r="I6" s="5">
        <f t="shared" ref="I6:I36" si="10">G6+IF(A6&lt;startage,1,0)*(H6*(1-initialunempprob))+IF(A6&gt;=startage,1,0)*(H6*(1-unempprob))</f>
        <v>22904.957609527261</v>
      </c>
      <c r="J6" s="26">
        <f t="shared" si="0"/>
        <v>0.11605701569797827</v>
      </c>
      <c r="L6" s="22">
        <f t="shared" ref="L6:L36" si="11">(sincome+sbenefits)*(1-sunemp)*B6/expnorm</f>
        <v>30139.555027369108</v>
      </c>
      <c r="M6" s="5">
        <f>scrimecost*Meta!O3</f>
        <v>7867.8600000000006</v>
      </c>
      <c r="N6" s="5">
        <f>L6-Grade8!L6</f>
        <v>219.08801233026679</v>
      </c>
      <c r="O6" s="5">
        <f>Grade8!M6-M6</f>
        <v>163.23999999999978</v>
      </c>
      <c r="P6" s="22">
        <f t="shared" ref="P6:P37" si="12">(spart-initialspart)*(L6*J6+nptrans)</f>
        <v>50.259534054707331</v>
      </c>
      <c r="S6" s="22">
        <f t="shared" si="1"/>
        <v>347.59608312904663</v>
      </c>
      <c r="T6" s="22">
        <f t="shared" si="2"/>
        <v>352.25135525379977</v>
      </c>
    </row>
    <row r="7" spans="1:20" x14ac:dyDescent="0.2">
      <c r="A7" s="5">
        <v>16</v>
      </c>
      <c r="B7" s="1">
        <f t="shared" si="3"/>
        <v>1.0249999999999999</v>
      </c>
      <c r="C7" s="5">
        <f t="shared" si="4"/>
        <v>19795.011381446802</v>
      </c>
      <c r="D7" s="5">
        <f t="shared" si="5"/>
        <v>19455.21545954961</v>
      </c>
      <c r="E7" s="5">
        <f t="shared" si="6"/>
        <v>9955.2154595496104</v>
      </c>
      <c r="F7" s="5">
        <f t="shared" si="7"/>
        <v>3552.1278475429481</v>
      </c>
      <c r="G7" s="5">
        <f t="shared" si="8"/>
        <v>15903.087612006662</v>
      </c>
      <c r="H7" s="22">
        <f t="shared" si="9"/>
        <v>9106.0367407848753</v>
      </c>
      <c r="I7" s="5">
        <f t="shared" si="10"/>
        <v>24271.535376787964</v>
      </c>
      <c r="J7" s="26">
        <f t="shared" si="0"/>
        <v>8.6164246982909781E-2</v>
      </c>
      <c r="L7" s="22">
        <f t="shared" si="11"/>
        <v>30893.043903053331</v>
      </c>
      <c r="M7" s="5">
        <f>scrimecost*Meta!O4</f>
        <v>10539.867</v>
      </c>
      <c r="N7" s="5">
        <f>L7-Grade8!L7</f>
        <v>224.56521263851755</v>
      </c>
      <c r="O7" s="5">
        <f>Grade8!M7-M7</f>
        <v>218.67799999999988</v>
      </c>
      <c r="P7" s="22">
        <f t="shared" si="12"/>
        <v>46.079379324582852</v>
      </c>
      <c r="S7" s="22">
        <f t="shared" si="1"/>
        <v>399.12967821223668</v>
      </c>
      <c r="T7" s="22">
        <f t="shared" si="2"/>
        <v>409.89216730036833</v>
      </c>
    </row>
    <row r="8" spans="1:20" x14ac:dyDescent="0.2">
      <c r="A8" s="5">
        <v>17</v>
      </c>
      <c r="B8" s="1">
        <f t="shared" si="3"/>
        <v>1.0506249999999999</v>
      </c>
      <c r="C8" s="5">
        <f t="shared" si="4"/>
        <v>20289.886665982973</v>
      </c>
      <c r="D8" s="5">
        <f t="shared" si="5"/>
        <v>19910.005846038352</v>
      </c>
      <c r="E8" s="5">
        <f t="shared" si="6"/>
        <v>10410.005846038352</v>
      </c>
      <c r="F8" s="5">
        <f t="shared" si="7"/>
        <v>3700.616908731522</v>
      </c>
      <c r="G8" s="5">
        <f t="shared" si="8"/>
        <v>16209.38893730683</v>
      </c>
      <c r="H8" s="22">
        <f t="shared" si="9"/>
        <v>9333.6876593044963</v>
      </c>
      <c r="I8" s="5">
        <f t="shared" si="10"/>
        <v>24787.047896207663</v>
      </c>
      <c r="J8" s="26">
        <f t="shared" si="0"/>
        <v>8.9517011004520558E-2</v>
      </c>
      <c r="L8" s="22">
        <f t="shared" si="11"/>
        <v>31665.370000629668</v>
      </c>
      <c r="M8" s="5">
        <f>scrimecost*Meta!O5</f>
        <v>12941.097</v>
      </c>
      <c r="N8" s="5">
        <f>L8-Grade8!L8</f>
        <v>230.17934295448867</v>
      </c>
      <c r="O8" s="5">
        <f>Grade8!M8-M8</f>
        <v>268.49799999999959</v>
      </c>
      <c r="P8" s="22">
        <f t="shared" si="12"/>
        <v>46.942946374042947</v>
      </c>
      <c r="S8" s="22">
        <f t="shared" si="1"/>
        <v>450.22022235194822</v>
      </c>
      <c r="T8" s="22">
        <f t="shared" si="2"/>
        <v>468.55264547219747</v>
      </c>
    </row>
    <row r="9" spans="1:20" x14ac:dyDescent="0.2">
      <c r="A9" s="5">
        <v>18</v>
      </c>
      <c r="B9" s="1">
        <f t="shared" si="3"/>
        <v>1.0768906249999999</v>
      </c>
      <c r="C9" s="5">
        <f t="shared" si="4"/>
        <v>20797.133832632546</v>
      </c>
      <c r="D9" s="5">
        <f t="shared" si="5"/>
        <v>20376.165992189308</v>
      </c>
      <c r="E9" s="5">
        <f t="shared" si="6"/>
        <v>10876.165992189308</v>
      </c>
      <c r="F9" s="5">
        <f t="shared" si="7"/>
        <v>3852.818196449809</v>
      </c>
      <c r="G9" s="5">
        <f t="shared" si="8"/>
        <v>16523.347795739501</v>
      </c>
      <c r="H9" s="22">
        <f t="shared" si="9"/>
        <v>9567.0298507871103</v>
      </c>
      <c r="I9" s="5">
        <f t="shared" si="10"/>
        <v>25315.448228612855</v>
      </c>
      <c r="J9" s="26">
        <f t="shared" si="0"/>
        <v>9.2788000293896875E-2</v>
      </c>
      <c r="L9" s="22">
        <f t="shared" si="11"/>
        <v>32457.004250645405</v>
      </c>
      <c r="M9" s="5">
        <f>scrimecost*Meta!O6</f>
        <v>16394.780999999999</v>
      </c>
      <c r="N9" s="5">
        <f>L9-Grade8!L9</f>
        <v>235.93382652834771</v>
      </c>
      <c r="O9" s="5">
        <f>Grade8!M9-M9</f>
        <v>340.15400000000227</v>
      </c>
      <c r="P9" s="22">
        <f t="shared" si="12"/>
        <v>47.82810259973953</v>
      </c>
      <c r="S9" s="22">
        <f t="shared" si="1"/>
        <v>521.7989665951477</v>
      </c>
      <c r="T9" s="22">
        <f t="shared" si="2"/>
        <v>550.31887613252218</v>
      </c>
    </row>
    <row r="10" spans="1:20" x14ac:dyDescent="0.2">
      <c r="A10" s="5">
        <v>19</v>
      </c>
      <c r="B10" s="1">
        <f t="shared" si="3"/>
        <v>1.1038128906249998</v>
      </c>
      <c r="C10" s="5">
        <f t="shared" si="4"/>
        <v>21317.062178448356</v>
      </c>
      <c r="D10" s="5">
        <f t="shared" si="5"/>
        <v>20853.980141994038</v>
      </c>
      <c r="E10" s="5">
        <f t="shared" si="6"/>
        <v>11353.980141994038</v>
      </c>
      <c r="F10" s="5">
        <f t="shared" si="7"/>
        <v>4008.8245163610536</v>
      </c>
      <c r="G10" s="5">
        <f t="shared" si="8"/>
        <v>16845.155625632986</v>
      </c>
      <c r="H10" s="22">
        <f t="shared" si="9"/>
        <v>9806.2055970567853</v>
      </c>
      <c r="I10" s="5">
        <f t="shared" si="10"/>
        <v>25857.058569328172</v>
      </c>
      <c r="J10" s="26">
        <f t="shared" si="0"/>
        <v>9.5979209356703066E-2</v>
      </c>
      <c r="L10" s="22">
        <f t="shared" si="11"/>
        <v>33268.42935691154</v>
      </c>
      <c r="M10" s="5">
        <f>scrimecost*Meta!O7</f>
        <v>17396.145</v>
      </c>
      <c r="N10" s="5">
        <f>L10-Grade8!L10</f>
        <v>241.83217219155631</v>
      </c>
      <c r="O10" s="5">
        <f>Grade8!M10-M10</f>
        <v>360.93000000000029</v>
      </c>
      <c r="P10" s="22">
        <f t="shared" si="12"/>
        <v>48.735387731078539</v>
      </c>
      <c r="S10" s="22">
        <f t="shared" si="1"/>
        <v>546.02476324442478</v>
      </c>
      <c r="T10" s="22">
        <f t="shared" si="2"/>
        <v>583.58125387681241</v>
      </c>
    </row>
    <row r="11" spans="1:20" x14ac:dyDescent="0.2">
      <c r="A11" s="5">
        <v>20</v>
      </c>
      <c r="B11" s="1">
        <f t="shared" si="3"/>
        <v>1.1314082128906247</v>
      </c>
      <c r="C11" s="5">
        <f t="shared" si="4"/>
        <v>21849.988732909562</v>
      </c>
      <c r="D11" s="5">
        <f t="shared" si="5"/>
        <v>21343.739645543887</v>
      </c>
      <c r="E11" s="5">
        <f t="shared" si="6"/>
        <v>11843.739645543887</v>
      </c>
      <c r="F11" s="5">
        <f t="shared" si="7"/>
        <v>4168.7309942700795</v>
      </c>
      <c r="G11" s="5">
        <f t="shared" si="8"/>
        <v>17175.008651273805</v>
      </c>
      <c r="H11" s="22">
        <f t="shared" si="9"/>
        <v>10051.360736983204</v>
      </c>
      <c r="I11" s="5">
        <f t="shared" si="10"/>
        <v>26412.20916856137</v>
      </c>
      <c r="J11" s="26">
        <f t="shared" si="0"/>
        <v>9.9092584052123747E-2</v>
      </c>
      <c r="L11" s="22">
        <f t="shared" si="11"/>
        <v>34100.140090834328</v>
      </c>
      <c r="M11" s="5">
        <f>scrimecost*Meta!O8</f>
        <v>16696.212</v>
      </c>
      <c r="N11" s="5">
        <f>L11-Grade8!L11</f>
        <v>247.87797649635468</v>
      </c>
      <c r="O11" s="5">
        <f>Grade8!M11-M11</f>
        <v>346.40799999999945</v>
      </c>
      <c r="P11" s="22">
        <f t="shared" si="12"/>
        <v>49.665354990701026</v>
      </c>
      <c r="S11" s="22">
        <f t="shared" si="1"/>
        <v>537.43857060994139</v>
      </c>
      <c r="T11" s="22">
        <f t="shared" si="2"/>
        <v>582.0973520969053</v>
      </c>
    </row>
    <row r="12" spans="1:20" x14ac:dyDescent="0.2">
      <c r="A12" s="5">
        <v>21</v>
      </c>
      <c r="B12" s="1">
        <f t="shared" si="3"/>
        <v>1.1596934182128902</v>
      </c>
      <c r="C12" s="5">
        <f t="shared" si="4"/>
        <v>22396.238451232301</v>
      </c>
      <c r="D12" s="5">
        <f t="shared" si="5"/>
        <v>21845.743136682482</v>
      </c>
      <c r="E12" s="5">
        <f t="shared" si="6"/>
        <v>12345.743136682482</v>
      </c>
      <c r="F12" s="5">
        <f t="shared" si="7"/>
        <v>4332.6351341268301</v>
      </c>
      <c r="G12" s="5">
        <f t="shared" si="8"/>
        <v>17513.108002555651</v>
      </c>
      <c r="H12" s="22">
        <f t="shared" si="9"/>
        <v>10302.644755407784</v>
      </c>
      <c r="I12" s="5">
        <f t="shared" si="10"/>
        <v>26981.238532775405</v>
      </c>
      <c r="J12" s="26">
        <f t="shared" si="0"/>
        <v>0.10213002277936339</v>
      </c>
      <c r="L12" s="22">
        <f t="shared" si="11"/>
        <v>34952.643593105182</v>
      </c>
      <c r="M12" s="5">
        <f>scrimecost*Meta!O9</f>
        <v>15383.199000000001</v>
      </c>
      <c r="N12" s="5">
        <f>L12-Grade8!L12</f>
        <v>254.07492590875336</v>
      </c>
      <c r="O12" s="5">
        <f>Grade8!M12-M12</f>
        <v>319.16599999999926</v>
      </c>
      <c r="P12" s="22">
        <f t="shared" si="12"/>
        <v>50.618571431814061</v>
      </c>
      <c r="S12" s="22">
        <f t="shared" si="1"/>
        <v>517.10868880958321</v>
      </c>
      <c r="T12" s="22">
        <f t="shared" si="2"/>
        <v>567.57914067435092</v>
      </c>
    </row>
    <row r="13" spans="1:20" x14ac:dyDescent="0.2">
      <c r="A13" s="5">
        <v>22</v>
      </c>
      <c r="B13" s="1">
        <f t="shared" si="3"/>
        <v>1.1886857536682125</v>
      </c>
      <c r="C13" s="5">
        <f t="shared" si="4"/>
        <v>22956.144412513113</v>
      </c>
      <c r="D13" s="5">
        <f t="shared" si="5"/>
        <v>22360.29671509955</v>
      </c>
      <c r="E13" s="5">
        <f t="shared" si="6"/>
        <v>12860.29671509955</v>
      </c>
      <c r="F13" s="5">
        <f t="shared" si="7"/>
        <v>4500.636877480003</v>
      </c>
      <c r="G13" s="5">
        <f t="shared" si="8"/>
        <v>17859.659837619547</v>
      </c>
      <c r="H13" s="22">
        <f t="shared" si="9"/>
        <v>10560.210874292978</v>
      </c>
      <c r="I13" s="5">
        <f t="shared" si="10"/>
        <v>27564.493631094796</v>
      </c>
      <c r="J13" s="26">
        <f t="shared" si="0"/>
        <v>0.10509337763520706</v>
      </c>
      <c r="L13" s="22">
        <f t="shared" si="11"/>
        <v>35826.459682932815</v>
      </c>
      <c r="M13" s="5">
        <f>scrimecost*Meta!O10</f>
        <v>14029.314</v>
      </c>
      <c r="N13" s="5">
        <f>L13-Grade8!L13</f>
        <v>260.42679905647674</v>
      </c>
      <c r="O13" s="5">
        <f>Grade8!M13-M13</f>
        <v>291.07599999999911</v>
      </c>
      <c r="P13" s="22">
        <f t="shared" si="12"/>
        <v>51.595618283954934</v>
      </c>
      <c r="S13" s="22">
        <f t="shared" si="1"/>
        <v>496.11479561422613</v>
      </c>
      <c r="T13" s="22">
        <f t="shared" si="2"/>
        <v>551.82906212473199</v>
      </c>
    </row>
    <row r="14" spans="1:20" x14ac:dyDescent="0.2">
      <c r="A14" s="5">
        <v>23</v>
      </c>
      <c r="B14" s="1">
        <f t="shared" si="3"/>
        <v>1.2184028975099177</v>
      </c>
      <c r="C14" s="5">
        <f t="shared" si="4"/>
        <v>23530.048022825937</v>
      </c>
      <c r="D14" s="5">
        <f t="shared" si="5"/>
        <v>22887.714132977035</v>
      </c>
      <c r="E14" s="5">
        <f t="shared" si="6"/>
        <v>13387.714132977035</v>
      </c>
      <c r="F14" s="5">
        <f t="shared" si="7"/>
        <v>4672.8386644170023</v>
      </c>
      <c r="G14" s="5">
        <f t="shared" si="8"/>
        <v>18214.875468560032</v>
      </c>
      <c r="H14" s="22">
        <f t="shared" si="9"/>
        <v>10824.216146150302</v>
      </c>
      <c r="I14" s="5">
        <f t="shared" si="10"/>
        <v>28162.330106872163</v>
      </c>
      <c r="J14" s="26">
        <f t="shared" si="0"/>
        <v>0.10798445554334715</v>
      </c>
      <c r="L14" s="22">
        <f t="shared" si="11"/>
        <v>36722.121175006127</v>
      </c>
      <c r="M14" s="5">
        <f>scrimecost*Meta!O11</f>
        <v>13079.04</v>
      </c>
      <c r="N14" s="5">
        <f>L14-Grade8!L14</f>
        <v>266.93746903289139</v>
      </c>
      <c r="O14" s="5">
        <f>Grade8!M14-M14</f>
        <v>271.35999999999876</v>
      </c>
      <c r="P14" s="22">
        <f t="shared" si="12"/>
        <v>52.597091307399324</v>
      </c>
      <c r="S14" s="22">
        <f t="shared" si="1"/>
        <v>483.06419633898366</v>
      </c>
      <c r="T14" s="22">
        <f t="shared" si="2"/>
        <v>544.50896954264533</v>
      </c>
    </row>
    <row r="15" spans="1:20" x14ac:dyDescent="0.2">
      <c r="A15" s="5">
        <v>24</v>
      </c>
      <c r="B15" s="1">
        <f t="shared" si="3"/>
        <v>1.2488629699476654</v>
      </c>
      <c r="C15" s="5">
        <f t="shared" si="4"/>
        <v>24118.299223396582</v>
      </c>
      <c r="D15" s="5">
        <f t="shared" si="5"/>
        <v>23428.316986301459</v>
      </c>
      <c r="E15" s="5">
        <f t="shared" si="6"/>
        <v>13928.316986301459</v>
      </c>
      <c r="F15" s="5">
        <f t="shared" si="7"/>
        <v>4849.3454960274266</v>
      </c>
      <c r="G15" s="5">
        <f t="shared" si="8"/>
        <v>18578.971490274031</v>
      </c>
      <c r="H15" s="22">
        <f t="shared" si="9"/>
        <v>11094.821549804057</v>
      </c>
      <c r="I15" s="5">
        <f t="shared" si="10"/>
        <v>28775.112494543959</v>
      </c>
      <c r="J15" s="26">
        <f t="shared" si="0"/>
        <v>0.11080501935616677</v>
      </c>
      <c r="L15" s="22">
        <f t="shared" si="11"/>
        <v>37640.174204381277</v>
      </c>
      <c r="M15" s="5">
        <f>scrimecost*Meta!O12</f>
        <v>12476.178000000002</v>
      </c>
      <c r="N15" s="5">
        <f>L15-Grade8!L15</f>
        <v>273.61090575870912</v>
      </c>
      <c r="O15" s="5">
        <f>Grade8!M15-M15</f>
        <v>258.85199999999895</v>
      </c>
      <c r="P15" s="22">
        <f t="shared" si="12"/>
        <v>53.623601156429828</v>
      </c>
      <c r="S15" s="22">
        <f t="shared" si="1"/>
        <v>476.87227178185572</v>
      </c>
      <c r="T15" s="22">
        <f t="shared" si="2"/>
        <v>544.72844961888075</v>
      </c>
    </row>
    <row r="16" spans="1:20" x14ac:dyDescent="0.2">
      <c r="A16" s="5">
        <v>25</v>
      </c>
      <c r="B16" s="1">
        <f t="shared" si="3"/>
        <v>1.2800845441963571</v>
      </c>
      <c r="C16" s="5">
        <f t="shared" si="4"/>
        <v>24721.256703981493</v>
      </c>
      <c r="D16" s="5">
        <f t="shared" si="5"/>
        <v>23982.434910958993</v>
      </c>
      <c r="E16" s="5">
        <f t="shared" si="6"/>
        <v>14482.434910958993</v>
      </c>
      <c r="F16" s="5">
        <f t="shared" si="7"/>
        <v>5030.2649984281106</v>
      </c>
      <c r="G16" s="5">
        <f t="shared" si="8"/>
        <v>18952.169912530881</v>
      </c>
      <c r="H16" s="22">
        <f t="shared" si="9"/>
        <v>11372.192088549158</v>
      </c>
      <c r="I16" s="5">
        <f t="shared" si="10"/>
        <v>29403.214441907556</v>
      </c>
      <c r="J16" s="26">
        <f t="shared" si="0"/>
        <v>0.11355678892964925</v>
      </c>
      <c r="L16" s="22">
        <f t="shared" si="11"/>
        <v>38581.178559490807</v>
      </c>
      <c r="M16" s="5">
        <f>scrimecost*Meta!O13</f>
        <v>10386.597</v>
      </c>
      <c r="N16" s="5">
        <f>L16-Grade8!L16</f>
        <v>280.45117840266903</v>
      </c>
      <c r="O16" s="5">
        <f>Grade8!M16-M16</f>
        <v>215.49799999999959</v>
      </c>
      <c r="P16" s="22">
        <f t="shared" si="12"/>
        <v>54.67577375168608</v>
      </c>
      <c r="S16" s="22">
        <f t="shared" si="1"/>
        <v>442.03798021079785</v>
      </c>
      <c r="T16" s="22">
        <f t="shared" si="2"/>
        <v>511.69994666527055</v>
      </c>
    </row>
    <row r="17" spans="1:20" x14ac:dyDescent="0.2">
      <c r="A17" s="5">
        <v>26</v>
      </c>
      <c r="B17" s="1">
        <f t="shared" si="3"/>
        <v>1.312086657801266</v>
      </c>
      <c r="C17" s="5">
        <f t="shared" si="4"/>
        <v>25339.28812158103</v>
      </c>
      <c r="D17" s="5">
        <f t="shared" si="5"/>
        <v>24550.405783732967</v>
      </c>
      <c r="E17" s="5">
        <f t="shared" si="6"/>
        <v>15050.405783732967</v>
      </c>
      <c r="F17" s="5">
        <f t="shared" si="7"/>
        <v>5215.7074883888135</v>
      </c>
      <c r="G17" s="5">
        <f t="shared" si="8"/>
        <v>19334.698295344155</v>
      </c>
      <c r="H17" s="22">
        <f t="shared" si="9"/>
        <v>11656.496890762888</v>
      </c>
      <c r="I17" s="5">
        <f t="shared" si="10"/>
        <v>30047.01893795525</v>
      </c>
      <c r="J17" s="26">
        <f t="shared" si="0"/>
        <v>0.11624144217207126</v>
      </c>
      <c r="L17" s="22">
        <f t="shared" si="11"/>
        <v>39545.708023478073</v>
      </c>
      <c r="M17" s="5">
        <f>scrimecost*Meta!O14</f>
        <v>10386.597</v>
      </c>
      <c r="N17" s="5">
        <f>L17-Grade8!L17</f>
        <v>287.46245786274085</v>
      </c>
      <c r="O17" s="5">
        <f>Grade8!M17-M17</f>
        <v>215.49799999999959</v>
      </c>
      <c r="P17" s="22">
        <f t="shared" si="12"/>
        <v>55.754250661823747</v>
      </c>
      <c r="S17" s="22">
        <f t="shared" si="1"/>
        <v>447.79334540047159</v>
      </c>
      <c r="T17" s="22">
        <f t="shared" si="2"/>
        <v>525.30461937791586</v>
      </c>
    </row>
    <row r="18" spans="1:20" x14ac:dyDescent="0.2">
      <c r="A18" s="5">
        <v>27</v>
      </c>
      <c r="B18" s="1">
        <f t="shared" si="3"/>
        <v>1.3448888242462975</v>
      </c>
      <c r="C18" s="5">
        <f t="shared" si="4"/>
        <v>25972.770324620556</v>
      </c>
      <c r="D18" s="5">
        <f t="shared" si="5"/>
        <v>25132.575928326292</v>
      </c>
      <c r="E18" s="5">
        <f t="shared" si="6"/>
        <v>15632.575928326292</v>
      </c>
      <c r="F18" s="5">
        <f t="shared" si="7"/>
        <v>5405.7860405985339</v>
      </c>
      <c r="G18" s="5">
        <f t="shared" si="8"/>
        <v>19726.789887727758</v>
      </c>
      <c r="H18" s="22">
        <f t="shared" si="9"/>
        <v>11947.909313031958</v>
      </c>
      <c r="I18" s="5">
        <f t="shared" si="10"/>
        <v>30706.918546404129</v>
      </c>
      <c r="J18" s="26">
        <f t="shared" si="0"/>
        <v>0.11886061606711711</v>
      </c>
      <c r="L18" s="22">
        <f t="shared" si="11"/>
        <v>40534.350724065029</v>
      </c>
      <c r="M18" s="5">
        <f>scrimecost*Meta!O15</f>
        <v>10386.597</v>
      </c>
      <c r="N18" s="5">
        <f>L18-Grade8!L18</f>
        <v>294.64901930931228</v>
      </c>
      <c r="O18" s="5">
        <f>Grade8!M18-M18</f>
        <v>215.49799999999959</v>
      </c>
      <c r="P18" s="22">
        <f t="shared" si="12"/>
        <v>56.859689494714871</v>
      </c>
      <c r="S18" s="22">
        <f t="shared" si="1"/>
        <v>453.69259471988573</v>
      </c>
      <c r="T18" s="22">
        <f t="shared" si="2"/>
        <v>539.35296925968385</v>
      </c>
    </row>
    <row r="19" spans="1:20" x14ac:dyDescent="0.2">
      <c r="A19" s="5">
        <v>28</v>
      </c>
      <c r="B19" s="1">
        <f t="shared" si="3"/>
        <v>1.3785110448524549</v>
      </c>
      <c r="C19" s="5">
        <f t="shared" si="4"/>
        <v>26622.089582736069</v>
      </c>
      <c r="D19" s="5">
        <f t="shared" si="5"/>
        <v>25729.300326534449</v>
      </c>
      <c r="E19" s="5">
        <f t="shared" si="6"/>
        <v>16229.300326534449</v>
      </c>
      <c r="F19" s="5">
        <f t="shared" si="7"/>
        <v>5600.6165566134978</v>
      </c>
      <c r="G19" s="5">
        <f t="shared" si="8"/>
        <v>20128.68376992095</v>
      </c>
      <c r="H19" s="22">
        <f t="shared" si="9"/>
        <v>12246.607045857758</v>
      </c>
      <c r="I19" s="5">
        <f t="shared" si="10"/>
        <v>31383.315645064227</v>
      </c>
      <c r="J19" s="26">
        <f t="shared" si="0"/>
        <v>0.12141590767203993</v>
      </c>
      <c r="L19" s="22">
        <f t="shared" si="11"/>
        <v>41547.70949216665</v>
      </c>
      <c r="M19" s="5">
        <f>scrimecost*Meta!O16</f>
        <v>10386.597</v>
      </c>
      <c r="N19" s="5">
        <f>L19-Grade8!L19</f>
        <v>302.0152447920409</v>
      </c>
      <c r="O19" s="5">
        <f>Grade8!M19-M19</f>
        <v>215.49799999999959</v>
      </c>
      <c r="P19" s="22">
        <f t="shared" si="12"/>
        <v>57.992764298428263</v>
      </c>
      <c r="S19" s="22">
        <f t="shared" si="1"/>
        <v>459.73932527228044</v>
      </c>
      <c r="T19" s="22">
        <f t="shared" si="2"/>
        <v>553.86106459135635</v>
      </c>
    </row>
    <row r="20" spans="1:20" x14ac:dyDescent="0.2">
      <c r="A20" s="5">
        <v>29</v>
      </c>
      <c r="B20" s="1">
        <f t="shared" si="3"/>
        <v>1.4129738209737661</v>
      </c>
      <c r="C20" s="5">
        <f t="shared" si="4"/>
        <v>27287.641822304467</v>
      </c>
      <c r="D20" s="5">
        <f t="shared" si="5"/>
        <v>26340.942834697806</v>
      </c>
      <c r="E20" s="5">
        <f t="shared" si="6"/>
        <v>16840.942834697806</v>
      </c>
      <c r="F20" s="5">
        <f t="shared" si="7"/>
        <v>5800.3178355288337</v>
      </c>
      <c r="G20" s="5">
        <f t="shared" si="8"/>
        <v>20540.624999168973</v>
      </c>
      <c r="H20" s="22">
        <f t="shared" si="9"/>
        <v>12552.7722220042</v>
      </c>
      <c r="I20" s="5">
        <f t="shared" si="10"/>
        <v>32076.622671190831</v>
      </c>
      <c r="J20" s="26">
        <f t="shared" si="0"/>
        <v>0.12390887509147676</v>
      </c>
      <c r="L20" s="22">
        <f t="shared" si="11"/>
        <v>42586.402229470812</v>
      </c>
      <c r="M20" s="5">
        <f>scrimecost*Meta!O17</f>
        <v>10386.597</v>
      </c>
      <c r="N20" s="5">
        <f>L20-Grade8!L20</f>
        <v>309.56562591184047</v>
      </c>
      <c r="O20" s="5">
        <f>Grade8!M20-M20</f>
        <v>215.49799999999959</v>
      </c>
      <c r="P20" s="22">
        <f t="shared" si="12"/>
        <v>59.154165972234487</v>
      </c>
      <c r="S20" s="22">
        <f t="shared" si="1"/>
        <v>465.93722408848686</v>
      </c>
      <c r="T20" s="22">
        <f t="shared" si="2"/>
        <v>568.84558101633161</v>
      </c>
    </row>
    <row r="21" spans="1:20" x14ac:dyDescent="0.2">
      <c r="A21" s="5">
        <v>30</v>
      </c>
      <c r="B21" s="1">
        <f t="shared" si="3"/>
        <v>1.4482981664981105</v>
      </c>
      <c r="C21" s="5">
        <f t="shared" si="4"/>
        <v>27969.832867862082</v>
      </c>
      <c r="D21" s="5">
        <f t="shared" si="5"/>
        <v>26967.876405565254</v>
      </c>
      <c r="E21" s="5">
        <f t="shared" si="6"/>
        <v>17467.876405565254</v>
      </c>
      <c r="F21" s="5">
        <f t="shared" si="7"/>
        <v>6005.0116464170551</v>
      </c>
      <c r="G21" s="5">
        <f t="shared" si="8"/>
        <v>20962.8647591482</v>
      </c>
      <c r="H21" s="22">
        <f t="shared" si="9"/>
        <v>12866.591527554308</v>
      </c>
      <c r="I21" s="5">
        <f t="shared" si="10"/>
        <v>32787.26237297061</v>
      </c>
      <c r="J21" s="26">
        <f t="shared" si="0"/>
        <v>0.12634103842751271</v>
      </c>
      <c r="L21" s="22">
        <f t="shared" si="11"/>
        <v>43651.062285207583</v>
      </c>
      <c r="M21" s="5">
        <f>scrimecost*Meta!O18</f>
        <v>8557.5750000000007</v>
      </c>
      <c r="N21" s="5">
        <f>L21-Grade8!L21</f>
        <v>317.30476655963867</v>
      </c>
      <c r="O21" s="5">
        <f>Grade8!M21-M21</f>
        <v>177.54999999999927</v>
      </c>
      <c r="P21" s="22">
        <f t="shared" si="12"/>
        <v>60.34460268788586</v>
      </c>
      <c r="S21" s="22">
        <f t="shared" si="1"/>
        <v>436.88458637510058</v>
      </c>
      <c r="T21" s="22">
        <f t="shared" si="2"/>
        <v>540.51966904870562</v>
      </c>
    </row>
    <row r="22" spans="1:20" x14ac:dyDescent="0.2">
      <c r="A22" s="5">
        <v>31</v>
      </c>
      <c r="B22" s="1">
        <f t="shared" si="3"/>
        <v>1.4845056206605631</v>
      </c>
      <c r="C22" s="5">
        <f t="shared" si="4"/>
        <v>28669.078689558635</v>
      </c>
      <c r="D22" s="5">
        <f t="shared" si="5"/>
        <v>27610.483315704387</v>
      </c>
      <c r="E22" s="5">
        <f t="shared" si="6"/>
        <v>18110.483315704387</v>
      </c>
      <c r="F22" s="5">
        <f t="shared" si="7"/>
        <v>6214.8228025774824</v>
      </c>
      <c r="G22" s="5">
        <f t="shared" si="8"/>
        <v>21395.660513126903</v>
      </c>
      <c r="H22" s="22">
        <f t="shared" si="9"/>
        <v>13188.256315743163</v>
      </c>
      <c r="I22" s="5">
        <f t="shared" si="10"/>
        <v>33515.668067294871</v>
      </c>
      <c r="J22" s="26">
        <f t="shared" si="0"/>
        <v>0.12871388070657222</v>
      </c>
      <c r="L22" s="22">
        <f t="shared" si="11"/>
        <v>44742.338842337776</v>
      </c>
      <c r="M22" s="5">
        <f>scrimecost*Meta!O19</f>
        <v>8557.5750000000007</v>
      </c>
      <c r="N22" s="5">
        <f>L22-Grade8!L22</f>
        <v>325.237385723638</v>
      </c>
      <c r="O22" s="5">
        <f>Grade8!M22-M22</f>
        <v>177.54999999999927</v>
      </c>
      <c r="P22" s="22">
        <f t="shared" si="12"/>
        <v>61.564800321428535</v>
      </c>
      <c r="S22" s="22">
        <f t="shared" si="1"/>
        <v>443.39625381888413</v>
      </c>
      <c r="T22" s="22">
        <f t="shared" si="2"/>
        <v>555.92294285266792</v>
      </c>
    </row>
    <row r="23" spans="1:20" x14ac:dyDescent="0.2">
      <c r="A23" s="5">
        <v>32</v>
      </c>
      <c r="B23" s="1">
        <f t="shared" si="3"/>
        <v>1.521618261177077</v>
      </c>
      <c r="C23" s="5">
        <f t="shared" si="4"/>
        <v>29385.805656797595</v>
      </c>
      <c r="D23" s="5">
        <f t="shared" si="5"/>
        <v>28269.155398596988</v>
      </c>
      <c r="E23" s="5">
        <f t="shared" si="6"/>
        <v>18769.155398596988</v>
      </c>
      <c r="F23" s="5">
        <f t="shared" si="7"/>
        <v>6429.8792376419169</v>
      </c>
      <c r="G23" s="5">
        <f t="shared" si="8"/>
        <v>21839.276160955073</v>
      </c>
      <c r="H23" s="22">
        <f t="shared" si="9"/>
        <v>13517.962723636741</v>
      </c>
      <c r="I23" s="5">
        <f t="shared" si="10"/>
        <v>34262.283903977237</v>
      </c>
      <c r="J23" s="26">
        <f t="shared" si="0"/>
        <v>0.13102884878370336</v>
      </c>
      <c r="L23" s="22">
        <f t="shared" si="11"/>
        <v>45860.897313396206</v>
      </c>
      <c r="M23" s="5">
        <f>scrimecost*Meta!O20</f>
        <v>8557.5750000000007</v>
      </c>
      <c r="N23" s="5">
        <f>L23-Grade8!L23</f>
        <v>333.36832036671694</v>
      </c>
      <c r="O23" s="5">
        <f>Grade8!M23-M23</f>
        <v>177.54999999999927</v>
      </c>
      <c r="P23" s="22">
        <f t="shared" si="12"/>
        <v>62.81550289580975</v>
      </c>
      <c r="S23" s="22">
        <f t="shared" si="1"/>
        <v>450.07071294874851</v>
      </c>
      <c r="T23" s="22">
        <f t="shared" si="2"/>
        <v>571.84868963022166</v>
      </c>
    </row>
    <row r="24" spans="1:20" x14ac:dyDescent="0.2">
      <c r="A24" s="5">
        <v>33</v>
      </c>
      <c r="B24" s="1">
        <f t="shared" si="3"/>
        <v>1.559658717706504</v>
      </c>
      <c r="C24" s="5">
        <f t="shared" si="4"/>
        <v>30120.450798217535</v>
      </c>
      <c r="D24" s="5">
        <f t="shared" si="5"/>
        <v>28944.294283561914</v>
      </c>
      <c r="E24" s="5">
        <f t="shared" si="6"/>
        <v>19444.294283561914</v>
      </c>
      <c r="F24" s="5">
        <f t="shared" si="7"/>
        <v>6650.312083582965</v>
      </c>
      <c r="G24" s="5">
        <f t="shared" si="8"/>
        <v>22293.982199978949</v>
      </c>
      <c r="H24" s="22">
        <f t="shared" si="9"/>
        <v>13855.911791727662</v>
      </c>
      <c r="I24" s="5">
        <f t="shared" si="10"/>
        <v>35027.565136576668</v>
      </c>
      <c r="J24" s="26">
        <f t="shared" si="0"/>
        <v>0.13328735422480698</v>
      </c>
      <c r="L24" s="22">
        <f t="shared" si="11"/>
        <v>47007.419746231113</v>
      </c>
      <c r="M24" s="5">
        <f>scrimecost*Meta!O21</f>
        <v>8557.5750000000007</v>
      </c>
      <c r="N24" s="5">
        <f>L24-Grade8!L24</f>
        <v>341.70252837588487</v>
      </c>
      <c r="O24" s="5">
        <f>Grade8!M24-M24</f>
        <v>177.54999999999927</v>
      </c>
      <c r="P24" s="22">
        <f t="shared" si="12"/>
        <v>64.097473034550518</v>
      </c>
      <c r="S24" s="22">
        <f t="shared" si="1"/>
        <v>456.91203355686758</v>
      </c>
      <c r="T24" s="22">
        <f t="shared" si="2"/>
        <v>588.31615164751088</v>
      </c>
    </row>
    <row r="25" spans="1:20" x14ac:dyDescent="0.2">
      <c r="A25" s="5">
        <v>34</v>
      </c>
      <c r="B25" s="1">
        <f t="shared" si="3"/>
        <v>1.5986501856491666</v>
      </c>
      <c r="C25" s="5">
        <f t="shared" si="4"/>
        <v>30873.462068172976</v>
      </c>
      <c r="D25" s="5">
        <f t="shared" si="5"/>
        <v>29636.311640650965</v>
      </c>
      <c r="E25" s="5">
        <f t="shared" si="6"/>
        <v>20136.311640650965</v>
      </c>
      <c r="F25" s="5">
        <f t="shared" si="7"/>
        <v>6876.2557506725407</v>
      </c>
      <c r="G25" s="5">
        <f t="shared" si="8"/>
        <v>22760.055889978423</v>
      </c>
      <c r="H25" s="22">
        <f t="shared" si="9"/>
        <v>14202.309586520851</v>
      </c>
      <c r="I25" s="5">
        <f t="shared" si="10"/>
        <v>35811.978399991087</v>
      </c>
      <c r="J25" s="26">
        <f t="shared" si="0"/>
        <v>0.13549077416734712</v>
      </c>
      <c r="L25" s="22">
        <f t="shared" si="11"/>
        <v>48182.605239886892</v>
      </c>
      <c r="M25" s="5">
        <f>scrimecost*Meta!O22</f>
        <v>8557.5750000000007</v>
      </c>
      <c r="N25" s="5">
        <f>L25-Grade8!L25</f>
        <v>350.24509158528235</v>
      </c>
      <c r="O25" s="5">
        <f>Grade8!M25-M25</f>
        <v>177.54999999999927</v>
      </c>
      <c r="P25" s="22">
        <f t="shared" si="12"/>
        <v>65.411492426759821</v>
      </c>
      <c r="S25" s="22">
        <f t="shared" si="1"/>
        <v>463.92438718018991</v>
      </c>
      <c r="T25" s="22">
        <f t="shared" si="2"/>
        <v>605.3453030934927</v>
      </c>
    </row>
    <row r="26" spans="1:20" x14ac:dyDescent="0.2">
      <c r="A26" s="5">
        <v>35</v>
      </c>
      <c r="B26" s="1">
        <f t="shared" si="3"/>
        <v>1.6386164402903955</v>
      </c>
      <c r="C26" s="5">
        <f t="shared" si="4"/>
        <v>31645.298619877292</v>
      </c>
      <c r="D26" s="5">
        <f t="shared" si="5"/>
        <v>30345.629431667232</v>
      </c>
      <c r="E26" s="5">
        <f t="shared" si="6"/>
        <v>20845.629431667232</v>
      </c>
      <c r="F26" s="5">
        <f t="shared" si="7"/>
        <v>7107.8480094393526</v>
      </c>
      <c r="G26" s="5">
        <f t="shared" si="8"/>
        <v>23237.781422227879</v>
      </c>
      <c r="H26" s="22">
        <f t="shared" si="9"/>
        <v>14557.367326183872</v>
      </c>
      <c r="I26" s="5">
        <f t="shared" si="10"/>
        <v>36616.00199499086</v>
      </c>
      <c r="J26" s="26">
        <f t="shared" si="0"/>
        <v>0.13764045216006915</v>
      </c>
      <c r="L26" s="22">
        <f t="shared" si="11"/>
        <v>49387.170370884065</v>
      </c>
      <c r="M26" s="5">
        <f>scrimecost*Meta!O23</f>
        <v>6467.9939999999997</v>
      </c>
      <c r="N26" s="5">
        <f>L26-Grade8!L26</f>
        <v>359.00121887493151</v>
      </c>
      <c r="O26" s="5">
        <f>Grade8!M26-M26</f>
        <v>134.19600000000082</v>
      </c>
      <c r="P26" s="22">
        <f t="shared" si="12"/>
        <v>66.758362303774319</v>
      </c>
      <c r="S26" s="22">
        <f t="shared" si="1"/>
        <v>430.6627676441081</v>
      </c>
      <c r="T26" s="22">
        <f t="shared" si="2"/>
        <v>569.47032773149601</v>
      </c>
    </row>
    <row r="27" spans="1:20" x14ac:dyDescent="0.2">
      <c r="A27" s="5">
        <v>36</v>
      </c>
      <c r="B27" s="1">
        <f t="shared" si="3"/>
        <v>1.6795818512976552</v>
      </c>
      <c r="C27" s="5">
        <f t="shared" si="4"/>
        <v>32436.431085374224</v>
      </c>
      <c r="D27" s="5">
        <f t="shared" si="5"/>
        <v>31072.680167458911</v>
      </c>
      <c r="E27" s="5">
        <f t="shared" si="6"/>
        <v>21572.680167458911</v>
      </c>
      <c r="F27" s="5">
        <f t="shared" si="7"/>
        <v>7345.2300746753344</v>
      </c>
      <c r="G27" s="5">
        <f t="shared" si="8"/>
        <v>23727.450092783576</v>
      </c>
      <c r="H27" s="22">
        <f t="shared" si="9"/>
        <v>14921.301509338466</v>
      </c>
      <c r="I27" s="5">
        <f t="shared" si="10"/>
        <v>37440.126179865627</v>
      </c>
      <c r="J27" s="26">
        <f t="shared" si="0"/>
        <v>0.13973769898223698</v>
      </c>
      <c r="L27" s="22">
        <f t="shared" si="11"/>
        <v>50621.849630156161</v>
      </c>
      <c r="M27" s="5">
        <f>scrimecost*Meta!O24</f>
        <v>6467.9939999999997</v>
      </c>
      <c r="N27" s="5">
        <f>L27-Grade8!L27</f>
        <v>367.97624934679334</v>
      </c>
      <c r="O27" s="5">
        <f>Grade8!M27-M27</f>
        <v>134.19600000000082</v>
      </c>
      <c r="P27" s="22">
        <f t="shared" si="12"/>
        <v>68.138903927714182</v>
      </c>
      <c r="S27" s="22">
        <f t="shared" si="1"/>
        <v>438.03012166960337</v>
      </c>
      <c r="T27" s="22">
        <f t="shared" si="2"/>
        <v>586.96951750018741</v>
      </c>
    </row>
    <row r="28" spans="1:20" x14ac:dyDescent="0.2">
      <c r="A28" s="5">
        <v>37</v>
      </c>
      <c r="B28" s="1">
        <f t="shared" si="3"/>
        <v>1.7215713975800966</v>
      </c>
      <c r="C28" s="5">
        <f t="shared" si="4"/>
        <v>33247.341862508576</v>
      </c>
      <c r="D28" s="5">
        <f t="shared" si="5"/>
        <v>31817.90717164538</v>
      </c>
      <c r="E28" s="5">
        <f t="shared" si="6"/>
        <v>22317.90717164538</v>
      </c>
      <c r="F28" s="5">
        <f t="shared" si="7"/>
        <v>7588.5466915422166</v>
      </c>
      <c r="G28" s="5">
        <f t="shared" si="8"/>
        <v>24229.360480103162</v>
      </c>
      <c r="H28" s="22">
        <f t="shared" si="9"/>
        <v>15294.334047071929</v>
      </c>
      <c r="I28" s="5">
        <f t="shared" si="10"/>
        <v>38284.853469362264</v>
      </c>
      <c r="J28" s="26">
        <f t="shared" si="0"/>
        <v>0.14178379344288852</v>
      </c>
      <c r="L28" s="22">
        <f t="shared" si="11"/>
        <v>51887.395870910055</v>
      </c>
      <c r="M28" s="5">
        <f>scrimecost*Meta!O25</f>
        <v>6467.9939999999997</v>
      </c>
      <c r="N28" s="5">
        <f>L28-Grade8!L28</f>
        <v>377.17565558045317</v>
      </c>
      <c r="O28" s="5">
        <f>Grade8!M28-M28</f>
        <v>134.19600000000082</v>
      </c>
      <c r="P28" s="22">
        <f t="shared" si="12"/>
        <v>69.553959092252555</v>
      </c>
      <c r="S28" s="22">
        <f t="shared" si="1"/>
        <v>445.58165954573701</v>
      </c>
      <c r="T28" s="22">
        <f t="shared" si="2"/>
        <v>605.08540428840968</v>
      </c>
    </row>
    <row r="29" spans="1:20" x14ac:dyDescent="0.2">
      <c r="A29" s="5">
        <v>38</v>
      </c>
      <c r="B29" s="1">
        <f t="shared" si="3"/>
        <v>1.7646106825195991</v>
      </c>
      <c r="C29" s="5">
        <f t="shared" si="4"/>
        <v>34078.525409071292</v>
      </c>
      <c r="D29" s="5">
        <f t="shared" si="5"/>
        <v>32581.764850936517</v>
      </c>
      <c r="E29" s="5">
        <f t="shared" si="6"/>
        <v>23081.764850936517</v>
      </c>
      <c r="F29" s="5">
        <f t="shared" si="7"/>
        <v>7837.9462238307733</v>
      </c>
      <c r="G29" s="5">
        <f t="shared" si="8"/>
        <v>24743.818627105742</v>
      </c>
      <c r="H29" s="22">
        <f t="shared" si="9"/>
        <v>15676.692398248728</v>
      </c>
      <c r="I29" s="5">
        <f t="shared" si="10"/>
        <v>39150.698941096322</v>
      </c>
      <c r="J29" s="26">
        <f t="shared" si="0"/>
        <v>0.1437799831605974</v>
      </c>
      <c r="L29" s="22">
        <f t="shared" si="11"/>
        <v>53184.580767682812</v>
      </c>
      <c r="M29" s="5">
        <f>scrimecost*Meta!O26</f>
        <v>6467.9939999999997</v>
      </c>
      <c r="N29" s="5">
        <f>L29-Grade8!L29</f>
        <v>386.60504696997668</v>
      </c>
      <c r="O29" s="5">
        <f>Grade8!M29-M29</f>
        <v>134.19600000000082</v>
      </c>
      <c r="P29" s="22">
        <f t="shared" si="12"/>
        <v>71.004390635904386</v>
      </c>
      <c r="S29" s="22">
        <f t="shared" si="1"/>
        <v>453.321985868789</v>
      </c>
      <c r="T29" s="22">
        <f t="shared" si="2"/>
        <v>623.8410542647996</v>
      </c>
    </row>
    <row r="30" spans="1:20" x14ac:dyDescent="0.2">
      <c r="A30" s="5">
        <v>39</v>
      </c>
      <c r="B30" s="1">
        <f t="shared" si="3"/>
        <v>1.8087259495825889</v>
      </c>
      <c r="C30" s="5">
        <f t="shared" si="4"/>
        <v>34930.488544298074</v>
      </c>
      <c r="D30" s="5">
        <f t="shared" si="5"/>
        <v>33364.718972209928</v>
      </c>
      <c r="E30" s="5">
        <f t="shared" si="6"/>
        <v>23864.718972209928</v>
      </c>
      <c r="F30" s="5">
        <f t="shared" si="7"/>
        <v>8093.5807444265411</v>
      </c>
      <c r="G30" s="5">
        <f t="shared" si="8"/>
        <v>25271.138227783387</v>
      </c>
      <c r="H30" s="22">
        <f t="shared" si="9"/>
        <v>16068.609708204944</v>
      </c>
      <c r="I30" s="5">
        <f t="shared" si="10"/>
        <v>40038.19054962373</v>
      </c>
      <c r="J30" s="26">
        <f t="shared" si="0"/>
        <v>0.14572748532421573</v>
      </c>
      <c r="L30" s="22">
        <f t="shared" si="11"/>
        <v>54514.195286874878</v>
      </c>
      <c r="M30" s="5">
        <f>scrimecost*Meta!O27</f>
        <v>6467.9939999999997</v>
      </c>
      <c r="N30" s="5">
        <f>L30-Grade8!L30</f>
        <v>396.27017314422847</v>
      </c>
      <c r="O30" s="5">
        <f>Grade8!M30-M30</f>
        <v>134.19600000000082</v>
      </c>
      <c r="P30" s="22">
        <f t="shared" si="12"/>
        <v>72.491082968147509</v>
      </c>
      <c r="S30" s="22">
        <f t="shared" si="1"/>
        <v>461.25582034991072</v>
      </c>
      <c r="T30" s="22">
        <f t="shared" si="2"/>
        <v>643.26041595279185</v>
      </c>
    </row>
    <row r="31" spans="1:20" x14ac:dyDescent="0.2">
      <c r="A31" s="5">
        <v>40</v>
      </c>
      <c r="B31" s="1">
        <f t="shared" si="3"/>
        <v>1.8539440983221533</v>
      </c>
      <c r="C31" s="5">
        <f t="shared" si="4"/>
        <v>35803.750757905524</v>
      </c>
      <c r="D31" s="5">
        <f t="shared" si="5"/>
        <v>34167.246946515173</v>
      </c>
      <c r="E31" s="5">
        <f t="shared" si="6"/>
        <v>24667.246946515173</v>
      </c>
      <c r="F31" s="5">
        <f t="shared" si="7"/>
        <v>8355.6061280372051</v>
      </c>
      <c r="G31" s="5">
        <f t="shared" si="8"/>
        <v>25811.640818477968</v>
      </c>
      <c r="H31" s="22">
        <f t="shared" si="9"/>
        <v>16470.324950910064</v>
      </c>
      <c r="I31" s="5">
        <f t="shared" si="10"/>
        <v>40947.869448364319</v>
      </c>
      <c r="J31" s="26">
        <f t="shared" si="0"/>
        <v>0.14762748743506296</v>
      </c>
      <c r="L31" s="22">
        <f t="shared" si="11"/>
        <v>55877.050169046743</v>
      </c>
      <c r="M31" s="5">
        <f>scrimecost*Meta!O28</f>
        <v>5778.2790000000005</v>
      </c>
      <c r="N31" s="5">
        <f>L31-Grade8!L31</f>
        <v>406.17692747282854</v>
      </c>
      <c r="O31" s="5">
        <f>Grade8!M31-M31</f>
        <v>119.88599999999951</v>
      </c>
      <c r="P31" s="22">
        <f t="shared" si="12"/>
        <v>74.014942608696728</v>
      </c>
      <c r="S31" s="22">
        <f t="shared" si="1"/>
        <v>456.03677069305382</v>
      </c>
      <c r="T31" s="22">
        <f t="shared" si="2"/>
        <v>644.49956455645577</v>
      </c>
    </row>
    <row r="32" spans="1:20" x14ac:dyDescent="0.2">
      <c r="A32" s="5">
        <v>41</v>
      </c>
      <c r="B32" s="1">
        <f t="shared" si="3"/>
        <v>1.9002927007802071</v>
      </c>
      <c r="C32" s="5">
        <f t="shared" si="4"/>
        <v>36698.844526853158</v>
      </c>
      <c r="D32" s="5">
        <f t="shared" si="5"/>
        <v>34989.83812017805</v>
      </c>
      <c r="E32" s="5">
        <f t="shared" si="6"/>
        <v>25489.83812017805</v>
      </c>
      <c r="F32" s="5">
        <f t="shared" si="7"/>
        <v>8624.182146238134</v>
      </c>
      <c r="G32" s="5">
        <f t="shared" si="8"/>
        <v>26365.655973939916</v>
      </c>
      <c r="H32" s="22">
        <f t="shared" si="9"/>
        <v>16882.083074682818</v>
      </c>
      <c r="I32" s="5">
        <f t="shared" si="10"/>
        <v>41880.290319573425</v>
      </c>
      <c r="J32" s="26">
        <f t="shared" si="0"/>
        <v>0.14948114803101142</v>
      </c>
      <c r="L32" s="22">
        <f t="shared" si="11"/>
        <v>57273.976423272907</v>
      </c>
      <c r="M32" s="5">
        <f>scrimecost*Meta!O29</f>
        <v>5778.2790000000005</v>
      </c>
      <c r="N32" s="5">
        <f>L32-Grade8!L32</f>
        <v>416.33135065964598</v>
      </c>
      <c r="O32" s="5">
        <f>Grade8!M32-M32</f>
        <v>119.88599999999951</v>
      </c>
      <c r="P32" s="22">
        <f t="shared" si="12"/>
        <v>75.576898740259637</v>
      </c>
      <c r="S32" s="22">
        <f t="shared" si="1"/>
        <v>464.37225554477828</v>
      </c>
      <c r="T32" s="22">
        <f t="shared" si="2"/>
        <v>665.06919086037999</v>
      </c>
    </row>
    <row r="33" spans="1:20" x14ac:dyDescent="0.2">
      <c r="A33" s="5">
        <v>42</v>
      </c>
      <c r="B33" s="1">
        <f t="shared" si="3"/>
        <v>1.9478000182997122</v>
      </c>
      <c r="C33" s="5">
        <f t="shared" si="4"/>
        <v>37616.315640024484</v>
      </c>
      <c r="D33" s="5">
        <f t="shared" si="5"/>
        <v>35832.994073182505</v>
      </c>
      <c r="E33" s="5">
        <f t="shared" si="6"/>
        <v>26332.994073182505</v>
      </c>
      <c r="F33" s="5">
        <f t="shared" si="7"/>
        <v>8899.4725648940876</v>
      </c>
      <c r="G33" s="5">
        <f t="shared" si="8"/>
        <v>26933.521508288417</v>
      </c>
      <c r="H33" s="22">
        <f t="shared" si="9"/>
        <v>17304.135151549886</v>
      </c>
      <c r="I33" s="5">
        <f t="shared" si="10"/>
        <v>42836.021712562761</v>
      </c>
      <c r="J33" s="26">
        <f t="shared" si="0"/>
        <v>0.15128959739291242</v>
      </c>
      <c r="L33" s="22">
        <f t="shared" si="11"/>
        <v>58705.825833854731</v>
      </c>
      <c r="M33" s="5">
        <f>scrimecost*Meta!O30</f>
        <v>5778.2790000000005</v>
      </c>
      <c r="N33" s="5">
        <f>L33-Grade8!L33</f>
        <v>426.73963442614331</v>
      </c>
      <c r="O33" s="5">
        <f>Grade8!M33-M33</f>
        <v>119.88599999999951</v>
      </c>
      <c r="P33" s="22">
        <f t="shared" si="12"/>
        <v>77.177903775111673</v>
      </c>
      <c r="S33" s="22">
        <f t="shared" si="1"/>
        <v>472.91612751780235</v>
      </c>
      <c r="T33" s="22">
        <f t="shared" si="2"/>
        <v>686.37663103279863</v>
      </c>
    </row>
    <row r="34" spans="1:20" x14ac:dyDescent="0.2">
      <c r="A34" s="5">
        <v>43</v>
      </c>
      <c r="B34" s="1">
        <f t="shared" si="3"/>
        <v>1.9964950187572048</v>
      </c>
      <c r="C34" s="5">
        <f t="shared" si="4"/>
        <v>38556.723531025091</v>
      </c>
      <c r="D34" s="5">
        <f t="shared" si="5"/>
        <v>36697.228925012059</v>
      </c>
      <c r="E34" s="5">
        <f t="shared" si="6"/>
        <v>27197.228925012059</v>
      </c>
      <c r="F34" s="5">
        <f t="shared" si="7"/>
        <v>9181.6452440164376</v>
      </c>
      <c r="G34" s="5">
        <f t="shared" si="8"/>
        <v>27515.583680995624</v>
      </c>
      <c r="H34" s="22">
        <f t="shared" si="9"/>
        <v>17736.738530338633</v>
      </c>
      <c r="I34" s="5">
        <f t="shared" si="10"/>
        <v>43815.646390376831</v>
      </c>
      <c r="J34" s="26">
        <f t="shared" si="0"/>
        <v>0.1530539382337914</v>
      </c>
      <c r="L34" s="22">
        <f t="shared" si="11"/>
        <v>60173.471479701097</v>
      </c>
      <c r="M34" s="5">
        <f>scrimecost*Meta!O31</f>
        <v>5778.2790000000005</v>
      </c>
      <c r="N34" s="5">
        <f>L34-Grade8!L34</f>
        <v>437.40812528678362</v>
      </c>
      <c r="O34" s="5">
        <f>Grade8!M34-M34</f>
        <v>119.88599999999951</v>
      </c>
      <c r="P34" s="22">
        <f t="shared" si="12"/>
        <v>78.818933935834977</v>
      </c>
      <c r="S34" s="22">
        <f t="shared" si="1"/>
        <v>481.67359629013873</v>
      </c>
      <c r="T34" s="22">
        <f t="shared" si="2"/>
        <v>708.44967135304682</v>
      </c>
    </row>
    <row r="35" spans="1:20" x14ac:dyDescent="0.2">
      <c r="A35" s="5">
        <v>44</v>
      </c>
      <c r="B35" s="1">
        <f t="shared" si="3"/>
        <v>2.0464073942261352</v>
      </c>
      <c r="C35" s="5">
        <f t="shared" si="4"/>
        <v>39520.641619300724</v>
      </c>
      <c r="D35" s="5">
        <f t="shared" si="5"/>
        <v>37583.069648137367</v>
      </c>
      <c r="E35" s="5">
        <f t="shared" si="6"/>
        <v>28083.069648137367</v>
      </c>
      <c r="F35" s="5">
        <f t="shared" si="7"/>
        <v>9470.8722401168507</v>
      </c>
      <c r="G35" s="5">
        <f t="shared" si="8"/>
        <v>28112.197408020518</v>
      </c>
      <c r="H35" s="22">
        <f t="shared" si="9"/>
        <v>18180.156993597098</v>
      </c>
      <c r="I35" s="5">
        <f t="shared" si="10"/>
        <v>44819.761685136255</v>
      </c>
      <c r="J35" s="26">
        <f t="shared" si="0"/>
        <v>0.15477524637123433</v>
      </c>
      <c r="L35" s="22">
        <f t="shared" si="11"/>
        <v>61677.808266693624</v>
      </c>
      <c r="M35" s="5">
        <f>scrimecost*Meta!O32</f>
        <v>5778.2790000000005</v>
      </c>
      <c r="N35" s="5">
        <f>L35-Grade8!L35</f>
        <v>448.34332841897412</v>
      </c>
      <c r="O35" s="5">
        <f>Grade8!M35-M35</f>
        <v>119.88599999999951</v>
      </c>
      <c r="P35" s="22">
        <f t="shared" si="12"/>
        <v>80.500989850576374</v>
      </c>
      <c r="S35" s="22">
        <f t="shared" si="1"/>
        <v>490.65000178180679</v>
      </c>
      <c r="T35" s="22">
        <f t="shared" si="2"/>
        <v>731.31716364959527</v>
      </c>
    </row>
    <row r="36" spans="1:20" x14ac:dyDescent="0.2">
      <c r="A36" s="5">
        <v>45</v>
      </c>
      <c r="B36" s="1">
        <f t="shared" si="3"/>
        <v>2.097567579081788</v>
      </c>
      <c r="C36" s="5">
        <f t="shared" si="4"/>
        <v>40508.657659783232</v>
      </c>
      <c r="D36" s="5">
        <f t="shared" si="5"/>
        <v>38491.056389340789</v>
      </c>
      <c r="E36" s="5">
        <f t="shared" si="6"/>
        <v>28991.056389340789</v>
      </c>
      <c r="F36" s="5">
        <f t="shared" si="7"/>
        <v>9767.3299111197666</v>
      </c>
      <c r="G36" s="5">
        <f t="shared" si="8"/>
        <v>28723.726478221022</v>
      </c>
      <c r="H36" s="22">
        <f t="shared" si="9"/>
        <v>18634.660918437021</v>
      </c>
      <c r="I36" s="5">
        <f t="shared" si="10"/>
        <v>45848.979862264649</v>
      </c>
      <c r="J36" s="26">
        <f t="shared" si="0"/>
        <v>0.15645457138337374</v>
      </c>
      <c r="L36" s="22">
        <f t="shared" si="11"/>
        <v>63219.75347336095</v>
      </c>
      <c r="M36" s="5">
        <f>scrimecost*Meta!O33</f>
        <v>4899.5309999999999</v>
      </c>
      <c r="N36" s="5">
        <f>L36-Grade8!L36</f>
        <v>459.55191162940901</v>
      </c>
      <c r="O36" s="5">
        <f>Grade8!M36-M36</f>
        <v>101.65399999999954</v>
      </c>
      <c r="P36" s="22">
        <f t="shared" si="12"/>
        <v>82.225097163186277</v>
      </c>
      <c r="S36" s="22">
        <f t="shared" si="1"/>
        <v>482.84036141072568</v>
      </c>
      <c r="T36" s="22">
        <f t="shared" si="2"/>
        <v>729.31530329245163</v>
      </c>
    </row>
    <row r="37" spans="1:20" x14ac:dyDescent="0.2">
      <c r="A37" s="5">
        <v>46</v>
      </c>
      <c r="B37" s="1">
        <f t="shared" ref="B37:B56" si="13">(1+experiencepremium)^(A37-startage)</f>
        <v>2.1500067685588333</v>
      </c>
      <c r="C37" s="5">
        <f t="shared" ref="C37:C56" si="14">pretaxincome*B37/expnorm</f>
        <v>41521.374101277826</v>
      </c>
      <c r="D37" s="5">
        <f t="shared" ref="D37:D56" si="15">IF(A37&lt;startage,1,0)*(C37*(1-initialunempprob))+IF(A37=startage,1,0)*(C37*(1-unempprob))+IF(A37&gt;startage,1,0)*(C37*(1-unempprob)+unempprob*300*52)</f>
        <v>39421.742799074324</v>
      </c>
      <c r="E37" s="5">
        <f t="shared" si="6"/>
        <v>29921.742799074324</v>
      </c>
      <c r="F37" s="5">
        <f t="shared" si="7"/>
        <v>10071.199023897767</v>
      </c>
      <c r="G37" s="5">
        <f t="shared" si="8"/>
        <v>29350.543775176557</v>
      </c>
      <c r="H37" s="22">
        <f t="shared" ref="H37:H56" si="16">benefits*B37/expnorm</f>
        <v>19100.52744139795</v>
      </c>
      <c r="I37" s="5">
        <f t="shared" ref="I37:I56" si="17">G37+IF(A37&lt;startage,1,0)*(H37*(1-initialunempprob))+IF(A37&gt;=startage,1,0)*(H37*(1-unempprob))</f>
        <v>46903.928493821273</v>
      </c>
      <c r="J37" s="26">
        <f t="shared" ref="J37:J56" si="18">(F37-(IF(A37&gt;startage,1,0)*(unempprob*300*52)))/(IF(A37&lt;startage,1,0)*((C37+H37)*(1-initialunempprob))+IF(A37&gt;=startage,1,0)*((C37+H37)*(1-unempprob)))</f>
        <v>0.15809293724887566</v>
      </c>
      <c r="L37" s="22">
        <f t="shared" ref="L37:L56" si="19">(sincome+sbenefits)*(1-sunemp)*B37/expnorm</f>
        <v>64800.247310194994</v>
      </c>
      <c r="M37" s="5">
        <f>scrimecost*Meta!O34</f>
        <v>4899.5309999999999</v>
      </c>
      <c r="N37" s="5">
        <f>L37-Grade8!L37</f>
        <v>471.04070942018734</v>
      </c>
      <c r="O37" s="5">
        <f>Grade8!M37-M37</f>
        <v>101.65399999999954</v>
      </c>
      <c r="P37" s="22">
        <f t="shared" si="12"/>
        <v>83.992307158611482</v>
      </c>
      <c r="S37" s="22">
        <f t="shared" ref="S37:S68" si="20">IF(A37&lt;startage,1,0)*(N37-Q37-R37)+IF(A37&gt;=startage,1,0)*completionprob*(N37*spart+O37+P37)</f>
        <v>492.2711974304234</v>
      </c>
      <c r="T37" s="22">
        <f t="shared" ref="T37:T68" si="21">S37/sreturn^(A37-startage+1)</f>
        <v>753.51861394595846</v>
      </c>
    </row>
    <row r="38" spans="1:20" x14ac:dyDescent="0.2">
      <c r="A38" s="5">
        <v>47</v>
      </c>
      <c r="B38" s="1">
        <f t="shared" si="13"/>
        <v>2.2037569377728037</v>
      </c>
      <c r="C38" s="5">
        <f t="shared" si="14"/>
        <v>42559.40845380976</v>
      </c>
      <c r="D38" s="5">
        <f t="shared" si="15"/>
        <v>40375.696369051169</v>
      </c>
      <c r="E38" s="5">
        <f t="shared" si="6"/>
        <v>30875.696369051169</v>
      </c>
      <c r="F38" s="5">
        <f t="shared" si="7"/>
        <v>10382.664864495207</v>
      </c>
      <c r="G38" s="5">
        <f t="shared" si="8"/>
        <v>29993.031504555962</v>
      </c>
      <c r="H38" s="22">
        <f t="shared" si="16"/>
        <v>19578.040627432896</v>
      </c>
      <c r="I38" s="5">
        <f t="shared" si="17"/>
        <v>47985.250841166795</v>
      </c>
      <c r="J38" s="26">
        <f t="shared" si="18"/>
        <v>0.15969134297131654</v>
      </c>
      <c r="L38" s="22">
        <f t="shared" si="19"/>
        <v>66420.253492949851</v>
      </c>
      <c r="M38" s="5">
        <f>scrimecost*Meta!O35</f>
        <v>4899.5309999999999</v>
      </c>
      <c r="N38" s="5">
        <f>L38-Grade8!L38</f>
        <v>482.81672715567402</v>
      </c>
      <c r="O38" s="5">
        <f>Grade8!M38-M38</f>
        <v>101.65399999999954</v>
      </c>
      <c r="P38" s="22">
        <f t="shared" ref="P38:P56" si="22">(spart-initialspart)*(L38*J38+nptrans)</f>
        <v>85.803697403922271</v>
      </c>
      <c r="S38" s="22">
        <f t="shared" si="20"/>
        <v>501.93780435057209</v>
      </c>
      <c r="T38" s="22">
        <f t="shared" si="21"/>
        <v>778.60513602921083</v>
      </c>
    </row>
    <row r="39" spans="1:20" x14ac:dyDescent="0.2">
      <c r="A39" s="5">
        <v>48</v>
      </c>
      <c r="B39" s="1">
        <f t="shared" si="13"/>
        <v>2.2588508612171236</v>
      </c>
      <c r="C39" s="5">
        <f t="shared" si="14"/>
        <v>43623.393665155003</v>
      </c>
      <c r="D39" s="5">
        <f t="shared" si="15"/>
        <v>41353.498778277448</v>
      </c>
      <c r="E39" s="5">
        <f t="shared" si="6"/>
        <v>31853.498778277448</v>
      </c>
      <c r="F39" s="5">
        <f t="shared" si="7"/>
        <v>10701.917351107586</v>
      </c>
      <c r="G39" s="5">
        <f t="shared" si="8"/>
        <v>30651.581427169862</v>
      </c>
      <c r="H39" s="22">
        <f t="shared" si="16"/>
        <v>20067.491643118719</v>
      </c>
      <c r="I39" s="5">
        <f t="shared" si="17"/>
        <v>49093.606247195967</v>
      </c>
      <c r="J39" s="26">
        <f t="shared" si="18"/>
        <v>0.16125076318833198</v>
      </c>
      <c r="L39" s="22">
        <f t="shared" si="19"/>
        <v>68080.759830273601</v>
      </c>
      <c r="M39" s="5">
        <f>scrimecost*Meta!O36</f>
        <v>4899.5309999999999</v>
      </c>
      <c r="N39" s="5">
        <f>L39-Grade8!L39</f>
        <v>494.88714533457824</v>
      </c>
      <c r="O39" s="5">
        <f>Grade8!M39-M39</f>
        <v>101.65399999999954</v>
      </c>
      <c r="P39" s="22">
        <f t="shared" si="22"/>
        <v>87.660372405365834</v>
      </c>
      <c r="S39" s="22">
        <f t="shared" si="20"/>
        <v>511.84607644374518</v>
      </c>
      <c r="T39" s="22">
        <f t="shared" si="21"/>
        <v>804.60834931216323</v>
      </c>
    </row>
    <row r="40" spans="1:20" x14ac:dyDescent="0.2">
      <c r="A40" s="5">
        <v>49</v>
      </c>
      <c r="B40" s="1">
        <f t="shared" si="13"/>
        <v>2.3153221327475517</v>
      </c>
      <c r="C40" s="5">
        <f t="shared" si="14"/>
        <v>44713.978506783875</v>
      </c>
      <c r="D40" s="5">
        <f t="shared" si="15"/>
        <v>42355.74624773438</v>
      </c>
      <c r="E40" s="5">
        <f t="shared" si="6"/>
        <v>32855.74624773438</v>
      </c>
      <c r="F40" s="5">
        <f t="shared" si="7"/>
        <v>11029.151149885274</v>
      </c>
      <c r="G40" s="5">
        <f t="shared" si="8"/>
        <v>31326.595097849106</v>
      </c>
      <c r="H40" s="22">
        <f t="shared" si="16"/>
        <v>20569.178934196687</v>
      </c>
      <c r="I40" s="5">
        <f t="shared" si="17"/>
        <v>50229.67053837586</v>
      </c>
      <c r="J40" s="26">
        <f t="shared" si="18"/>
        <v>0.16277214876590804</v>
      </c>
      <c r="L40" s="22">
        <f t="shared" si="19"/>
        <v>69782.778826030437</v>
      </c>
      <c r="M40" s="5">
        <f>scrimecost*Meta!O37</f>
        <v>4899.5309999999999</v>
      </c>
      <c r="N40" s="5">
        <f>L40-Grade8!L40</f>
        <v>507.25932396794087</v>
      </c>
      <c r="O40" s="5">
        <f>Grade8!M40-M40</f>
        <v>101.65399999999954</v>
      </c>
      <c r="P40" s="22">
        <f t="shared" si="22"/>
        <v>89.563464281845484</v>
      </c>
      <c r="S40" s="22">
        <f t="shared" si="20"/>
        <v>522.00205533923793</v>
      </c>
      <c r="T40" s="22">
        <f t="shared" si="21"/>
        <v>831.5630204471197</v>
      </c>
    </row>
    <row r="41" spans="1:20" x14ac:dyDescent="0.2">
      <c r="A41" s="5">
        <v>50</v>
      </c>
      <c r="B41" s="1">
        <f t="shared" si="13"/>
        <v>2.3732051860662402</v>
      </c>
      <c r="C41" s="5">
        <f t="shared" si="14"/>
        <v>45831.827969453472</v>
      </c>
      <c r="D41" s="5">
        <f t="shared" si="15"/>
        <v>43383.049903927742</v>
      </c>
      <c r="E41" s="5">
        <f t="shared" si="6"/>
        <v>33883.049903927742</v>
      </c>
      <c r="F41" s="5">
        <f t="shared" si="7"/>
        <v>11364.565793632408</v>
      </c>
      <c r="G41" s="5">
        <f t="shared" si="8"/>
        <v>32018.484110295336</v>
      </c>
      <c r="H41" s="22">
        <f t="shared" si="16"/>
        <v>21083.4084075516</v>
      </c>
      <c r="I41" s="5">
        <f t="shared" si="17"/>
        <v>51394.136436835259</v>
      </c>
      <c r="J41" s="26">
        <f t="shared" si="18"/>
        <v>0.16425642737817742</v>
      </c>
      <c r="L41" s="22">
        <f t="shared" si="19"/>
        <v>71527.348296681186</v>
      </c>
      <c r="M41" s="5">
        <f>scrimecost*Meta!O38</f>
        <v>3545.6459999999997</v>
      </c>
      <c r="N41" s="5">
        <f>L41-Grade8!L41</f>
        <v>519.94080706711975</v>
      </c>
      <c r="O41" s="5">
        <f>Grade8!M41-M41</f>
        <v>73.563999999999851</v>
      </c>
      <c r="P41" s="22">
        <f t="shared" si="22"/>
        <v>91.514133455237157</v>
      </c>
      <c r="S41" s="22">
        <f t="shared" si="20"/>
        <v>506.2039637071062</v>
      </c>
      <c r="T41" s="22">
        <f t="shared" si="21"/>
        <v>817.19611861930582</v>
      </c>
    </row>
    <row r="42" spans="1:20" x14ac:dyDescent="0.2">
      <c r="A42" s="5">
        <v>51</v>
      </c>
      <c r="B42" s="1">
        <f t="shared" si="13"/>
        <v>2.4325353157178964</v>
      </c>
      <c r="C42" s="5">
        <f t="shared" si="14"/>
        <v>46977.623668689812</v>
      </c>
      <c r="D42" s="5">
        <f t="shared" si="15"/>
        <v>44436.036151525936</v>
      </c>
      <c r="E42" s="5">
        <f t="shared" si="6"/>
        <v>34936.036151525936</v>
      </c>
      <c r="F42" s="5">
        <f t="shared" si="7"/>
        <v>11751.969418625811</v>
      </c>
      <c r="G42" s="5">
        <f t="shared" si="8"/>
        <v>32684.066732900123</v>
      </c>
      <c r="H42" s="22">
        <f t="shared" si="16"/>
        <v>21610.493617740394</v>
      </c>
      <c r="I42" s="5">
        <f t="shared" si="17"/>
        <v>52544.110367603542</v>
      </c>
      <c r="J42" s="26">
        <f t="shared" si="18"/>
        <v>0.16639626830796514</v>
      </c>
      <c r="L42" s="22">
        <f t="shared" si="19"/>
        <v>73315.532004098219</v>
      </c>
      <c r="M42" s="5">
        <f>scrimecost*Meta!O39</f>
        <v>3545.6459999999997</v>
      </c>
      <c r="N42" s="5">
        <f>L42-Grade8!L42</f>
        <v>532.93932724381739</v>
      </c>
      <c r="O42" s="5">
        <f>Grade8!M42-M42</f>
        <v>73.563999999999851</v>
      </c>
      <c r="P42" s="22">
        <f t="shared" si="22"/>
        <v>93.767154672475741</v>
      </c>
      <c r="S42" s="22">
        <f t="shared" si="20"/>
        <v>517.11068413263752</v>
      </c>
      <c r="T42" s="22">
        <f t="shared" si="21"/>
        <v>845.98383253309021</v>
      </c>
    </row>
    <row r="43" spans="1:20" x14ac:dyDescent="0.2">
      <c r="A43" s="5">
        <v>52</v>
      </c>
      <c r="B43" s="1">
        <f t="shared" si="13"/>
        <v>2.4933486986108435</v>
      </c>
      <c r="C43" s="5">
        <f t="shared" si="14"/>
        <v>48152.064260407053</v>
      </c>
      <c r="D43" s="5">
        <f t="shared" si="15"/>
        <v>45515.34705531408</v>
      </c>
      <c r="E43" s="5">
        <f t="shared" si="6"/>
        <v>36015.34705531408</v>
      </c>
      <c r="F43" s="5">
        <f t="shared" si="7"/>
        <v>12212.295519091456</v>
      </c>
      <c r="G43" s="5">
        <f t="shared" si="8"/>
        <v>33303.051536222622</v>
      </c>
      <c r="H43" s="22">
        <f t="shared" si="16"/>
        <v>22150.755958183901</v>
      </c>
      <c r="I43" s="5">
        <f t="shared" si="17"/>
        <v>53659.596261793631</v>
      </c>
      <c r="J43" s="26">
        <f t="shared" si="18"/>
        <v>0.16946269924955235</v>
      </c>
      <c r="L43" s="22">
        <f t="shared" si="19"/>
        <v>75148.42030420067</v>
      </c>
      <c r="M43" s="5">
        <f>scrimecost*Meta!O40</f>
        <v>3545.6459999999997</v>
      </c>
      <c r="N43" s="5">
        <f>L43-Grade8!L43</f>
        <v>546.2628104249161</v>
      </c>
      <c r="O43" s="5">
        <f>Grade8!M43-M43</f>
        <v>73.563999999999851</v>
      </c>
      <c r="P43" s="22">
        <f t="shared" si="22"/>
        <v>96.444270745448648</v>
      </c>
      <c r="S43" s="22">
        <f t="shared" si="20"/>
        <v>528.63320134930382</v>
      </c>
      <c r="T43" s="22">
        <f t="shared" si="21"/>
        <v>876.41698808647379</v>
      </c>
    </row>
    <row r="44" spans="1:20" x14ac:dyDescent="0.2">
      <c r="A44" s="5">
        <v>53</v>
      </c>
      <c r="B44" s="1">
        <f t="shared" si="13"/>
        <v>2.555682416076114</v>
      </c>
      <c r="C44" s="5">
        <f t="shared" si="14"/>
        <v>49355.865866917215</v>
      </c>
      <c r="D44" s="5">
        <f t="shared" si="15"/>
        <v>46621.64073169692</v>
      </c>
      <c r="E44" s="5">
        <f t="shared" si="6"/>
        <v>37121.64073169692</v>
      </c>
      <c r="F44" s="5">
        <f t="shared" si="7"/>
        <v>12684.129772068736</v>
      </c>
      <c r="G44" s="5">
        <f t="shared" si="8"/>
        <v>33937.510959628184</v>
      </c>
      <c r="H44" s="22">
        <f t="shared" si="16"/>
        <v>22704.524857138491</v>
      </c>
      <c r="I44" s="5">
        <f t="shared" si="17"/>
        <v>54802.969303338454</v>
      </c>
      <c r="J44" s="26">
        <f t="shared" si="18"/>
        <v>0.17245433919256423</v>
      </c>
      <c r="L44" s="22">
        <f t="shared" si="19"/>
        <v>77027.130811805677</v>
      </c>
      <c r="M44" s="5">
        <f>scrimecost*Meta!O41</f>
        <v>3545.6459999999997</v>
      </c>
      <c r="N44" s="5">
        <f>L44-Grade8!L44</f>
        <v>559.91938068551826</v>
      </c>
      <c r="O44" s="5">
        <f>Grade8!M44-M44</f>
        <v>73.563999999999851</v>
      </c>
      <c r="P44" s="22">
        <f t="shared" si="22"/>
        <v>99.188314720245856</v>
      </c>
      <c r="S44" s="22">
        <f t="shared" si="20"/>
        <v>540.44378149637055</v>
      </c>
      <c r="T44" s="22">
        <f t="shared" si="21"/>
        <v>907.99754435094974</v>
      </c>
    </row>
    <row r="45" spans="1:20" x14ac:dyDescent="0.2">
      <c r="A45" s="5">
        <v>54</v>
      </c>
      <c r="B45" s="1">
        <f t="shared" si="13"/>
        <v>2.6195744764780171</v>
      </c>
      <c r="C45" s="5">
        <f t="shared" si="14"/>
        <v>50589.762513590147</v>
      </c>
      <c r="D45" s="5">
        <f t="shared" si="15"/>
        <v>47755.591749989348</v>
      </c>
      <c r="E45" s="5">
        <f t="shared" si="6"/>
        <v>38255.591749989348</v>
      </c>
      <c r="F45" s="5">
        <f t="shared" si="7"/>
        <v>13167.759881370457</v>
      </c>
      <c r="G45" s="5">
        <f t="shared" si="8"/>
        <v>34587.831868618887</v>
      </c>
      <c r="H45" s="22">
        <f t="shared" si="16"/>
        <v>23272.137978566956</v>
      </c>
      <c r="I45" s="5">
        <f t="shared" si="17"/>
        <v>55974.926670921923</v>
      </c>
      <c r="J45" s="26">
        <f t="shared" si="18"/>
        <v>0.17537301230769781</v>
      </c>
      <c r="L45" s="22">
        <f t="shared" si="19"/>
        <v>78952.809082100823</v>
      </c>
      <c r="M45" s="5">
        <f>scrimecost*Meta!O42</f>
        <v>3545.6459999999997</v>
      </c>
      <c r="N45" s="5">
        <f>L45-Grade8!L45</f>
        <v>573.91736520268023</v>
      </c>
      <c r="O45" s="5">
        <f>Grade8!M45-M45</f>
        <v>73.563999999999851</v>
      </c>
      <c r="P45" s="22">
        <f t="shared" si="22"/>
        <v>102.00095979441301</v>
      </c>
      <c r="S45" s="22">
        <f t="shared" si="20"/>
        <v>552.54962614714429</v>
      </c>
      <c r="T45" s="22">
        <f t="shared" si="21"/>
        <v>940.76951950359182</v>
      </c>
    </row>
    <row r="46" spans="1:20" x14ac:dyDescent="0.2">
      <c r="A46" s="5">
        <v>55</v>
      </c>
      <c r="B46" s="1">
        <f t="shared" si="13"/>
        <v>2.6850638383899672</v>
      </c>
      <c r="C46" s="5">
        <f t="shared" si="14"/>
        <v>51854.5065764299</v>
      </c>
      <c r="D46" s="5">
        <f t="shared" si="15"/>
        <v>48917.891543739075</v>
      </c>
      <c r="E46" s="5">
        <f t="shared" si="6"/>
        <v>39417.891543739075</v>
      </c>
      <c r="F46" s="5">
        <f t="shared" si="7"/>
        <v>13663.480743404716</v>
      </c>
      <c r="G46" s="5">
        <f t="shared" si="8"/>
        <v>35254.410800334357</v>
      </c>
      <c r="H46" s="22">
        <f t="shared" si="16"/>
        <v>23853.941428031128</v>
      </c>
      <c r="I46" s="5">
        <f t="shared" si="17"/>
        <v>57176.182972694965</v>
      </c>
      <c r="J46" s="26">
        <f t="shared" si="18"/>
        <v>0.17822049827368175</v>
      </c>
      <c r="L46" s="22">
        <f t="shared" si="19"/>
        <v>80926.62930915333</v>
      </c>
      <c r="M46" s="5">
        <f>scrimecost*Meta!O43</f>
        <v>2120.2349999999997</v>
      </c>
      <c r="N46" s="5">
        <f>L46-Grade8!L46</f>
        <v>588.26529933273559</v>
      </c>
      <c r="O46" s="5">
        <f>Grade8!M46-M46</f>
        <v>43.990000000000236</v>
      </c>
      <c r="P46" s="22">
        <f t="shared" si="22"/>
        <v>104.88392099543431</v>
      </c>
      <c r="S46" s="22">
        <f t="shared" si="20"/>
        <v>537.36557491416352</v>
      </c>
      <c r="T46" s="22">
        <f t="shared" si="21"/>
        <v>927.17046395887019</v>
      </c>
    </row>
    <row r="47" spans="1:20" x14ac:dyDescent="0.2">
      <c r="A47" s="5">
        <v>56</v>
      </c>
      <c r="B47" s="1">
        <f t="shared" si="13"/>
        <v>2.7521904343497163</v>
      </c>
      <c r="C47" s="5">
        <f t="shared" si="14"/>
        <v>53150.869240840635</v>
      </c>
      <c r="D47" s="5">
        <f t="shared" si="15"/>
        <v>50109.248832332545</v>
      </c>
      <c r="E47" s="5">
        <f t="shared" si="6"/>
        <v>40609.248832332545</v>
      </c>
      <c r="F47" s="5">
        <f t="shared" si="7"/>
        <v>14171.59462698983</v>
      </c>
      <c r="G47" s="5">
        <f t="shared" si="8"/>
        <v>35937.654205342711</v>
      </c>
      <c r="H47" s="22">
        <f t="shared" si="16"/>
        <v>24450.289963731902</v>
      </c>
      <c r="I47" s="5">
        <f t="shared" si="17"/>
        <v>58407.470682012332</v>
      </c>
      <c r="J47" s="26">
        <f t="shared" si="18"/>
        <v>0.18099853336244656</v>
      </c>
      <c r="L47" s="22">
        <f t="shared" si="19"/>
        <v>82949.795041882171</v>
      </c>
      <c r="M47" s="5">
        <f>scrimecost*Meta!O44</f>
        <v>2120.2349999999997</v>
      </c>
      <c r="N47" s="5">
        <f>L47-Grade8!L47</f>
        <v>602.97193181606417</v>
      </c>
      <c r="O47" s="5">
        <f>Grade8!M47-M47</f>
        <v>43.990000000000236</v>
      </c>
      <c r="P47" s="22">
        <f t="shared" si="22"/>
        <v>107.83895622648116</v>
      </c>
      <c r="S47" s="22">
        <f t="shared" si="20"/>
        <v>550.08427795037267</v>
      </c>
      <c r="T47" s="22">
        <f t="shared" si="21"/>
        <v>961.82658871239119</v>
      </c>
    </row>
    <row r="48" spans="1:20" x14ac:dyDescent="0.2">
      <c r="A48" s="5">
        <v>57</v>
      </c>
      <c r="B48" s="1">
        <f t="shared" si="13"/>
        <v>2.8209951952084591</v>
      </c>
      <c r="C48" s="5">
        <f t="shared" si="14"/>
        <v>54479.640971861649</v>
      </c>
      <c r="D48" s="5">
        <f t="shared" si="15"/>
        <v>51330.390053140858</v>
      </c>
      <c r="E48" s="5">
        <f t="shared" si="6"/>
        <v>41830.390053140858</v>
      </c>
      <c r="F48" s="5">
        <f t="shared" si="7"/>
        <v>14692.411357664578</v>
      </c>
      <c r="G48" s="5">
        <f t="shared" si="8"/>
        <v>36637.978695476282</v>
      </c>
      <c r="H48" s="22">
        <f t="shared" si="16"/>
        <v>25061.5472128252</v>
      </c>
      <c r="I48" s="5">
        <f t="shared" si="17"/>
        <v>59669.540584062641</v>
      </c>
      <c r="J48" s="26">
        <f t="shared" si="18"/>
        <v>0.18370881149782695</v>
      </c>
      <c r="L48" s="22">
        <f t="shared" si="19"/>
        <v>85023.5399179292</v>
      </c>
      <c r="M48" s="5">
        <f>scrimecost*Meta!O45</f>
        <v>2120.2349999999997</v>
      </c>
      <c r="N48" s="5">
        <f>L48-Grade8!L48</f>
        <v>618.04623011143121</v>
      </c>
      <c r="O48" s="5">
        <f>Grade8!M48-M48</f>
        <v>43.990000000000236</v>
      </c>
      <c r="P48" s="22">
        <f t="shared" si="22"/>
        <v>110.86786733830419</v>
      </c>
      <c r="S48" s="22">
        <f t="shared" si="20"/>
        <v>563.12094856245687</v>
      </c>
      <c r="T48" s="22">
        <f t="shared" si="21"/>
        <v>997.80810777536396</v>
      </c>
    </row>
    <row r="49" spans="1:20" x14ac:dyDescent="0.2">
      <c r="A49" s="5">
        <v>58</v>
      </c>
      <c r="B49" s="1">
        <f t="shared" si="13"/>
        <v>2.8915200750886707</v>
      </c>
      <c r="C49" s="5">
        <f t="shared" si="14"/>
        <v>55841.631996158198</v>
      </c>
      <c r="D49" s="5">
        <f t="shared" si="15"/>
        <v>52582.059804469383</v>
      </c>
      <c r="E49" s="5">
        <f t="shared" si="6"/>
        <v>43082.059804469383</v>
      </c>
      <c r="F49" s="5">
        <f t="shared" si="7"/>
        <v>15226.248506606191</v>
      </c>
      <c r="G49" s="5">
        <f t="shared" si="8"/>
        <v>37355.811297863191</v>
      </c>
      <c r="H49" s="22">
        <f t="shared" si="16"/>
        <v>25688.085893145832</v>
      </c>
      <c r="I49" s="5">
        <f t="shared" si="17"/>
        <v>60963.16223366421</v>
      </c>
      <c r="J49" s="26">
        <f t="shared" si="18"/>
        <v>0.18635298528844188</v>
      </c>
      <c r="L49" s="22">
        <f t="shared" si="19"/>
        <v>87149.128415877436</v>
      </c>
      <c r="M49" s="5">
        <f>scrimecost*Meta!O46</f>
        <v>2120.2349999999997</v>
      </c>
      <c r="N49" s="5">
        <f>L49-Grade8!L49</f>
        <v>633.49738586424792</v>
      </c>
      <c r="O49" s="5">
        <f>Grade8!M49-M49</f>
        <v>43.990000000000236</v>
      </c>
      <c r="P49" s="22">
        <f t="shared" si="22"/>
        <v>113.97250122792279</v>
      </c>
      <c r="S49" s="22">
        <f t="shared" si="20"/>
        <v>576.48353593988747</v>
      </c>
      <c r="T49" s="22">
        <f t="shared" si="21"/>
        <v>1035.1661260881513</v>
      </c>
    </row>
    <row r="50" spans="1:20" x14ac:dyDescent="0.2">
      <c r="A50" s="5">
        <v>59</v>
      </c>
      <c r="B50" s="1">
        <f t="shared" si="13"/>
        <v>2.9638080769658868</v>
      </c>
      <c r="C50" s="5">
        <f t="shared" si="14"/>
        <v>57237.672796062136</v>
      </c>
      <c r="D50" s="5">
        <f t="shared" si="15"/>
        <v>53865.021299581102</v>
      </c>
      <c r="E50" s="5">
        <f t="shared" si="6"/>
        <v>44365.021299581102</v>
      </c>
      <c r="F50" s="5">
        <f t="shared" si="7"/>
        <v>15773.43158427134</v>
      </c>
      <c r="G50" s="5">
        <f t="shared" si="8"/>
        <v>38091.589715309761</v>
      </c>
      <c r="H50" s="22">
        <f t="shared" si="16"/>
        <v>26330.288040474472</v>
      </c>
      <c r="I50" s="5">
        <f t="shared" si="17"/>
        <v>62289.124424505804</v>
      </c>
      <c r="J50" s="26">
        <f t="shared" si="18"/>
        <v>0.18893266703538328</v>
      </c>
      <c r="L50" s="22">
        <f t="shared" si="19"/>
        <v>89327.856626274355</v>
      </c>
      <c r="M50" s="5">
        <f>scrimecost*Meta!O47</f>
        <v>2120.2349999999997</v>
      </c>
      <c r="N50" s="5">
        <f>L50-Grade8!L50</f>
        <v>649.33482051081955</v>
      </c>
      <c r="O50" s="5">
        <f>Grade8!M50-M50</f>
        <v>43.990000000000236</v>
      </c>
      <c r="P50" s="22">
        <f t="shared" si="22"/>
        <v>117.15475096478184</v>
      </c>
      <c r="S50" s="22">
        <f t="shared" si="20"/>
        <v>590.18018800170944</v>
      </c>
      <c r="T50" s="22">
        <f t="shared" si="21"/>
        <v>1073.9537247565888</v>
      </c>
    </row>
    <row r="51" spans="1:20" x14ac:dyDescent="0.2">
      <c r="A51" s="5">
        <v>60</v>
      </c>
      <c r="B51" s="1">
        <f t="shared" si="13"/>
        <v>3.0379032788900342</v>
      </c>
      <c r="C51" s="5">
        <f t="shared" si="14"/>
        <v>58668.614615963699</v>
      </c>
      <c r="D51" s="5">
        <f t="shared" si="15"/>
        <v>55180.056832070637</v>
      </c>
      <c r="E51" s="5">
        <f t="shared" si="6"/>
        <v>45680.056832070637</v>
      </c>
      <c r="F51" s="5">
        <f t="shared" si="7"/>
        <v>16334.294238878127</v>
      </c>
      <c r="G51" s="5">
        <f t="shared" si="8"/>
        <v>38845.762593192514</v>
      </c>
      <c r="H51" s="22">
        <f t="shared" si="16"/>
        <v>26988.545241486336</v>
      </c>
      <c r="I51" s="5">
        <f t="shared" si="17"/>
        <v>63648.235670118462</v>
      </c>
      <c r="J51" s="26">
        <f t="shared" si="18"/>
        <v>0.19144942971532611</v>
      </c>
      <c r="L51" s="22">
        <f t="shared" si="19"/>
        <v>91561.053041931227</v>
      </c>
      <c r="M51" s="5">
        <f>scrimecost*Meta!O48</f>
        <v>1164.8520000000001</v>
      </c>
      <c r="N51" s="5">
        <f>L51-Grade8!L51</f>
        <v>665.56819102364534</v>
      </c>
      <c r="O51" s="5">
        <f>Grade8!M51-M51</f>
        <v>24.167999999999893</v>
      </c>
      <c r="P51" s="22">
        <f t="shared" si="22"/>
        <v>120.4165569450624</v>
      </c>
      <c r="S51" s="22">
        <f t="shared" si="20"/>
        <v>585.72533036513755</v>
      </c>
      <c r="T51" s="22">
        <f t="shared" si="21"/>
        <v>1080.1218383344506</v>
      </c>
    </row>
    <row r="52" spans="1:20" x14ac:dyDescent="0.2">
      <c r="A52" s="5">
        <v>61</v>
      </c>
      <c r="B52" s="1">
        <f t="shared" si="13"/>
        <v>3.1138508608622844</v>
      </c>
      <c r="C52" s="5">
        <f t="shared" si="14"/>
        <v>60135.329981362782</v>
      </c>
      <c r="D52" s="5">
        <f t="shared" si="15"/>
        <v>56527.968252872401</v>
      </c>
      <c r="E52" s="5">
        <f t="shared" si="6"/>
        <v>47027.968252872401</v>
      </c>
      <c r="F52" s="5">
        <f t="shared" si="7"/>
        <v>16909.178459850078</v>
      </c>
      <c r="G52" s="5">
        <f t="shared" si="8"/>
        <v>39618.789793022326</v>
      </c>
      <c r="H52" s="22">
        <f t="shared" si="16"/>
        <v>27663.258872523485</v>
      </c>
      <c r="I52" s="5">
        <f t="shared" si="17"/>
        <v>65041.324696871408</v>
      </c>
      <c r="J52" s="26">
        <f t="shared" si="18"/>
        <v>0.19390480793966064</v>
      </c>
      <c r="L52" s="22">
        <f t="shared" si="19"/>
        <v>93850.079367979488</v>
      </c>
      <c r="M52" s="5">
        <f>scrimecost*Meta!O49</f>
        <v>1164.8520000000001</v>
      </c>
      <c r="N52" s="5">
        <f>L52-Grade8!L52</f>
        <v>682.20739579918154</v>
      </c>
      <c r="O52" s="5">
        <f>Grade8!M52-M52</f>
        <v>24.167999999999893</v>
      </c>
      <c r="P52" s="22">
        <f t="shared" si="22"/>
        <v>123.75990807484996</v>
      </c>
      <c r="S52" s="22">
        <f t="shared" si="20"/>
        <v>600.11537543757697</v>
      </c>
      <c r="T52" s="22">
        <f t="shared" si="21"/>
        <v>1121.4793816431431</v>
      </c>
    </row>
    <row r="53" spans="1:20" x14ac:dyDescent="0.2">
      <c r="A53" s="5">
        <v>62</v>
      </c>
      <c r="B53" s="1">
        <f t="shared" si="13"/>
        <v>3.1916971323838421</v>
      </c>
      <c r="C53" s="5">
        <f t="shared" si="14"/>
        <v>61638.713230896865</v>
      </c>
      <c r="D53" s="5">
        <f t="shared" si="15"/>
        <v>57909.577459194217</v>
      </c>
      <c r="E53" s="5">
        <f t="shared" si="6"/>
        <v>48409.577459194217</v>
      </c>
      <c r="F53" s="5">
        <f t="shared" si="7"/>
        <v>17498.434786346334</v>
      </c>
      <c r="G53" s="5">
        <f t="shared" si="8"/>
        <v>40411.142672847884</v>
      </c>
      <c r="H53" s="22">
        <f t="shared" si="16"/>
        <v>28354.840344336582</v>
      </c>
      <c r="I53" s="5">
        <f t="shared" si="17"/>
        <v>66469.240949293206</v>
      </c>
      <c r="J53" s="26">
        <f t="shared" si="18"/>
        <v>0.1963002988902309</v>
      </c>
      <c r="L53" s="22">
        <f t="shared" si="19"/>
        <v>96196.331352178997</v>
      </c>
      <c r="M53" s="5">
        <f>scrimecost*Meta!O50</f>
        <v>1164.8520000000001</v>
      </c>
      <c r="N53" s="5">
        <f>L53-Grade8!L53</f>
        <v>699.26258069419418</v>
      </c>
      <c r="O53" s="5">
        <f>Grade8!M53-M53</f>
        <v>24.167999999999893</v>
      </c>
      <c r="P53" s="22">
        <f t="shared" si="22"/>
        <v>127.18684298288225</v>
      </c>
      <c r="S53" s="22">
        <f t="shared" si="20"/>
        <v>614.865171636887</v>
      </c>
      <c r="T53" s="22">
        <f t="shared" si="21"/>
        <v>1164.4322683250446</v>
      </c>
    </row>
    <row r="54" spans="1:20" x14ac:dyDescent="0.2">
      <c r="A54" s="5">
        <v>63</v>
      </c>
      <c r="B54" s="1">
        <f t="shared" si="13"/>
        <v>3.2714895606934378</v>
      </c>
      <c r="C54" s="5">
        <f t="shared" si="14"/>
        <v>63179.681061669267</v>
      </c>
      <c r="D54" s="5">
        <f t="shared" si="15"/>
        <v>59325.726895674059</v>
      </c>
      <c r="E54" s="5">
        <f t="shared" si="6"/>
        <v>49825.726895674059</v>
      </c>
      <c r="F54" s="5">
        <f t="shared" si="7"/>
        <v>18102.422521004984</v>
      </c>
      <c r="G54" s="5">
        <f t="shared" si="8"/>
        <v>41223.304374669075</v>
      </c>
      <c r="H54" s="22">
        <f t="shared" si="16"/>
        <v>29063.711352944993</v>
      </c>
      <c r="I54" s="5">
        <f t="shared" si="17"/>
        <v>67932.855108025527</v>
      </c>
      <c r="J54" s="26">
        <f t="shared" si="18"/>
        <v>0.19863736323225059</v>
      </c>
      <c r="L54" s="22">
        <f t="shared" si="19"/>
        <v>98601.239635983467</v>
      </c>
      <c r="M54" s="5">
        <f>scrimecost*Meta!O51</f>
        <v>1164.8520000000001</v>
      </c>
      <c r="N54" s="5">
        <f>L54-Grade8!L54</f>
        <v>716.74414521155995</v>
      </c>
      <c r="O54" s="5">
        <f>Grade8!M54-M54</f>
        <v>24.167999999999893</v>
      </c>
      <c r="P54" s="22">
        <f t="shared" si="22"/>
        <v>130.69945126361526</v>
      </c>
      <c r="S54" s="22">
        <f t="shared" si="20"/>
        <v>629.98371274116482</v>
      </c>
      <c r="T54" s="22">
        <f t="shared" si="21"/>
        <v>1209.04219733843</v>
      </c>
    </row>
    <row r="55" spans="1:20" x14ac:dyDescent="0.2">
      <c r="A55" s="5">
        <v>64</v>
      </c>
      <c r="B55" s="1">
        <f t="shared" si="13"/>
        <v>3.3532767997107733</v>
      </c>
      <c r="C55" s="5">
        <f t="shared" si="14"/>
        <v>64759.173088210999</v>
      </c>
      <c r="D55" s="5">
        <f t="shared" si="15"/>
        <v>60777.280068065906</v>
      </c>
      <c r="E55" s="5">
        <f t="shared" si="6"/>
        <v>51277.280068065906</v>
      </c>
      <c r="F55" s="5">
        <f t="shared" si="7"/>
        <v>18721.509949030107</v>
      </c>
      <c r="G55" s="5">
        <f t="shared" si="8"/>
        <v>42055.770119035798</v>
      </c>
      <c r="H55" s="22">
        <f t="shared" si="16"/>
        <v>29790.304136768609</v>
      </c>
      <c r="I55" s="5">
        <f t="shared" si="17"/>
        <v>69433.059620726155</v>
      </c>
      <c r="J55" s="26">
        <f t="shared" si="18"/>
        <v>0.2009174260049528</v>
      </c>
      <c r="L55" s="22">
        <f t="shared" si="19"/>
        <v>101066.27062688302</v>
      </c>
      <c r="M55" s="5">
        <f>scrimecost*Meta!O52</f>
        <v>1164.8520000000001</v>
      </c>
      <c r="N55" s="5">
        <f>L55-Grade8!L55</f>
        <v>734.66274884181621</v>
      </c>
      <c r="O55" s="5">
        <f>Grade8!M55-M55</f>
        <v>24.167999999999893</v>
      </c>
      <c r="P55" s="22">
        <f t="shared" si="22"/>
        <v>134.29987475136664</v>
      </c>
      <c r="S55" s="22">
        <f t="shared" si="20"/>
        <v>645.48021737301985</v>
      </c>
      <c r="T55" s="22">
        <f t="shared" si="21"/>
        <v>1255.3732559570265</v>
      </c>
    </row>
    <row r="56" spans="1:20" x14ac:dyDescent="0.2">
      <c r="A56" s="5">
        <v>65</v>
      </c>
      <c r="B56" s="1">
        <f t="shared" si="13"/>
        <v>3.4371087197035428</v>
      </c>
      <c r="C56" s="5">
        <f t="shared" si="14"/>
        <v>66378.152415416276</v>
      </c>
      <c r="D56" s="5">
        <f t="shared" si="15"/>
        <v>62265.12206976756</v>
      </c>
      <c r="E56" s="5">
        <f t="shared" si="6"/>
        <v>52765.12206976756</v>
      </c>
      <c r="F56" s="5">
        <f t="shared" si="7"/>
        <v>19356.074562755864</v>
      </c>
      <c r="G56" s="5">
        <f t="shared" si="8"/>
        <v>42909.047507011695</v>
      </c>
      <c r="H56" s="22">
        <f t="shared" si="16"/>
        <v>30535.06174018783</v>
      </c>
      <c r="I56" s="5">
        <f t="shared" si="17"/>
        <v>70970.769246244308</v>
      </c>
      <c r="J56" s="26">
        <f t="shared" si="18"/>
        <v>0.20314187749051596</v>
      </c>
      <c r="L56" s="22">
        <f t="shared" si="19"/>
        <v>103592.92739255511</v>
      </c>
      <c r="M56" s="5">
        <f>scrimecost*Meta!O53</f>
        <v>367.84799999999996</v>
      </c>
      <c r="N56" s="5">
        <f>L56-Grade8!L56</f>
        <v>753.0293175628758</v>
      </c>
      <c r="O56" s="5">
        <f>Grade8!M56-M56</f>
        <v>7.632000000000005</v>
      </c>
      <c r="P56" s="22">
        <f t="shared" si="22"/>
        <v>137.99030882631183</v>
      </c>
      <c r="S56" s="22">
        <f t="shared" si="20"/>
        <v>645.93604662070322</v>
      </c>
      <c r="T56" s="22">
        <f t="shared" si="21"/>
        <v>1273.0845734118182</v>
      </c>
    </row>
    <row r="57" spans="1:20" x14ac:dyDescent="0.2">
      <c r="A57" s="5">
        <v>66</v>
      </c>
      <c r="C57" s="5"/>
      <c r="H57" s="21"/>
      <c r="I57" s="5"/>
      <c r="M57" s="5">
        <f>scrimecost*Meta!O54</f>
        <v>367.84799999999996</v>
      </c>
      <c r="N57" s="5">
        <f>L57-Grade8!L57</f>
        <v>0</v>
      </c>
      <c r="O57" s="5">
        <f>Grade8!M57-M57</f>
        <v>7.632000000000005</v>
      </c>
      <c r="S57" s="22">
        <f t="shared" si="20"/>
        <v>7.1206560000000048</v>
      </c>
      <c r="T57" s="22">
        <f t="shared" si="21"/>
        <v>14.222159295137143</v>
      </c>
    </row>
    <row r="58" spans="1:20" x14ac:dyDescent="0.2">
      <c r="A58" s="5">
        <v>67</v>
      </c>
      <c r="C58" s="5"/>
      <c r="H58" s="21"/>
      <c r="I58" s="5"/>
      <c r="M58" s="5">
        <f>scrimecost*Meta!O55</f>
        <v>367.84799999999996</v>
      </c>
      <c r="N58" s="5">
        <f>L58-Grade8!L58</f>
        <v>0</v>
      </c>
      <c r="O58" s="5">
        <f>Grade8!M58-M58</f>
        <v>7.632000000000005</v>
      </c>
      <c r="S58" s="22">
        <f t="shared" si="20"/>
        <v>7.1206560000000048</v>
      </c>
      <c r="T58" s="22">
        <f t="shared" si="21"/>
        <v>14.412633310622155</v>
      </c>
    </row>
    <row r="59" spans="1:20" x14ac:dyDescent="0.2">
      <c r="A59" s="5">
        <v>68</v>
      </c>
      <c r="H59" s="21"/>
      <c r="I59" s="5"/>
      <c r="M59" s="5">
        <f>scrimecost*Meta!O56</f>
        <v>367.84799999999996</v>
      </c>
      <c r="N59" s="5">
        <f>L59-Grade8!L59</f>
        <v>0</v>
      </c>
      <c r="O59" s="5">
        <f>Grade8!M59-M59</f>
        <v>7.632000000000005</v>
      </c>
      <c r="S59" s="22">
        <f t="shared" si="20"/>
        <v>7.1206560000000048</v>
      </c>
      <c r="T59" s="22">
        <f t="shared" si="21"/>
        <v>14.605658299543906</v>
      </c>
    </row>
    <row r="60" spans="1:20" x14ac:dyDescent="0.2">
      <c r="A60" s="5">
        <v>69</v>
      </c>
      <c r="H60" s="21"/>
      <c r="I60" s="5"/>
      <c r="M60" s="5">
        <f>scrimecost*Meta!O57</f>
        <v>367.84799999999996</v>
      </c>
      <c r="N60" s="5">
        <f>L60-Grade8!L60</f>
        <v>0</v>
      </c>
      <c r="O60" s="5">
        <f>Grade8!M60-M60</f>
        <v>7.632000000000005</v>
      </c>
      <c r="S60" s="22">
        <f t="shared" si="20"/>
        <v>7.1206560000000048</v>
      </c>
      <c r="T60" s="22">
        <f t="shared" si="21"/>
        <v>14.801268426486253</v>
      </c>
    </row>
    <row r="61" spans="1:20" x14ac:dyDescent="0.2">
      <c r="A61" s="5">
        <v>70</v>
      </c>
      <c r="H61" s="21"/>
      <c r="I61" s="5"/>
      <c r="M61" s="5">
        <f>scrimecost*Meta!O58</f>
        <v>367.84799999999996</v>
      </c>
      <c r="N61" s="5">
        <f>L61-Grade8!L61</f>
        <v>0</v>
      </c>
      <c r="O61" s="5">
        <f>Grade8!M61-M61</f>
        <v>7.632000000000005</v>
      </c>
      <c r="S61" s="22">
        <f t="shared" si="20"/>
        <v>7.1206560000000048</v>
      </c>
      <c r="T61" s="22">
        <f t="shared" si="21"/>
        <v>14.999498313591252</v>
      </c>
    </row>
    <row r="62" spans="1:20" x14ac:dyDescent="0.2">
      <c r="A62" s="5">
        <v>71</v>
      </c>
      <c r="H62" s="21"/>
      <c r="I62" s="5"/>
      <c r="M62" s="5">
        <f>scrimecost*Meta!O59</f>
        <v>367.84799999999996</v>
      </c>
      <c r="N62" s="5">
        <f>L62-Grade8!L62</f>
        <v>0</v>
      </c>
      <c r="O62" s="5">
        <f>Grade8!M62-M62</f>
        <v>7.632000000000005</v>
      </c>
      <c r="S62" s="22">
        <f t="shared" si="20"/>
        <v>7.1206560000000048</v>
      </c>
      <c r="T62" s="22">
        <f t="shared" si="21"/>
        <v>15.200383046687106</v>
      </c>
    </row>
    <row r="63" spans="1:20" x14ac:dyDescent="0.2">
      <c r="A63" s="5">
        <v>72</v>
      </c>
      <c r="H63" s="21"/>
      <c r="M63" s="5">
        <f>scrimecost*Meta!O60</f>
        <v>367.84799999999996</v>
      </c>
      <c r="N63" s="5">
        <f>L63-Grade8!L63</f>
        <v>0</v>
      </c>
      <c r="O63" s="5">
        <f>Grade8!M63-M63</f>
        <v>7.632000000000005</v>
      </c>
      <c r="S63" s="22">
        <f t="shared" si="20"/>
        <v>7.1206560000000048</v>
      </c>
      <c r="T63" s="22">
        <f t="shared" si="21"/>
        <v>15.403958181498227</v>
      </c>
    </row>
    <row r="64" spans="1:20" x14ac:dyDescent="0.2">
      <c r="A64" s="5">
        <v>73</v>
      </c>
      <c r="H64" s="21"/>
      <c r="M64" s="5">
        <f>scrimecost*Meta!O61</f>
        <v>367.84799999999996</v>
      </c>
      <c r="N64" s="5">
        <f>L64-Grade8!L64</f>
        <v>0</v>
      </c>
      <c r="O64" s="5">
        <f>Grade8!M64-M64</f>
        <v>7.632000000000005</v>
      </c>
      <c r="S64" s="22">
        <f t="shared" si="20"/>
        <v>7.1206560000000048</v>
      </c>
      <c r="T64" s="22">
        <f t="shared" si="21"/>
        <v>15.610259749938429</v>
      </c>
    </row>
    <row r="65" spans="1:20" x14ac:dyDescent="0.2">
      <c r="A65" s="5">
        <v>74</v>
      </c>
      <c r="H65" s="21"/>
      <c r="M65" s="5">
        <f>scrimecost*Meta!O62</f>
        <v>367.84799999999996</v>
      </c>
      <c r="N65" s="5">
        <f>L65-Grade8!L65</f>
        <v>0</v>
      </c>
      <c r="O65" s="5">
        <f>Grade8!M65-M65</f>
        <v>7.632000000000005</v>
      </c>
      <c r="S65" s="22">
        <f t="shared" si="20"/>
        <v>7.1206560000000048</v>
      </c>
      <c r="T65" s="22">
        <f t="shared" si="21"/>
        <v>15.819324266488417</v>
      </c>
    </row>
    <row r="66" spans="1:20" x14ac:dyDescent="0.2">
      <c r="A66" s="5">
        <v>75</v>
      </c>
      <c r="H66" s="21"/>
      <c r="M66" s="5">
        <f>scrimecost*Meta!O63</f>
        <v>367.84799999999996</v>
      </c>
      <c r="N66" s="5">
        <f>L66-Grade8!L66</f>
        <v>0</v>
      </c>
      <c r="O66" s="5">
        <f>Grade8!M66-M66</f>
        <v>7.632000000000005</v>
      </c>
      <c r="S66" s="22">
        <f t="shared" si="20"/>
        <v>7.1206560000000048</v>
      </c>
      <c r="T66" s="22">
        <f t="shared" si="21"/>
        <v>16.031188734658716</v>
      </c>
    </row>
    <row r="67" spans="1:20" x14ac:dyDescent="0.2">
      <c r="A67" s="5">
        <v>76</v>
      </c>
      <c r="H67" s="21"/>
      <c r="M67" s="5">
        <f>scrimecost*Meta!O64</f>
        <v>367.84799999999996</v>
      </c>
      <c r="N67" s="5">
        <f>L67-Grade8!L67</f>
        <v>0</v>
      </c>
      <c r="O67" s="5">
        <f>Grade8!M67-M67</f>
        <v>7.632000000000005</v>
      </c>
      <c r="S67" s="22">
        <f t="shared" si="20"/>
        <v>7.1206560000000048</v>
      </c>
      <c r="T67" s="22">
        <f t="shared" si="21"/>
        <v>16.245890653539107</v>
      </c>
    </row>
    <row r="68" spans="1:20" x14ac:dyDescent="0.2">
      <c r="A68" s="5">
        <v>77</v>
      </c>
      <c r="H68" s="21"/>
      <c r="M68" s="5">
        <f>scrimecost*Meta!O65</f>
        <v>367.84799999999996</v>
      </c>
      <c r="N68" s="5">
        <f>L68-Grade8!L68</f>
        <v>0</v>
      </c>
      <c r="O68" s="5">
        <f>Grade8!M68-M68</f>
        <v>7.632000000000005</v>
      </c>
      <c r="S68" s="22">
        <f t="shared" si="20"/>
        <v>7.1206560000000048</v>
      </c>
      <c r="T68" s="22">
        <f t="shared" si="21"/>
        <v>16.463468024435805</v>
      </c>
    </row>
    <row r="69" spans="1:20" x14ac:dyDescent="0.2">
      <c r="A69" s="5">
        <v>78</v>
      </c>
      <c r="H69" s="21"/>
      <c r="M69" s="5">
        <f>scrimecost*Meta!O66</f>
        <v>367.84799999999996</v>
      </c>
      <c r="N69" s="5">
        <f>L69-Grade8!L69</f>
        <v>0</v>
      </c>
      <c r="O69" s="5">
        <f>Grade8!M69-M69</f>
        <v>7.632000000000005</v>
      </c>
      <c r="S69" s="22">
        <f>IF(A69&lt;startage,1,0)*(N69-Q69-R69)+IF(A69&gt;=startage,1,0)*completionprob*(N69*spart+O69+P69)</f>
        <v>7.1206560000000048</v>
      </c>
      <c r="T69" s="22">
        <f>S69/sreturn^(A69-startage+1)</f>
        <v>16.683959357597537</v>
      </c>
    </row>
    <row r="70" spans="1:20" x14ac:dyDescent="0.2">
      <c r="A70" s="5">
        <v>79</v>
      </c>
      <c r="H70" s="21"/>
      <c r="M70" s="5"/>
      <c r="S70" s="22">
        <f>SUM(T5:T69)</f>
        <v>-6.5810468186100479E-11</v>
      </c>
    </row>
    <row r="71" spans="1:20" x14ac:dyDescent="0.2">
      <c r="A71" s="5">
        <v>80</v>
      </c>
      <c r="H71" s="21"/>
      <c r="M71" s="5"/>
    </row>
    <row r="72" spans="1:20" x14ac:dyDescent="0.2">
      <c r="A72" s="5">
        <v>81</v>
      </c>
      <c r="H72" s="21"/>
      <c r="M72" s="5"/>
    </row>
    <row r="73" spans="1:20" x14ac:dyDescent="0.2">
      <c r="A73" s="5">
        <v>82</v>
      </c>
      <c r="H73" s="21"/>
      <c r="M73" s="5"/>
    </row>
    <row r="74" spans="1:20" x14ac:dyDescent="0.2">
      <c r="A74" s="5">
        <v>83</v>
      </c>
      <c r="H74" s="21"/>
      <c r="M74" s="5"/>
    </row>
    <row r="75" spans="1:20" x14ac:dyDescent="0.2">
      <c r="A75" s="5">
        <v>84</v>
      </c>
      <c r="H75" s="21"/>
      <c r="M75" s="5"/>
    </row>
    <row r="76" spans="1:20" x14ac:dyDescent="0.2">
      <c r="A76" s="5">
        <v>85</v>
      </c>
      <c r="H76" s="21"/>
    </row>
    <row r="77" spans="1:20" x14ac:dyDescent="0.2">
      <c r="A77" s="5">
        <v>86</v>
      </c>
      <c r="H77" s="21"/>
    </row>
    <row r="78" spans="1:20" x14ac:dyDescent="0.2">
      <c r="A78" s="5">
        <v>87</v>
      </c>
      <c r="H78" s="21"/>
    </row>
    <row r="79" spans="1:20" x14ac:dyDescent="0.2">
      <c r="A79" s="5">
        <v>88</v>
      </c>
      <c r="H79" s="21"/>
    </row>
    <row r="80" spans="1:20" x14ac:dyDescent="0.2">
      <c r="A80" s="5">
        <v>89</v>
      </c>
      <c r="H80" s="21"/>
    </row>
    <row r="81" spans="1:8" x14ac:dyDescent="0.2">
      <c r="A81" s="5">
        <v>90</v>
      </c>
      <c r="H81" s="21"/>
    </row>
  </sheetData>
  <pageMargins left="0.75" right="0.75" top="1" bottom="1" header="0.5" footer="0.5"/>
  <pageSetup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1"/>
  <sheetViews>
    <sheetView workbookViewId="0">
      <selection activeCell="S6" sqref="S6"/>
    </sheetView>
  </sheetViews>
  <sheetFormatPr defaultRowHeight="12.75" x14ac:dyDescent="0.2"/>
  <cols>
    <col min="1" max="1" width="13.7109375" style="5" customWidth="1"/>
    <col min="2" max="7" width="13.7109375" style="1" customWidth="1"/>
    <col min="8" max="8" width="9.5703125" style="1" customWidth="1"/>
    <col min="9" max="9" width="9.140625" style="1"/>
    <col min="10" max="11" width="9.28515625" style="1" customWidth="1"/>
    <col min="12" max="12" width="9.140625" style="1"/>
    <col min="13" max="13" width="9.5703125" style="1" customWidth="1"/>
    <col min="14" max="14" width="9.28515625" style="1" customWidth="1"/>
    <col min="15" max="17" width="9.140625" style="1"/>
    <col min="18" max="18" width="9.5703125" style="1" bestFit="1" customWidth="1"/>
    <col min="19" max="19" width="10.140625" style="1" bestFit="1" customWidth="1"/>
    <col min="20" max="16384" width="9.140625" style="1"/>
  </cols>
  <sheetData>
    <row r="1" spans="1:20" x14ac:dyDescent="0.2">
      <c r="B1" s="1" t="s">
        <v>11</v>
      </c>
      <c r="C1" s="27" t="s">
        <v>35</v>
      </c>
      <c r="D1" s="27" t="s">
        <v>36</v>
      </c>
      <c r="E1" s="6" t="s">
        <v>9</v>
      </c>
      <c r="F1" s="6" t="s">
        <v>49</v>
      </c>
      <c r="G1" s="1" t="s">
        <v>4</v>
      </c>
      <c r="H1" s="1" t="s">
        <v>8</v>
      </c>
      <c r="J1" s="1" t="s">
        <v>56</v>
      </c>
      <c r="K1" s="1" t="s">
        <v>20</v>
      </c>
      <c r="N1" s="1" t="s">
        <v>43</v>
      </c>
      <c r="O1" s="1" t="s">
        <v>44</v>
      </c>
      <c r="P1" s="1" t="s">
        <v>45</v>
      </c>
      <c r="Q1" s="1" t="s">
        <v>46</v>
      </c>
      <c r="R1" s="1" t="s">
        <v>53</v>
      </c>
      <c r="T1" s="12" t="s">
        <v>57</v>
      </c>
    </row>
    <row r="2" spans="1:20" x14ac:dyDescent="0.2">
      <c r="B2" s="5">
        <f>Meta!A4+6</f>
        <v>16</v>
      </c>
      <c r="C2" s="7">
        <f>Meta!B4</f>
        <v>39592</v>
      </c>
      <c r="D2" s="7">
        <f>Meta!C4</f>
        <v>18212</v>
      </c>
      <c r="E2" s="1">
        <f>Meta!D4</f>
        <v>7.8E-2</v>
      </c>
      <c r="F2" s="1">
        <f>Meta!F4</f>
        <v>0.69199999999999995</v>
      </c>
      <c r="G2" s="1">
        <f>Meta!I4</f>
        <v>1.9496869757628374</v>
      </c>
      <c r="H2" s="1">
        <f>Meta!E4</f>
        <v>0.93300000000000005</v>
      </c>
      <c r="I2" s="13"/>
      <c r="J2" s="1">
        <f>Meta!X3</f>
        <v>0.72599999999999998</v>
      </c>
      <c r="K2" s="1">
        <f>Meta!D3</f>
        <v>8.1000000000000003E-2</v>
      </c>
      <c r="L2" s="29"/>
      <c r="N2" s="22">
        <f>Meta!T4</f>
        <v>44586</v>
      </c>
      <c r="O2" s="22">
        <f>Meta!U4</f>
        <v>20510</v>
      </c>
      <c r="P2" s="1">
        <f>Meta!V4</f>
        <v>6.8000000000000005E-2</v>
      </c>
      <c r="Q2" s="1">
        <f>Meta!X4</f>
        <v>0.73099999999999998</v>
      </c>
      <c r="R2" s="22">
        <f>Meta!W4</f>
        <v>5005</v>
      </c>
      <c r="T2" s="12">
        <f>IRR(S5:S69)+1</f>
        <v>0.98537205722830035</v>
      </c>
    </row>
    <row r="3" spans="1:20" ht="14.25" x14ac:dyDescent="0.2">
      <c r="C3" s="3"/>
      <c r="G3" s="4"/>
      <c r="L3" s="1" t="s">
        <v>10</v>
      </c>
    </row>
    <row r="4" spans="1:20" x14ac:dyDescent="0.2">
      <c r="A4" s="7" t="s">
        <v>0</v>
      </c>
      <c r="B4" s="2" t="s">
        <v>1</v>
      </c>
      <c r="C4" s="1" t="s">
        <v>37</v>
      </c>
      <c r="D4" s="1" t="s">
        <v>2</v>
      </c>
      <c r="E4" t="s">
        <v>12</v>
      </c>
      <c r="F4" t="s">
        <v>19</v>
      </c>
      <c r="G4" t="s">
        <v>18</v>
      </c>
      <c r="H4" t="s">
        <v>38</v>
      </c>
      <c r="I4" t="s">
        <v>6</v>
      </c>
      <c r="J4" s="1" t="s">
        <v>47</v>
      </c>
      <c r="L4" s="1" t="s">
        <v>48</v>
      </c>
      <c r="M4" s="1" t="s">
        <v>54</v>
      </c>
      <c r="N4" s="1" t="s">
        <v>59</v>
      </c>
      <c r="O4" s="1" t="s">
        <v>58</v>
      </c>
      <c r="P4" s="1" t="s">
        <v>55</v>
      </c>
      <c r="Q4" s="1" t="s">
        <v>17</v>
      </c>
      <c r="R4" s="1" t="s">
        <v>7</v>
      </c>
      <c r="S4" s="5" t="s">
        <v>14</v>
      </c>
      <c r="T4" s="5" t="s">
        <v>15</v>
      </c>
    </row>
    <row r="5" spans="1:20" x14ac:dyDescent="0.2">
      <c r="A5" s="5">
        <v>14</v>
      </c>
      <c r="C5" s="5"/>
      <c r="D5" s="5"/>
      <c r="E5" s="5"/>
      <c r="F5" s="5"/>
      <c r="G5" s="5"/>
      <c r="H5" s="22"/>
      <c r="I5" s="5"/>
      <c r="J5" s="26"/>
      <c r="L5" s="22"/>
      <c r="M5" s="5"/>
      <c r="N5" s="5"/>
      <c r="O5" s="5"/>
      <c r="P5" s="22"/>
      <c r="Q5" s="22"/>
      <c r="R5" s="22"/>
      <c r="S5" s="22"/>
      <c r="T5" s="22"/>
    </row>
    <row r="6" spans="1:20" x14ac:dyDescent="0.2">
      <c r="A6" s="5">
        <v>15</v>
      </c>
      <c r="B6" s="1">
        <v>1</v>
      </c>
      <c r="C6" s="5">
        <f>0.1*Grade9!C6</f>
        <v>1931.2206225801758</v>
      </c>
      <c r="D6" s="5">
        <f t="shared" ref="D6:D36" si="0">IF(A6&lt;startage,1,0)*(C6*(1-initialunempprob))+IF(A6=startage,1,0)*(C6*(1-unempprob))+IF(A6&gt;startage,1,0)*(C6*(1-unempprob)+unempprob*300*52)</f>
        <v>1774.7917521511818</v>
      </c>
      <c r="E6" s="5">
        <f t="shared" ref="E6:E56" si="1">IF(D6-9500&gt;0,1,0)*(D6-9500)</f>
        <v>0</v>
      </c>
      <c r="F6" s="5">
        <f t="shared" ref="F6:F56" si="2">IF(E6&lt;=8500,1,0)*(0.1*E6+0.1*E6+0.0765*D6)+IF(AND(E6&gt;8500,E6&lt;=34500),1,0)*(850+0.15*(E6-8500)+0.1*E6+0.0765*D6)+IF(AND(E6&gt;34500,E6&lt;=83600),1,0)*(4750+0.25*(E6-34500)+0.1*E6+0.0765*D6)+IF(AND(E6&gt;83600,E6&lt;=174400,D6&lt;=106800),1,0)*(17025+0.28*(E6-83600)+0.1*E6+0.0765*D6)+IF(AND(E6&gt;83600,E6&lt;=174400,D6&gt;106800),1,0)*(17025+0.28*(E6-83600)+0.1*E6+8170.2+0.0145*(D6-106800))+IF(AND(E6&gt;174400,E6&lt;=379150),1,0)*(42449+0.33*(E6-174400)+0.1*E6+8170.2+0.0145*(D6-106800))+IF(E6&gt;379150,1,0)*(110016.5+0.35*(E6-379150)+0.1*E6+8170.2+0.0145*(D6-106800))</f>
        <v>135.77156903956541</v>
      </c>
      <c r="G6" s="5">
        <f t="shared" ref="G6:G56" si="3">D6-F6</f>
        <v>1639.0201831116165</v>
      </c>
      <c r="H6" s="22">
        <f>0.1*Grade9!H6</f>
        <v>888.3938283692562</v>
      </c>
      <c r="I6" s="5">
        <f t="shared" ref="I6:I36" si="4">G6+IF(A6&lt;startage,1,0)*(H6*(1-initialunempprob))+IF(A6&gt;=startage,1,0)*(H6*(1-unempprob))</f>
        <v>2455.4541113829628</v>
      </c>
      <c r="J6" s="26">
        <f t="shared" ref="J6:J37" si="5">(F6-(IF(A6&gt;startage,1,0)*(unempprob*300*52)))/(IF(A6&lt;startage,1,0)*((C6+H6)*(1-initialunempprob))+IF(A6&gt;=startage,1,0)*((C6+H6)*(1-unempprob)))</f>
        <v>5.2396659258728225E-2</v>
      </c>
      <c r="L6" s="22">
        <f>0.1*Grade9!L6</f>
        <v>3013.9555027369111</v>
      </c>
      <c r="M6" s="5">
        <f>scrimecost*Meta!O3</f>
        <v>7707.7</v>
      </c>
      <c r="N6" s="5">
        <f>L6-Grade9!L6</f>
        <v>-27125.599524632198</v>
      </c>
      <c r="O6" s="5"/>
      <c r="P6" s="22"/>
      <c r="Q6" s="22">
        <f>0.05*feel*Grade9!G6</f>
        <v>206.3686565753932</v>
      </c>
      <c r="R6" s="22">
        <f>hstuition</f>
        <v>11298</v>
      </c>
      <c r="S6" s="22">
        <f t="shared" ref="S6:S37" si="6">IF(A6&lt;startage,1,0)*(N6-Q6-R6)+IF(A6&gt;=startage,1,0)*completionprob*(N6*spart+O6+P6)</f>
        <v>-38629.968181207587</v>
      </c>
      <c r="T6" s="22">
        <f t="shared" ref="T6:T37" si="7">S6/sreturn^(A6-startage+1)</f>
        <v>-38629.968181207587</v>
      </c>
    </row>
    <row r="7" spans="1:20" x14ac:dyDescent="0.2">
      <c r="A7" s="5">
        <v>16</v>
      </c>
      <c r="B7" s="1">
        <f t="shared" ref="B7:B36" si="8">(1+experiencepremium)^(A7-startage)</f>
        <v>1</v>
      </c>
      <c r="C7" s="5">
        <f t="shared" ref="C7:C36" si="9">pretaxincome*B7/expnorm</f>
        <v>20306.849505679842</v>
      </c>
      <c r="D7" s="5">
        <f t="shared" si="0"/>
        <v>18722.915244236814</v>
      </c>
      <c r="E7" s="5">
        <f t="shared" si="1"/>
        <v>9222.915244236814</v>
      </c>
      <c r="F7" s="5">
        <f t="shared" si="2"/>
        <v>3313.0318272433196</v>
      </c>
      <c r="G7" s="5">
        <f t="shared" si="3"/>
        <v>15409.883416993494</v>
      </c>
      <c r="H7" s="22">
        <f t="shared" ref="H7:H36" si="10">benefits*B7/expnorm</f>
        <v>9340.9866437017899</v>
      </c>
      <c r="I7" s="5">
        <f t="shared" si="4"/>
        <v>24022.273102486542</v>
      </c>
      <c r="J7" s="26">
        <f t="shared" si="5"/>
        <v>0.12119973915637822</v>
      </c>
      <c r="L7" s="22">
        <f t="shared" ref="L7:L36" si="11">(sincome+sbenefits)*(1-sunemp)*B7/expnorm</f>
        <v>31117.544895258052</v>
      </c>
      <c r="M7" s="5">
        <f>scrimecost*Meta!O4</f>
        <v>10325.315000000001</v>
      </c>
      <c r="N7" s="5">
        <f>L7-Grade9!L7</f>
        <v>224.50099220472111</v>
      </c>
      <c r="O7" s="5">
        <f>Grade9!M7-M7</f>
        <v>214.55199999999968</v>
      </c>
      <c r="P7" s="22">
        <f t="shared" ref="P7:P38" si="12">(spart-initialspart)*(L7*J7+nptrans)</f>
        <v>51.62719162246087</v>
      </c>
      <c r="Q7" s="22"/>
      <c r="R7" s="22"/>
      <c r="S7" s="22">
        <f t="shared" si="6"/>
        <v>401.46002599019619</v>
      </c>
      <c r="T7" s="22">
        <f t="shared" si="7"/>
        <v>407.41973861065367</v>
      </c>
    </row>
    <row r="8" spans="1:20" x14ac:dyDescent="0.2">
      <c r="A8" s="5">
        <v>17</v>
      </c>
      <c r="B8" s="1">
        <f t="shared" si="8"/>
        <v>1.0249999999999999</v>
      </c>
      <c r="C8" s="5">
        <f t="shared" si="9"/>
        <v>20814.520743321835</v>
      </c>
      <c r="D8" s="5">
        <f t="shared" si="0"/>
        <v>20407.788125342733</v>
      </c>
      <c r="E8" s="5">
        <f t="shared" si="1"/>
        <v>10907.788125342733</v>
      </c>
      <c r="F8" s="5">
        <f t="shared" si="2"/>
        <v>3863.142822924402</v>
      </c>
      <c r="G8" s="5">
        <f t="shared" si="3"/>
        <v>16544.645302418332</v>
      </c>
      <c r="H8" s="22">
        <f t="shared" si="10"/>
        <v>9574.511309794334</v>
      </c>
      <c r="I8" s="5">
        <f t="shared" si="4"/>
        <v>25372.34473004871</v>
      </c>
      <c r="J8" s="26">
        <f t="shared" si="5"/>
        <v>9.4449207084419409E-2</v>
      </c>
      <c r="L8" s="22">
        <f t="shared" si="11"/>
        <v>31895.483517639499</v>
      </c>
      <c r="M8" s="5">
        <f>scrimecost*Meta!O5</f>
        <v>12677.664999999999</v>
      </c>
      <c r="N8" s="5">
        <f>L8-Grade9!L8</f>
        <v>230.11351700983141</v>
      </c>
      <c r="O8" s="5">
        <f>Grade9!M8-M8</f>
        <v>263.4320000000007</v>
      </c>
      <c r="P8" s="22">
        <f t="shared" si="12"/>
        <v>47.832515639076142</v>
      </c>
      <c r="Q8" s="22"/>
      <c r="R8" s="22"/>
      <c r="S8" s="22">
        <f t="shared" si="6"/>
        <v>447.35250430285492</v>
      </c>
      <c r="T8" s="22">
        <f t="shared" si="7"/>
        <v>460.73307218181458</v>
      </c>
    </row>
    <row r="9" spans="1:20" x14ac:dyDescent="0.2">
      <c r="A9" s="5">
        <v>18</v>
      </c>
      <c r="B9" s="1">
        <f t="shared" si="8"/>
        <v>1.0506249999999999</v>
      </c>
      <c r="C9" s="5">
        <f t="shared" si="9"/>
        <v>21334.883761904879</v>
      </c>
      <c r="D9" s="5">
        <f t="shared" si="0"/>
        <v>20887.562828476297</v>
      </c>
      <c r="E9" s="5">
        <f t="shared" si="1"/>
        <v>11387.562828476297</v>
      </c>
      <c r="F9" s="5">
        <f t="shared" si="2"/>
        <v>4019.789263497511</v>
      </c>
      <c r="G9" s="5">
        <f t="shared" si="3"/>
        <v>16867.773564978786</v>
      </c>
      <c r="H9" s="22">
        <f t="shared" si="10"/>
        <v>9813.8740925391921</v>
      </c>
      <c r="I9" s="5">
        <f t="shared" si="4"/>
        <v>25916.165478299921</v>
      </c>
      <c r="J9" s="26">
        <f t="shared" si="5"/>
        <v>9.7599991667515276E-2</v>
      </c>
      <c r="L9" s="22">
        <f t="shared" si="11"/>
        <v>32692.870605580487</v>
      </c>
      <c r="M9" s="5">
        <f>scrimecost*Meta!O6</f>
        <v>16061.045</v>
      </c>
      <c r="N9" s="5">
        <f>L9-Grade9!L9</f>
        <v>235.8663549350822</v>
      </c>
      <c r="O9" s="5">
        <f>Grade9!M9-M9</f>
        <v>333.73599999999897</v>
      </c>
      <c r="P9" s="22">
        <f t="shared" si="12"/>
        <v>48.724119493459099</v>
      </c>
      <c r="Q9" s="22"/>
      <c r="R9" s="22"/>
      <c r="S9" s="22">
        <f t="shared" si="6"/>
        <v>517.70157047928592</v>
      </c>
      <c r="T9" s="22">
        <f t="shared" si="7"/>
        <v>541.10152102874667</v>
      </c>
    </row>
    <row r="10" spans="1:20" x14ac:dyDescent="0.2">
      <c r="A10" s="5">
        <v>19</v>
      </c>
      <c r="B10" s="1">
        <f t="shared" si="8"/>
        <v>1.0768906249999999</v>
      </c>
      <c r="C10" s="5">
        <f t="shared" si="9"/>
        <v>21868.255855952502</v>
      </c>
      <c r="D10" s="5">
        <f t="shared" si="0"/>
        <v>21379.331899188208</v>
      </c>
      <c r="E10" s="5">
        <f t="shared" si="1"/>
        <v>11879.331899188208</v>
      </c>
      <c r="F10" s="5">
        <f t="shared" si="2"/>
        <v>4180.3518650849501</v>
      </c>
      <c r="G10" s="5">
        <f t="shared" si="3"/>
        <v>17198.980034103257</v>
      </c>
      <c r="H10" s="22">
        <f t="shared" si="10"/>
        <v>10059.220944852672</v>
      </c>
      <c r="I10" s="5">
        <f t="shared" si="4"/>
        <v>26473.581745257419</v>
      </c>
      <c r="J10" s="26">
        <f t="shared" si="5"/>
        <v>0.1006739278461454</v>
      </c>
      <c r="L10" s="22">
        <f t="shared" si="11"/>
        <v>33510.192370719997</v>
      </c>
      <c r="M10" s="5">
        <f>scrimecost*Meta!O7</f>
        <v>17042.024999999998</v>
      </c>
      <c r="N10" s="5">
        <f>L10-Grade9!L10</f>
        <v>241.76301380845689</v>
      </c>
      <c r="O10" s="5">
        <f>Grade9!M10-M10</f>
        <v>354.12000000000262</v>
      </c>
      <c r="P10" s="22">
        <f t="shared" si="12"/>
        <v>49.638013444201633</v>
      </c>
      <c r="Q10" s="22"/>
      <c r="R10" s="22"/>
      <c r="S10" s="22">
        <f t="shared" si="6"/>
        <v>541.59416251012783</v>
      </c>
      <c r="T10" s="22">
        <f t="shared" si="7"/>
        <v>574.47747443470735</v>
      </c>
    </row>
    <row r="11" spans="1:20" x14ac:dyDescent="0.2">
      <c r="A11" s="5">
        <v>20</v>
      </c>
      <c r="B11" s="1">
        <f t="shared" si="8"/>
        <v>1.1038128906249998</v>
      </c>
      <c r="C11" s="5">
        <f t="shared" si="9"/>
        <v>22414.962252351314</v>
      </c>
      <c r="D11" s="5">
        <f t="shared" si="0"/>
        <v>21883.395196667912</v>
      </c>
      <c r="E11" s="5">
        <f t="shared" si="1"/>
        <v>12383.395196667912</v>
      </c>
      <c r="F11" s="5">
        <f t="shared" si="2"/>
        <v>4344.9285317120739</v>
      </c>
      <c r="G11" s="5">
        <f t="shared" si="3"/>
        <v>17538.466664955838</v>
      </c>
      <c r="H11" s="22">
        <f t="shared" si="10"/>
        <v>10310.701468473988</v>
      </c>
      <c r="I11" s="5">
        <f t="shared" si="4"/>
        <v>27044.933418888853</v>
      </c>
      <c r="J11" s="26">
        <f t="shared" si="5"/>
        <v>0.10367288997163822</v>
      </c>
      <c r="L11" s="22">
        <f t="shared" si="11"/>
        <v>34347.947179987998</v>
      </c>
      <c r="M11" s="5">
        <f>scrimecost*Meta!O8</f>
        <v>16356.339999999998</v>
      </c>
      <c r="N11" s="5">
        <f>L11-Grade9!L11</f>
        <v>247.80708915366995</v>
      </c>
      <c r="O11" s="5">
        <f>Grade9!M11-M11</f>
        <v>339.87200000000121</v>
      </c>
      <c r="P11" s="22">
        <f t="shared" si="12"/>
        <v>50.574754743712731</v>
      </c>
      <c r="Q11" s="22"/>
      <c r="R11" s="22"/>
      <c r="S11" s="22">
        <f t="shared" si="6"/>
        <v>533.29695654173861</v>
      </c>
      <c r="T11" s="22">
        <f t="shared" si="7"/>
        <v>574.07401903272273</v>
      </c>
    </row>
    <row r="12" spans="1:20" x14ac:dyDescent="0.2">
      <c r="A12" s="5">
        <v>21</v>
      </c>
      <c r="B12" s="1">
        <f t="shared" si="8"/>
        <v>1.1314082128906247</v>
      </c>
      <c r="C12" s="5">
        <f t="shared" si="9"/>
        <v>22975.336308660091</v>
      </c>
      <c r="D12" s="5">
        <f t="shared" si="0"/>
        <v>22400.060076584603</v>
      </c>
      <c r="E12" s="5">
        <f t="shared" si="1"/>
        <v>12900.060076584603</v>
      </c>
      <c r="F12" s="5">
        <f t="shared" si="2"/>
        <v>4513.6196150048727</v>
      </c>
      <c r="G12" s="5">
        <f t="shared" si="3"/>
        <v>17886.440461579732</v>
      </c>
      <c r="H12" s="22">
        <f t="shared" si="10"/>
        <v>10568.469005185836</v>
      </c>
      <c r="I12" s="5">
        <f t="shared" si="4"/>
        <v>27630.568884361073</v>
      </c>
      <c r="J12" s="26">
        <f t="shared" si="5"/>
        <v>0.10659870667943598</v>
      </c>
      <c r="L12" s="22">
        <f t="shared" si="11"/>
        <v>35206.645859487697</v>
      </c>
      <c r="M12" s="5">
        <f>scrimecost*Meta!O9</f>
        <v>15070.055</v>
      </c>
      <c r="N12" s="5">
        <f>L12-Grade9!L12</f>
        <v>254.00226638251479</v>
      </c>
      <c r="O12" s="5">
        <f>Grade9!M12-M12</f>
        <v>313.14400000000023</v>
      </c>
      <c r="P12" s="22">
        <f t="shared" si="12"/>
        <v>51.534914575711582</v>
      </c>
      <c r="Q12" s="22"/>
      <c r="R12" s="22"/>
      <c r="S12" s="22">
        <f t="shared" si="6"/>
        <v>513.48081502414107</v>
      </c>
      <c r="T12" s="22">
        <f t="shared" si="7"/>
        <v>560.94820990513779</v>
      </c>
    </row>
    <row r="13" spans="1:20" x14ac:dyDescent="0.2">
      <c r="A13" s="5">
        <v>22</v>
      </c>
      <c r="B13" s="1">
        <f t="shared" si="8"/>
        <v>1.1596934182128902</v>
      </c>
      <c r="C13" s="5">
        <f t="shared" si="9"/>
        <v>23549.719716376592</v>
      </c>
      <c r="D13" s="5">
        <f t="shared" si="0"/>
        <v>22929.641578499217</v>
      </c>
      <c r="E13" s="5">
        <f t="shared" si="1"/>
        <v>13429.641578499217</v>
      </c>
      <c r="F13" s="5">
        <f t="shared" si="2"/>
        <v>4686.5279753799941</v>
      </c>
      <c r="G13" s="5">
        <f t="shared" si="3"/>
        <v>18243.113603119222</v>
      </c>
      <c r="H13" s="22">
        <f t="shared" si="10"/>
        <v>10832.68073031548</v>
      </c>
      <c r="I13" s="5">
        <f t="shared" si="4"/>
        <v>28230.845236470093</v>
      </c>
      <c r="J13" s="26">
        <f t="shared" si="5"/>
        <v>0.10945316200411681</v>
      </c>
      <c r="L13" s="22">
        <f t="shared" si="11"/>
        <v>36086.812005974884</v>
      </c>
      <c r="M13" s="5">
        <f>scrimecost*Meta!O10</f>
        <v>13743.73</v>
      </c>
      <c r="N13" s="5">
        <f>L13-Grade9!L13</f>
        <v>260.35232304206875</v>
      </c>
      <c r="O13" s="5">
        <f>Grade9!M13-M13</f>
        <v>285.58400000000074</v>
      </c>
      <c r="P13" s="22">
        <f t="shared" si="12"/>
        <v>52.519078403510434</v>
      </c>
      <c r="Q13" s="22"/>
      <c r="R13" s="22"/>
      <c r="S13" s="22">
        <f t="shared" si="6"/>
        <v>493.0164445685968</v>
      </c>
      <c r="T13" s="22">
        <f t="shared" si="7"/>
        <v>546.58751497899868</v>
      </c>
    </row>
    <row r="14" spans="1:20" x14ac:dyDescent="0.2">
      <c r="A14" s="5">
        <v>23</v>
      </c>
      <c r="B14" s="1">
        <f t="shared" si="8"/>
        <v>1.1886857536682125</v>
      </c>
      <c r="C14" s="5">
        <f t="shared" si="9"/>
        <v>24138.46270928601</v>
      </c>
      <c r="D14" s="5">
        <f t="shared" si="0"/>
        <v>23472.462617961701</v>
      </c>
      <c r="E14" s="5">
        <f t="shared" si="1"/>
        <v>13972.462617961701</v>
      </c>
      <c r="F14" s="5">
        <f t="shared" si="2"/>
        <v>4863.7590447644952</v>
      </c>
      <c r="G14" s="5">
        <f t="shared" si="3"/>
        <v>18608.703573197206</v>
      </c>
      <c r="H14" s="22">
        <f t="shared" si="10"/>
        <v>11103.497748573369</v>
      </c>
      <c r="I14" s="5">
        <f t="shared" si="4"/>
        <v>28846.128497381855</v>
      </c>
      <c r="J14" s="26">
        <f t="shared" si="5"/>
        <v>0.11223799646722009</v>
      </c>
      <c r="L14" s="22">
        <f t="shared" si="11"/>
        <v>36988.982306124257</v>
      </c>
      <c r="M14" s="5">
        <f>scrimecost*Meta!O11</f>
        <v>12812.800000000001</v>
      </c>
      <c r="N14" s="5">
        <f>L14-Grade9!L14</f>
        <v>266.86113111813029</v>
      </c>
      <c r="O14" s="5">
        <f>Grade9!M14-M14</f>
        <v>266.23999999999978</v>
      </c>
      <c r="P14" s="22">
        <f t="shared" si="12"/>
        <v>53.527846327004255</v>
      </c>
      <c r="Q14" s="22"/>
      <c r="R14" s="22"/>
      <c r="S14" s="22">
        <f t="shared" si="6"/>
        <v>480.3488298516753</v>
      </c>
      <c r="T14" s="22">
        <f t="shared" si="7"/>
        <v>540.44909820485498</v>
      </c>
    </row>
    <row r="15" spans="1:20" x14ac:dyDescent="0.2">
      <c r="A15" s="5">
        <v>24</v>
      </c>
      <c r="B15" s="1">
        <f t="shared" si="8"/>
        <v>1.2184028975099177</v>
      </c>
      <c r="C15" s="5">
        <f t="shared" si="9"/>
        <v>24741.924277018159</v>
      </c>
      <c r="D15" s="5">
        <f t="shared" si="0"/>
        <v>24028.854183410742</v>
      </c>
      <c r="E15" s="5">
        <f t="shared" si="1"/>
        <v>14528.854183410742</v>
      </c>
      <c r="F15" s="5">
        <f t="shared" si="2"/>
        <v>5045.4208908836072</v>
      </c>
      <c r="G15" s="5">
        <f t="shared" si="3"/>
        <v>18983.433292527134</v>
      </c>
      <c r="H15" s="22">
        <f t="shared" si="10"/>
        <v>11381.085192287703</v>
      </c>
      <c r="I15" s="5">
        <f t="shared" si="4"/>
        <v>29476.793839816397</v>
      </c>
      <c r="J15" s="26">
        <f t="shared" si="5"/>
        <v>0.11495490813854031</v>
      </c>
      <c r="L15" s="22">
        <f t="shared" si="11"/>
        <v>37913.706863777355</v>
      </c>
      <c r="M15" s="5">
        <f>scrimecost*Meta!O12</f>
        <v>12222.210000000001</v>
      </c>
      <c r="N15" s="5">
        <f>L15-Grade9!L15</f>
        <v>273.53265939607809</v>
      </c>
      <c r="O15" s="5">
        <f>Grade9!M15-M15</f>
        <v>253.96800000000076</v>
      </c>
      <c r="P15" s="22">
        <f t="shared" si="12"/>
        <v>54.561833448585404</v>
      </c>
      <c r="Q15" s="22"/>
      <c r="R15" s="22"/>
      <c r="S15" s="22">
        <f t="shared" si="6"/>
        <v>474.41389956682224</v>
      </c>
      <c r="T15" s="22">
        <f t="shared" si="7"/>
        <v>541.69549217622489</v>
      </c>
    </row>
    <row r="16" spans="1:20" x14ac:dyDescent="0.2">
      <c r="A16" s="5">
        <v>25</v>
      </c>
      <c r="B16" s="1">
        <f t="shared" si="8"/>
        <v>1.2488629699476654</v>
      </c>
      <c r="C16" s="5">
        <f t="shared" si="9"/>
        <v>25360.472383943608</v>
      </c>
      <c r="D16" s="5">
        <f t="shared" si="0"/>
        <v>24599.155537996008</v>
      </c>
      <c r="E16" s="5">
        <f t="shared" si="1"/>
        <v>15099.155537996008</v>
      </c>
      <c r="F16" s="5">
        <f t="shared" si="2"/>
        <v>5231.6242831556965</v>
      </c>
      <c r="G16" s="5">
        <f t="shared" si="3"/>
        <v>19367.531254840313</v>
      </c>
      <c r="H16" s="22">
        <f t="shared" si="10"/>
        <v>11665.612322094894</v>
      </c>
      <c r="I16" s="5">
        <f t="shared" si="4"/>
        <v>30123.225815811806</v>
      </c>
      <c r="J16" s="26">
        <f t="shared" si="5"/>
        <v>0.11760555367153569</v>
      </c>
      <c r="L16" s="22">
        <f t="shared" si="11"/>
        <v>38861.549535371792</v>
      </c>
      <c r="M16" s="5">
        <f>scrimecost*Meta!O13</f>
        <v>10175.164999999999</v>
      </c>
      <c r="N16" s="5">
        <f>L16-Grade9!L16</f>
        <v>280.3709758809855</v>
      </c>
      <c r="O16" s="5">
        <f>Grade9!M16-M16</f>
        <v>211.4320000000007</v>
      </c>
      <c r="P16" s="22">
        <f t="shared" si="12"/>
        <v>55.621670248206094</v>
      </c>
      <c r="Q16" s="22"/>
      <c r="R16" s="22"/>
      <c r="S16" s="22">
        <f t="shared" si="6"/>
        <v>440.38052842485439</v>
      </c>
      <c r="T16" s="22">
        <f t="shared" si="7"/>
        <v>510.30013419136458</v>
      </c>
    </row>
    <row r="17" spans="1:20" x14ac:dyDescent="0.2">
      <c r="A17" s="5">
        <v>26</v>
      </c>
      <c r="B17" s="1">
        <f t="shared" si="8"/>
        <v>1.2800845441963571</v>
      </c>
      <c r="C17" s="5">
        <f t="shared" si="9"/>
        <v>25994.484193542197</v>
      </c>
      <c r="D17" s="5">
        <f t="shared" si="0"/>
        <v>25183.714426445906</v>
      </c>
      <c r="E17" s="5">
        <f t="shared" si="1"/>
        <v>15683.714426445906</v>
      </c>
      <c r="F17" s="5">
        <f t="shared" si="2"/>
        <v>5422.4827602345886</v>
      </c>
      <c r="G17" s="5">
        <f t="shared" si="3"/>
        <v>19761.231666211315</v>
      </c>
      <c r="H17" s="22">
        <f t="shared" si="10"/>
        <v>11957.252630147266</v>
      </c>
      <c r="I17" s="5">
        <f t="shared" si="4"/>
        <v>30785.818591207095</v>
      </c>
      <c r="J17" s="26">
        <f t="shared" si="5"/>
        <v>0.12019154931348237</v>
      </c>
      <c r="L17" s="22">
        <f t="shared" si="11"/>
        <v>39833.088273756082</v>
      </c>
      <c r="M17" s="5">
        <f>scrimecost*Meta!O14</f>
        <v>10175.164999999999</v>
      </c>
      <c r="N17" s="5">
        <f>L17-Grade9!L17</f>
        <v>287.38025027800904</v>
      </c>
      <c r="O17" s="5">
        <f>Grade9!M17-M17</f>
        <v>211.4320000000007</v>
      </c>
      <c r="P17" s="22">
        <f t="shared" si="12"/>
        <v>56.708002967817301</v>
      </c>
      <c r="Q17" s="22"/>
      <c r="R17" s="22"/>
      <c r="S17" s="22">
        <f t="shared" si="6"/>
        <v>446.1745632043328</v>
      </c>
      <c r="T17" s="22">
        <f t="shared" si="7"/>
        <v>524.6892168310734</v>
      </c>
    </row>
    <row r="18" spans="1:20" x14ac:dyDescent="0.2">
      <c r="A18" s="5">
        <v>27</v>
      </c>
      <c r="B18" s="1">
        <f t="shared" si="8"/>
        <v>1.312086657801266</v>
      </c>
      <c r="C18" s="5">
        <f t="shared" si="9"/>
        <v>26644.346298380755</v>
      </c>
      <c r="D18" s="5">
        <f t="shared" si="0"/>
        <v>25782.887287107056</v>
      </c>
      <c r="E18" s="5">
        <f t="shared" si="1"/>
        <v>16282.887287107056</v>
      </c>
      <c r="F18" s="5">
        <f t="shared" si="2"/>
        <v>5618.1126992404534</v>
      </c>
      <c r="G18" s="5">
        <f t="shared" si="3"/>
        <v>20164.774587866603</v>
      </c>
      <c r="H18" s="22">
        <f t="shared" si="10"/>
        <v>12256.183945900946</v>
      </c>
      <c r="I18" s="5">
        <f t="shared" si="4"/>
        <v>31464.976185987274</v>
      </c>
      <c r="J18" s="26">
        <f t="shared" si="5"/>
        <v>0.12271447189099133</v>
      </c>
      <c r="L18" s="22">
        <f t="shared" si="11"/>
        <v>40828.915480599986</v>
      </c>
      <c r="M18" s="5">
        <f>scrimecost*Meta!O15</f>
        <v>10175.164999999999</v>
      </c>
      <c r="N18" s="5">
        <f>L18-Grade9!L18</f>
        <v>294.56475653495727</v>
      </c>
      <c r="O18" s="5">
        <f>Grade9!M18-M18</f>
        <v>211.4320000000007</v>
      </c>
      <c r="P18" s="22">
        <f t="shared" si="12"/>
        <v>57.821494005418785</v>
      </c>
      <c r="Q18" s="22"/>
      <c r="R18" s="22"/>
      <c r="S18" s="22">
        <f t="shared" si="6"/>
        <v>452.1134488532976</v>
      </c>
      <c r="T18" s="22">
        <f t="shared" si="7"/>
        <v>539.56592517610807</v>
      </c>
    </row>
    <row r="19" spans="1:20" x14ac:dyDescent="0.2">
      <c r="A19" s="5">
        <v>28</v>
      </c>
      <c r="B19" s="1">
        <f t="shared" si="8"/>
        <v>1.3448888242462975</v>
      </c>
      <c r="C19" s="5">
        <f t="shared" si="9"/>
        <v>27310.454955840269</v>
      </c>
      <c r="D19" s="5">
        <f t="shared" si="0"/>
        <v>26397.039469284729</v>
      </c>
      <c r="E19" s="5">
        <f t="shared" si="1"/>
        <v>16897.039469284729</v>
      </c>
      <c r="F19" s="5">
        <f t="shared" si="2"/>
        <v>5818.6333867214644</v>
      </c>
      <c r="G19" s="5">
        <f t="shared" si="3"/>
        <v>20578.406082563266</v>
      </c>
      <c r="H19" s="22">
        <f t="shared" si="10"/>
        <v>12562.588544548469</v>
      </c>
      <c r="I19" s="5">
        <f t="shared" si="4"/>
        <v>32161.112720636957</v>
      </c>
      <c r="J19" s="26">
        <f t="shared" si="5"/>
        <v>0.1251758597714879</v>
      </c>
      <c r="L19" s="22">
        <f t="shared" si="11"/>
        <v>41849.638367614985</v>
      </c>
      <c r="M19" s="5">
        <f>scrimecost*Meta!O16</f>
        <v>10175.164999999999</v>
      </c>
      <c r="N19" s="5">
        <f>L19-Grade9!L19</f>
        <v>301.92887544833502</v>
      </c>
      <c r="O19" s="5">
        <f>Grade9!M19-M19</f>
        <v>211.4320000000007</v>
      </c>
      <c r="P19" s="22">
        <f t="shared" si="12"/>
        <v>58.962822318960313</v>
      </c>
      <c r="Q19" s="22"/>
      <c r="R19" s="22"/>
      <c r="S19" s="22">
        <f t="shared" si="6"/>
        <v>458.20080664349047</v>
      </c>
      <c r="T19" s="22">
        <f t="shared" si="7"/>
        <v>554.94851806175507</v>
      </c>
    </row>
    <row r="20" spans="1:20" x14ac:dyDescent="0.2">
      <c r="A20" s="5">
        <v>29</v>
      </c>
      <c r="B20" s="1">
        <f t="shared" si="8"/>
        <v>1.3785110448524549</v>
      </c>
      <c r="C20" s="5">
        <f t="shared" si="9"/>
        <v>27993.216329736275</v>
      </c>
      <c r="D20" s="5">
        <f t="shared" si="0"/>
        <v>27026.545456016847</v>
      </c>
      <c r="E20" s="5">
        <f t="shared" si="1"/>
        <v>17526.545456016847</v>
      </c>
      <c r="F20" s="5">
        <f t="shared" si="2"/>
        <v>6024.1670913895005</v>
      </c>
      <c r="G20" s="5">
        <f t="shared" si="3"/>
        <v>21002.378364627348</v>
      </c>
      <c r="H20" s="22">
        <f t="shared" si="10"/>
        <v>12876.65325816218</v>
      </c>
      <c r="I20" s="5">
        <f t="shared" si="4"/>
        <v>32874.652668652881</v>
      </c>
      <c r="J20" s="26">
        <f t="shared" si="5"/>
        <v>0.12757721380124062</v>
      </c>
      <c r="L20" s="22">
        <f t="shared" si="11"/>
        <v>42895.879326805356</v>
      </c>
      <c r="M20" s="5">
        <f>scrimecost*Meta!O17</f>
        <v>10175.164999999999</v>
      </c>
      <c r="N20" s="5">
        <f>L20-Grade9!L20</f>
        <v>309.47709733454394</v>
      </c>
      <c r="O20" s="5">
        <f>Grade9!M20-M20</f>
        <v>211.4320000000007</v>
      </c>
      <c r="P20" s="22">
        <f t="shared" si="12"/>
        <v>60.132683840340377</v>
      </c>
      <c r="Q20" s="22"/>
      <c r="R20" s="22"/>
      <c r="S20" s="22">
        <f t="shared" si="6"/>
        <v>464.44034837843594</v>
      </c>
      <c r="T20" s="22">
        <f t="shared" si="7"/>
        <v>570.85596855962399</v>
      </c>
    </row>
    <row r="21" spans="1:20" x14ac:dyDescent="0.2">
      <c r="A21" s="5">
        <v>30</v>
      </c>
      <c r="B21" s="1">
        <f t="shared" si="8"/>
        <v>1.4129738209737661</v>
      </c>
      <c r="C21" s="5">
        <f t="shared" si="9"/>
        <v>28693.046737979679</v>
      </c>
      <c r="D21" s="5">
        <f t="shared" si="0"/>
        <v>27671.789092417264</v>
      </c>
      <c r="E21" s="5">
        <f t="shared" si="1"/>
        <v>18171.789092417264</v>
      </c>
      <c r="F21" s="5">
        <f t="shared" si="2"/>
        <v>6234.8391386742369</v>
      </c>
      <c r="G21" s="5">
        <f t="shared" si="3"/>
        <v>21436.949953743027</v>
      </c>
      <c r="H21" s="22">
        <f t="shared" si="10"/>
        <v>13198.569589616232</v>
      </c>
      <c r="I21" s="5">
        <f t="shared" si="4"/>
        <v>33606.031115369195</v>
      </c>
      <c r="J21" s="26">
        <f t="shared" si="5"/>
        <v>0.12991999822051156</v>
      </c>
      <c r="L21" s="22">
        <f t="shared" si="11"/>
        <v>43968.276309975481</v>
      </c>
      <c r="M21" s="5">
        <f>scrimecost*Meta!O18</f>
        <v>8383.375</v>
      </c>
      <c r="N21" s="5">
        <f>L21-Grade9!L21</f>
        <v>317.21402476789808</v>
      </c>
      <c r="O21" s="5">
        <f>Grade9!M21-M21</f>
        <v>174.20000000000073</v>
      </c>
      <c r="P21" s="22">
        <f t="shared" si="12"/>
        <v>61.331791899754933</v>
      </c>
      <c r="Q21" s="22"/>
      <c r="R21" s="22"/>
      <c r="S21" s="22">
        <f t="shared" si="6"/>
        <v>436.0984226567482</v>
      </c>
      <c r="T21" s="22">
        <f t="shared" si="7"/>
        <v>543.97742549196937</v>
      </c>
    </row>
    <row r="22" spans="1:20" x14ac:dyDescent="0.2">
      <c r="A22" s="5">
        <v>31</v>
      </c>
      <c r="B22" s="1">
        <f t="shared" si="8"/>
        <v>1.4482981664981105</v>
      </c>
      <c r="C22" s="5">
        <f t="shared" si="9"/>
        <v>29410.372906429177</v>
      </c>
      <c r="D22" s="5">
        <f t="shared" si="0"/>
        <v>28333.163819727703</v>
      </c>
      <c r="E22" s="5">
        <f t="shared" si="1"/>
        <v>18833.163819727703</v>
      </c>
      <c r="F22" s="5">
        <f t="shared" si="2"/>
        <v>6450.7779871410949</v>
      </c>
      <c r="G22" s="5">
        <f t="shared" si="3"/>
        <v>21882.385832586609</v>
      </c>
      <c r="H22" s="22">
        <f t="shared" si="10"/>
        <v>13528.533829356642</v>
      </c>
      <c r="I22" s="5">
        <f t="shared" si="4"/>
        <v>34355.694023253433</v>
      </c>
      <c r="J22" s="26">
        <f t="shared" si="5"/>
        <v>0.1322056415563857</v>
      </c>
      <c r="L22" s="22">
        <f t="shared" si="11"/>
        <v>45067.483217724875</v>
      </c>
      <c r="M22" s="5">
        <f>scrimecost*Meta!O19</f>
        <v>8383.375</v>
      </c>
      <c r="N22" s="5">
        <f>L22-Grade9!L22</f>
        <v>325.14437538709899</v>
      </c>
      <c r="O22" s="5">
        <f>Grade9!M22-M22</f>
        <v>174.20000000000073</v>
      </c>
      <c r="P22" s="22">
        <f t="shared" si="12"/>
        <v>62.560877660654867</v>
      </c>
      <c r="Q22" s="22"/>
      <c r="R22" s="22"/>
      <c r="S22" s="22">
        <f t="shared" si="6"/>
        <v>442.65384119202713</v>
      </c>
      <c r="T22" s="22">
        <f t="shared" si="7"/>
        <v>560.35126421840914</v>
      </c>
    </row>
    <row r="23" spans="1:20" x14ac:dyDescent="0.2">
      <c r="A23" s="5">
        <v>32</v>
      </c>
      <c r="B23" s="1">
        <f t="shared" si="8"/>
        <v>1.4845056206605631</v>
      </c>
      <c r="C23" s="5">
        <f t="shared" si="9"/>
        <v>30145.632229089904</v>
      </c>
      <c r="D23" s="5">
        <f t="shared" si="0"/>
        <v>29011.072915220891</v>
      </c>
      <c r="E23" s="5">
        <f t="shared" si="1"/>
        <v>19511.072915220891</v>
      </c>
      <c r="F23" s="5">
        <f t="shared" si="2"/>
        <v>6672.1153068196209</v>
      </c>
      <c r="G23" s="5">
        <f t="shared" si="3"/>
        <v>22338.95760840127</v>
      </c>
      <c r="H23" s="22">
        <f t="shared" si="10"/>
        <v>13866.747175090555</v>
      </c>
      <c r="I23" s="5">
        <f t="shared" si="4"/>
        <v>35124.098503834764</v>
      </c>
      <c r="J23" s="26">
        <f t="shared" si="5"/>
        <v>0.13443553749382384</v>
      </c>
      <c r="L23" s="22">
        <f t="shared" si="11"/>
        <v>46194.170298167992</v>
      </c>
      <c r="M23" s="5">
        <f>scrimecost*Meta!O20</f>
        <v>8383.375</v>
      </c>
      <c r="N23" s="5">
        <f>L23-Grade9!L23</f>
        <v>333.27298477178556</v>
      </c>
      <c r="O23" s="5">
        <f>Grade9!M23-M23</f>
        <v>174.20000000000073</v>
      </c>
      <c r="P23" s="22">
        <f t="shared" si="12"/>
        <v>63.820690565577287</v>
      </c>
      <c r="Q23" s="22"/>
      <c r="R23" s="22"/>
      <c r="S23" s="22">
        <f t="shared" si="6"/>
        <v>449.37314519069184</v>
      </c>
      <c r="T23" s="22">
        <f t="shared" si="7"/>
        <v>577.30190613478453</v>
      </c>
    </row>
    <row r="24" spans="1:20" x14ac:dyDescent="0.2">
      <c r="A24" s="5">
        <v>33</v>
      </c>
      <c r="B24" s="1">
        <f t="shared" si="8"/>
        <v>1.521618261177077</v>
      </c>
      <c r="C24" s="5">
        <f t="shared" si="9"/>
        <v>30899.273034817146</v>
      </c>
      <c r="D24" s="5">
        <f t="shared" si="0"/>
        <v>29705.929738101411</v>
      </c>
      <c r="E24" s="5">
        <f t="shared" si="1"/>
        <v>20205.929738101411</v>
      </c>
      <c r="F24" s="5">
        <f t="shared" si="2"/>
        <v>6898.9860594901111</v>
      </c>
      <c r="G24" s="5">
        <f t="shared" si="3"/>
        <v>22806.9436786113</v>
      </c>
      <c r="H24" s="22">
        <f t="shared" si="10"/>
        <v>14213.415854467818</v>
      </c>
      <c r="I24" s="5">
        <f t="shared" si="4"/>
        <v>35911.713096430627</v>
      </c>
      <c r="J24" s="26">
        <f t="shared" si="5"/>
        <v>0.13661104572547084</v>
      </c>
      <c r="L24" s="22">
        <f t="shared" si="11"/>
        <v>47349.024555622185</v>
      </c>
      <c r="M24" s="5">
        <f>scrimecost*Meta!O21</f>
        <v>8383.375</v>
      </c>
      <c r="N24" s="5">
        <f>L24-Grade9!L24</f>
        <v>341.60480939107219</v>
      </c>
      <c r="O24" s="5">
        <f>Grade9!M24-M24</f>
        <v>174.20000000000073</v>
      </c>
      <c r="P24" s="22">
        <f t="shared" si="12"/>
        <v>65.11199879312278</v>
      </c>
      <c r="Q24" s="22"/>
      <c r="R24" s="22"/>
      <c r="S24" s="22">
        <f t="shared" si="6"/>
        <v>456.26043178931144</v>
      </c>
      <c r="T24" s="22">
        <f t="shared" si="7"/>
        <v>594.85133537974934</v>
      </c>
    </row>
    <row r="25" spans="1:20" x14ac:dyDescent="0.2">
      <c r="A25" s="5">
        <v>34</v>
      </c>
      <c r="B25" s="1">
        <f t="shared" si="8"/>
        <v>1.559658717706504</v>
      </c>
      <c r="C25" s="5">
        <f t="shared" si="9"/>
        <v>31671.754860687579</v>
      </c>
      <c r="D25" s="5">
        <f t="shared" si="0"/>
        <v>30418.157981553948</v>
      </c>
      <c r="E25" s="5">
        <f t="shared" si="1"/>
        <v>20918.157981553948</v>
      </c>
      <c r="F25" s="5">
        <f t="shared" si="2"/>
        <v>7131.5285809773641</v>
      </c>
      <c r="G25" s="5">
        <f t="shared" si="3"/>
        <v>23286.629400576585</v>
      </c>
      <c r="H25" s="22">
        <f t="shared" si="10"/>
        <v>14568.751250829515</v>
      </c>
      <c r="I25" s="5">
        <f t="shared" si="4"/>
        <v>36719.018053841399</v>
      </c>
      <c r="J25" s="26">
        <f t="shared" si="5"/>
        <v>0.13873349278073616</v>
      </c>
      <c r="L25" s="22">
        <f t="shared" si="11"/>
        <v>48532.750169512743</v>
      </c>
      <c r="M25" s="5">
        <f>scrimecost*Meta!O22</f>
        <v>8383.375</v>
      </c>
      <c r="N25" s="5">
        <f>L25-Grade9!L25</f>
        <v>350.14492962585064</v>
      </c>
      <c r="O25" s="5">
        <f>Grade9!M25-M25</f>
        <v>174.20000000000073</v>
      </c>
      <c r="P25" s="22">
        <f t="shared" si="12"/>
        <v>66.435589726356895</v>
      </c>
      <c r="Q25" s="22"/>
      <c r="R25" s="22"/>
      <c r="S25" s="22">
        <f t="shared" si="6"/>
        <v>463.31990055290322</v>
      </c>
      <c r="T25" s="22">
        <f t="shared" si="7"/>
        <v>613.02240220827719</v>
      </c>
    </row>
    <row r="26" spans="1:20" x14ac:dyDescent="0.2">
      <c r="A26" s="5">
        <v>35</v>
      </c>
      <c r="B26" s="1">
        <f t="shared" si="8"/>
        <v>1.5986501856491666</v>
      </c>
      <c r="C26" s="5">
        <f t="shared" si="9"/>
        <v>32463.548732204763</v>
      </c>
      <c r="D26" s="5">
        <f t="shared" si="0"/>
        <v>31148.191931092791</v>
      </c>
      <c r="E26" s="5">
        <f t="shared" si="1"/>
        <v>21648.191931092791</v>
      </c>
      <c r="F26" s="5">
        <f t="shared" si="2"/>
        <v>7369.8846655017969</v>
      </c>
      <c r="G26" s="5">
        <f t="shared" si="3"/>
        <v>23778.307265590993</v>
      </c>
      <c r="H26" s="22">
        <f t="shared" si="10"/>
        <v>14932.970032100253</v>
      </c>
      <c r="I26" s="5">
        <f t="shared" si="4"/>
        <v>37546.505635187423</v>
      </c>
      <c r="J26" s="26">
        <f t="shared" si="5"/>
        <v>0.14080417283465357</v>
      </c>
      <c r="L26" s="22">
        <f t="shared" si="11"/>
        <v>49746.068923750565</v>
      </c>
      <c r="M26" s="5">
        <f>scrimecost*Meta!O23</f>
        <v>6336.33</v>
      </c>
      <c r="N26" s="5">
        <f>L26-Grade9!L26</f>
        <v>358.89855286649981</v>
      </c>
      <c r="O26" s="5">
        <f>Grade9!M26-M26</f>
        <v>131.66399999999976</v>
      </c>
      <c r="P26" s="22">
        <f t="shared" si="12"/>
        <v>67.792270432921867</v>
      </c>
      <c r="Q26" s="22"/>
      <c r="R26" s="22"/>
      <c r="S26" s="22">
        <f t="shared" si="6"/>
        <v>430.86976803558468</v>
      </c>
      <c r="T26" s="22">
        <f t="shared" si="7"/>
        <v>578.5503644237856</v>
      </c>
    </row>
    <row r="27" spans="1:20" x14ac:dyDescent="0.2">
      <c r="A27" s="5">
        <v>36</v>
      </c>
      <c r="B27" s="1">
        <f t="shared" si="8"/>
        <v>1.6386164402903955</v>
      </c>
      <c r="C27" s="5">
        <f t="shared" si="9"/>
        <v>33275.137450509879</v>
      </c>
      <c r="D27" s="5">
        <f t="shared" si="0"/>
        <v>31896.476729370108</v>
      </c>
      <c r="E27" s="5">
        <f t="shared" si="1"/>
        <v>22396.476729370108</v>
      </c>
      <c r="F27" s="5">
        <f t="shared" si="2"/>
        <v>7614.1996521393403</v>
      </c>
      <c r="G27" s="5">
        <f t="shared" si="3"/>
        <v>24282.277077230767</v>
      </c>
      <c r="H27" s="22">
        <f t="shared" si="10"/>
        <v>15306.294282902756</v>
      </c>
      <c r="I27" s="5">
        <f t="shared" si="4"/>
        <v>38394.680406067113</v>
      </c>
      <c r="J27" s="26">
        <f t="shared" si="5"/>
        <v>0.142824348497012</v>
      </c>
      <c r="L27" s="22">
        <f t="shared" si="11"/>
        <v>50989.720646844318</v>
      </c>
      <c r="M27" s="5">
        <f>scrimecost*Meta!O24</f>
        <v>6336.33</v>
      </c>
      <c r="N27" s="5">
        <f>L27-Grade9!L27</f>
        <v>367.8710166881574</v>
      </c>
      <c r="O27" s="5">
        <f>Grade9!M27-M27</f>
        <v>131.66399999999976</v>
      </c>
      <c r="P27" s="22">
        <f t="shared" si="12"/>
        <v>69.182868157150963</v>
      </c>
      <c r="Q27" s="22"/>
      <c r="R27" s="22"/>
      <c r="S27" s="22">
        <f t="shared" si="6"/>
        <v>438.28662240532879</v>
      </c>
      <c r="T27" s="22">
        <f t="shared" si="7"/>
        <v>597.24582306331604</v>
      </c>
    </row>
    <row r="28" spans="1:20" x14ac:dyDescent="0.2">
      <c r="A28" s="5">
        <v>37</v>
      </c>
      <c r="B28" s="1">
        <f t="shared" si="8"/>
        <v>1.6795818512976552</v>
      </c>
      <c r="C28" s="5">
        <f t="shared" si="9"/>
        <v>34107.015886772628</v>
      </c>
      <c r="D28" s="5">
        <f t="shared" si="0"/>
        <v>32663.468647604364</v>
      </c>
      <c r="E28" s="5">
        <f t="shared" si="1"/>
        <v>23163.468647604364</v>
      </c>
      <c r="F28" s="5">
        <f t="shared" si="2"/>
        <v>7864.622513442825</v>
      </c>
      <c r="G28" s="5">
        <f t="shared" si="3"/>
        <v>24798.84613416154</v>
      </c>
      <c r="H28" s="22">
        <f t="shared" si="10"/>
        <v>15688.951639975325</v>
      </c>
      <c r="I28" s="5">
        <f t="shared" si="4"/>
        <v>39264.059546218792</v>
      </c>
      <c r="J28" s="26">
        <f t="shared" si="5"/>
        <v>0.1447952515822398</v>
      </c>
      <c r="L28" s="22">
        <f t="shared" si="11"/>
        <v>52264.46366301542</v>
      </c>
      <c r="M28" s="5">
        <f>scrimecost*Meta!O25</f>
        <v>6336.33</v>
      </c>
      <c r="N28" s="5">
        <f>L28-Grade9!L28</f>
        <v>377.06779210536479</v>
      </c>
      <c r="O28" s="5">
        <f>Grade9!M28-M28</f>
        <v>131.66399999999976</v>
      </c>
      <c r="P28" s="22">
        <f t="shared" si="12"/>
        <v>70.608230824485801</v>
      </c>
      <c r="Q28" s="22"/>
      <c r="R28" s="22"/>
      <c r="S28" s="22">
        <f t="shared" si="6"/>
        <v>445.88889813432229</v>
      </c>
      <c r="T28" s="22">
        <f t="shared" si="7"/>
        <v>616.62527583021472</v>
      </c>
    </row>
    <row r="29" spans="1:20" x14ac:dyDescent="0.2">
      <c r="A29" s="5">
        <v>38</v>
      </c>
      <c r="B29" s="1">
        <f t="shared" si="8"/>
        <v>1.7215713975800966</v>
      </c>
      <c r="C29" s="5">
        <f t="shared" si="9"/>
        <v>34959.691283941938</v>
      </c>
      <c r="D29" s="5">
        <f t="shared" si="0"/>
        <v>33449.63536379447</v>
      </c>
      <c r="E29" s="5">
        <f t="shared" si="1"/>
        <v>23949.63536379447</v>
      </c>
      <c r="F29" s="5">
        <f t="shared" si="2"/>
        <v>8121.3059462788951</v>
      </c>
      <c r="G29" s="5">
        <f t="shared" si="3"/>
        <v>25328.329417515575</v>
      </c>
      <c r="H29" s="22">
        <f t="shared" si="10"/>
        <v>16081.175430974707</v>
      </c>
      <c r="I29" s="5">
        <f t="shared" si="4"/>
        <v>40155.173164874257</v>
      </c>
      <c r="J29" s="26">
        <f t="shared" si="5"/>
        <v>0.14671808386051077</v>
      </c>
      <c r="L29" s="22">
        <f t="shared" si="11"/>
        <v>53571.075254590811</v>
      </c>
      <c r="M29" s="5">
        <f>scrimecost*Meta!O26</f>
        <v>6336.33</v>
      </c>
      <c r="N29" s="5">
        <f>L29-Grade9!L29</f>
        <v>386.49448690799909</v>
      </c>
      <c r="O29" s="5">
        <f>Grade9!M29-M29</f>
        <v>131.66399999999976</v>
      </c>
      <c r="P29" s="22">
        <f t="shared" si="12"/>
        <v>72.069227558503997</v>
      </c>
      <c r="Q29" s="22"/>
      <c r="R29" s="22"/>
      <c r="S29" s="22">
        <f t="shared" si="6"/>
        <v>453.6812307565383</v>
      </c>
      <c r="T29" s="22">
        <f t="shared" si="7"/>
        <v>636.71522289869813</v>
      </c>
    </row>
    <row r="30" spans="1:20" x14ac:dyDescent="0.2">
      <c r="A30" s="5">
        <v>39</v>
      </c>
      <c r="B30" s="1">
        <f t="shared" si="8"/>
        <v>1.7646106825195991</v>
      </c>
      <c r="C30" s="5">
        <f t="shared" si="9"/>
        <v>35833.68356604049</v>
      </c>
      <c r="D30" s="5">
        <f t="shared" si="0"/>
        <v>34255.456247889335</v>
      </c>
      <c r="E30" s="5">
        <f t="shared" si="1"/>
        <v>24755.456247889335</v>
      </c>
      <c r="F30" s="5">
        <f t="shared" si="2"/>
        <v>8384.4064649358679</v>
      </c>
      <c r="G30" s="5">
        <f t="shared" si="3"/>
        <v>25871.049782953465</v>
      </c>
      <c r="H30" s="22">
        <f t="shared" si="10"/>
        <v>16483.204816749076</v>
      </c>
      <c r="I30" s="5">
        <f t="shared" si="4"/>
        <v>41068.564623996113</v>
      </c>
      <c r="J30" s="26">
        <f t="shared" si="5"/>
        <v>0.14859401779053125</v>
      </c>
      <c r="L30" s="22">
        <f t="shared" si="11"/>
        <v>54910.352135955582</v>
      </c>
      <c r="M30" s="5">
        <f>scrimecost*Meta!O27</f>
        <v>6336.33</v>
      </c>
      <c r="N30" s="5">
        <f>L30-Grade9!L30</f>
        <v>396.15684908070398</v>
      </c>
      <c r="O30" s="5">
        <f>Grade9!M30-M30</f>
        <v>131.66399999999976</v>
      </c>
      <c r="P30" s="22">
        <f t="shared" si="12"/>
        <v>73.566749210872658</v>
      </c>
      <c r="Q30" s="22"/>
      <c r="R30" s="22"/>
      <c r="S30" s="22">
        <f t="shared" si="6"/>
        <v>461.66837169431301</v>
      </c>
      <c r="T30" s="22">
        <f t="shared" si="7"/>
        <v>657.54321522369617</v>
      </c>
    </row>
    <row r="31" spans="1:20" x14ac:dyDescent="0.2">
      <c r="A31" s="5">
        <v>40</v>
      </c>
      <c r="B31" s="1">
        <f t="shared" si="8"/>
        <v>1.8087259495825889</v>
      </c>
      <c r="C31" s="5">
        <f t="shared" si="9"/>
        <v>36729.525655191501</v>
      </c>
      <c r="D31" s="5">
        <f t="shared" si="0"/>
        <v>35081.422654086571</v>
      </c>
      <c r="E31" s="5">
        <f t="shared" si="1"/>
        <v>25581.422654086571</v>
      </c>
      <c r="F31" s="5">
        <f t="shared" si="2"/>
        <v>8654.084496559266</v>
      </c>
      <c r="G31" s="5">
        <f t="shared" si="3"/>
        <v>26427.338157527305</v>
      </c>
      <c r="H31" s="22">
        <f t="shared" si="10"/>
        <v>16895.284937167802</v>
      </c>
      <c r="I31" s="5">
        <f t="shared" si="4"/>
        <v>42004.790869596021</v>
      </c>
      <c r="J31" s="26">
        <f t="shared" si="5"/>
        <v>0.15042419723445369</v>
      </c>
      <c r="L31" s="22">
        <f t="shared" si="11"/>
        <v>56283.110939354461</v>
      </c>
      <c r="M31" s="5">
        <f>scrimecost*Meta!O28</f>
        <v>5660.6549999999997</v>
      </c>
      <c r="N31" s="5">
        <f>L31-Grade9!L31</f>
        <v>406.06077030771849</v>
      </c>
      <c r="O31" s="5">
        <f>Grade9!M31-M31</f>
        <v>117.62400000000071</v>
      </c>
      <c r="P31" s="22">
        <f t="shared" si="12"/>
        <v>75.101708904550534</v>
      </c>
      <c r="Q31" s="22"/>
      <c r="R31" s="22"/>
      <c r="S31" s="22">
        <f t="shared" si="6"/>
        <v>456.75587115552742</v>
      </c>
      <c r="T31" s="22">
        <f t="shared" si="7"/>
        <v>660.20388286649779</v>
      </c>
    </row>
    <row r="32" spans="1:20" x14ac:dyDescent="0.2">
      <c r="A32" s="5">
        <v>41</v>
      </c>
      <c r="B32" s="1">
        <f t="shared" si="8"/>
        <v>1.8539440983221533</v>
      </c>
      <c r="C32" s="5">
        <f t="shared" si="9"/>
        <v>37647.763796571278</v>
      </c>
      <c r="D32" s="5">
        <f t="shared" si="0"/>
        <v>35928.038220438721</v>
      </c>
      <c r="E32" s="5">
        <f t="shared" si="1"/>
        <v>26428.038220438721</v>
      </c>
      <c r="F32" s="5">
        <f t="shared" si="2"/>
        <v>8930.5044789732419</v>
      </c>
      <c r="G32" s="5">
        <f t="shared" si="3"/>
        <v>26997.533741465479</v>
      </c>
      <c r="H32" s="22">
        <f t="shared" si="10"/>
        <v>17317.667060596992</v>
      </c>
      <c r="I32" s="5">
        <f t="shared" si="4"/>
        <v>42964.422771335907</v>
      </c>
      <c r="J32" s="26">
        <f t="shared" si="5"/>
        <v>0.15220973815535355</v>
      </c>
      <c r="L32" s="22">
        <f t="shared" si="11"/>
        <v>57690.188712838317</v>
      </c>
      <c r="M32" s="5">
        <f>scrimecost*Meta!O29</f>
        <v>5660.6549999999997</v>
      </c>
      <c r="N32" s="5">
        <f>L32-Grade9!L32</f>
        <v>416.21228956541017</v>
      </c>
      <c r="O32" s="5">
        <f>Grade9!M32-M32</f>
        <v>117.62400000000071</v>
      </c>
      <c r="P32" s="22">
        <f t="shared" si="12"/>
        <v>76.675042590570328</v>
      </c>
      <c r="Q32" s="22"/>
      <c r="R32" s="22"/>
      <c r="S32" s="22">
        <f t="shared" si="6"/>
        <v>465.14736110327254</v>
      </c>
      <c r="T32" s="22">
        <f t="shared" si="7"/>
        <v>682.31395631038367</v>
      </c>
    </row>
    <row r="33" spans="1:20" x14ac:dyDescent="0.2">
      <c r="A33" s="5">
        <v>42</v>
      </c>
      <c r="B33" s="1">
        <f t="shared" si="8"/>
        <v>1.9002927007802071</v>
      </c>
      <c r="C33" s="5">
        <f t="shared" si="9"/>
        <v>38588.957891485559</v>
      </c>
      <c r="D33" s="5">
        <f t="shared" si="0"/>
        <v>36795.819175949691</v>
      </c>
      <c r="E33" s="5">
        <f t="shared" si="1"/>
        <v>27295.819175949691</v>
      </c>
      <c r="F33" s="5">
        <f t="shared" si="2"/>
        <v>9213.8349609475736</v>
      </c>
      <c r="G33" s="5">
        <f t="shared" si="3"/>
        <v>27581.984215002118</v>
      </c>
      <c r="H33" s="22">
        <f t="shared" si="10"/>
        <v>17750.608737111917</v>
      </c>
      <c r="I33" s="5">
        <f t="shared" si="4"/>
        <v>43948.045470619305</v>
      </c>
      <c r="J33" s="26">
        <f t="shared" si="5"/>
        <v>0.15395172929769493</v>
      </c>
      <c r="L33" s="22">
        <f t="shared" si="11"/>
        <v>59132.443430659274</v>
      </c>
      <c r="M33" s="5">
        <f>scrimecost*Meta!O30</f>
        <v>5660.6549999999997</v>
      </c>
      <c r="N33" s="5">
        <f>L33-Grade9!L33</f>
        <v>426.6175968045427</v>
      </c>
      <c r="O33" s="5">
        <f>Grade9!M33-M33</f>
        <v>117.62400000000071</v>
      </c>
      <c r="P33" s="22">
        <f t="shared" si="12"/>
        <v>78.287709618740649</v>
      </c>
      <c r="Q33" s="22"/>
      <c r="R33" s="22"/>
      <c r="S33" s="22">
        <f t="shared" si="6"/>
        <v>473.74863829971036</v>
      </c>
      <c r="T33" s="22">
        <f t="shared" si="7"/>
        <v>705.2472888090366</v>
      </c>
    </row>
    <row r="34" spans="1:20" x14ac:dyDescent="0.2">
      <c r="A34" s="5">
        <v>43</v>
      </c>
      <c r="B34" s="1">
        <f t="shared" si="8"/>
        <v>1.9478000182997122</v>
      </c>
      <c r="C34" s="5">
        <f t="shared" si="9"/>
        <v>39553.681838772696</v>
      </c>
      <c r="D34" s="5">
        <f t="shared" si="0"/>
        <v>37685.294655348429</v>
      </c>
      <c r="E34" s="5">
        <f t="shared" si="1"/>
        <v>28185.294655348429</v>
      </c>
      <c r="F34" s="5">
        <f t="shared" si="2"/>
        <v>9504.2487049712618</v>
      </c>
      <c r="G34" s="5">
        <f t="shared" si="3"/>
        <v>28181.045950377167</v>
      </c>
      <c r="H34" s="22">
        <f t="shared" si="10"/>
        <v>18194.373955539711</v>
      </c>
      <c r="I34" s="5">
        <f t="shared" si="4"/>
        <v>44956.258737384778</v>
      </c>
      <c r="J34" s="26">
        <f t="shared" si="5"/>
        <v>0.15565123285119872</v>
      </c>
      <c r="L34" s="22">
        <f t="shared" si="11"/>
        <v>60610.754516425754</v>
      </c>
      <c r="M34" s="5">
        <f>scrimecost*Meta!O31</f>
        <v>5660.6549999999997</v>
      </c>
      <c r="N34" s="5">
        <f>L34-Grade9!L34</f>
        <v>437.28303672465699</v>
      </c>
      <c r="O34" s="5">
        <f>Grade9!M34-M34</f>
        <v>117.62400000000071</v>
      </c>
      <c r="P34" s="22">
        <f t="shared" si="12"/>
        <v>79.940693322615218</v>
      </c>
      <c r="Q34" s="22"/>
      <c r="R34" s="22"/>
      <c r="S34" s="22">
        <f t="shared" si="6"/>
        <v>482.56494742606139</v>
      </c>
      <c r="T34" s="22">
        <f t="shared" si="7"/>
        <v>729.03601007552868</v>
      </c>
    </row>
    <row r="35" spans="1:20" x14ac:dyDescent="0.2">
      <c r="A35" s="5">
        <v>44</v>
      </c>
      <c r="B35" s="1">
        <f t="shared" si="8"/>
        <v>1.9964950187572048</v>
      </c>
      <c r="C35" s="5">
        <f t="shared" si="9"/>
        <v>40542.523884742004</v>
      </c>
      <c r="D35" s="5">
        <f t="shared" si="0"/>
        <v>38597.007021732134</v>
      </c>
      <c r="E35" s="5">
        <f t="shared" si="1"/>
        <v>29097.007021732134</v>
      </c>
      <c r="F35" s="5">
        <f t="shared" si="2"/>
        <v>9801.922792595542</v>
      </c>
      <c r="G35" s="5">
        <f t="shared" si="3"/>
        <v>28795.084229136592</v>
      </c>
      <c r="H35" s="22">
        <f t="shared" si="10"/>
        <v>18649.233304428202</v>
      </c>
      <c r="I35" s="5">
        <f t="shared" si="4"/>
        <v>45989.67733581939</v>
      </c>
      <c r="J35" s="26">
        <f t="shared" si="5"/>
        <v>0.15730928509851949</v>
      </c>
      <c r="L35" s="22">
        <f t="shared" si="11"/>
        <v>62126.023379336388</v>
      </c>
      <c r="M35" s="5">
        <f>scrimecost*Meta!O32</f>
        <v>5660.6549999999997</v>
      </c>
      <c r="N35" s="5">
        <f>L35-Grade9!L35</f>
        <v>448.21511264276342</v>
      </c>
      <c r="O35" s="5">
        <f>Grade9!M35-M35</f>
        <v>117.62400000000071</v>
      </c>
      <c r="P35" s="22">
        <f t="shared" si="12"/>
        <v>81.635001619086651</v>
      </c>
      <c r="Q35" s="22"/>
      <c r="R35" s="22"/>
      <c r="S35" s="22">
        <f t="shared" si="6"/>
        <v>491.60166428056391</v>
      </c>
      <c r="T35" s="22">
        <f t="shared" si="7"/>
        <v>753.71352743037312</v>
      </c>
    </row>
    <row r="36" spans="1:20" x14ac:dyDescent="0.2">
      <c r="A36" s="5">
        <v>45</v>
      </c>
      <c r="B36" s="1">
        <f t="shared" si="8"/>
        <v>2.0464073942261352</v>
      </c>
      <c r="C36" s="5">
        <f t="shared" si="9"/>
        <v>41556.086981860564</v>
      </c>
      <c r="D36" s="5">
        <f t="shared" si="0"/>
        <v>39531.512197275442</v>
      </c>
      <c r="E36" s="5">
        <f t="shared" si="1"/>
        <v>30031.512197275442</v>
      </c>
      <c r="F36" s="5">
        <f t="shared" si="2"/>
        <v>10107.038732410432</v>
      </c>
      <c r="G36" s="5">
        <f t="shared" si="3"/>
        <v>29424.473464865012</v>
      </c>
      <c r="H36" s="22">
        <f t="shared" si="10"/>
        <v>19115.464137038911</v>
      </c>
      <c r="I36" s="5">
        <f t="shared" si="4"/>
        <v>47048.931399214889</v>
      </c>
      <c r="J36" s="26">
        <f t="shared" si="5"/>
        <v>0.15892689704712512</v>
      </c>
      <c r="L36" s="22">
        <f t="shared" si="11"/>
        <v>63679.173963819812</v>
      </c>
      <c r="M36" s="5">
        <f>scrimecost*Meta!O33</f>
        <v>4799.7950000000001</v>
      </c>
      <c r="N36" s="5">
        <f>L36-Grade9!L36</f>
        <v>459.42049045886233</v>
      </c>
      <c r="O36" s="5">
        <f>Grade9!M36-M36</f>
        <v>99.735999999999876</v>
      </c>
      <c r="P36" s="22">
        <f t="shared" si="12"/>
        <v>83.371667622969866</v>
      </c>
      <c r="Q36" s="22"/>
      <c r="R36" s="22"/>
      <c r="S36" s="22">
        <f t="shared" si="6"/>
        <v>484.17479505645548</v>
      </c>
      <c r="T36" s="22">
        <f t="shared" si="7"/>
        <v>753.34671746034269</v>
      </c>
    </row>
    <row r="37" spans="1:20" x14ac:dyDescent="0.2">
      <c r="A37" s="5">
        <v>46</v>
      </c>
      <c r="B37" s="1">
        <f t="shared" ref="B37:B56" si="13">(1+experiencepremium)^(A37-startage)</f>
        <v>2.097567579081788</v>
      </c>
      <c r="C37" s="5">
        <f t="shared" ref="C37:C56" si="14">pretaxincome*B37/expnorm</f>
        <v>42594.989156407064</v>
      </c>
      <c r="D37" s="5">
        <f t="shared" ref="D37:D56" si="15">IF(A37&lt;startage,1,0)*(C37*(1-initialunempprob))+IF(A37=startage,1,0)*(C37*(1-unempprob))+IF(A37&gt;startage,1,0)*(C37*(1-unempprob)+unempprob*300*52)</f>
        <v>40489.380002207319</v>
      </c>
      <c r="E37" s="5">
        <f t="shared" si="1"/>
        <v>30989.380002207319</v>
      </c>
      <c r="F37" s="5">
        <f t="shared" si="2"/>
        <v>10419.78257072069</v>
      </c>
      <c r="G37" s="5">
        <f t="shared" si="3"/>
        <v>30069.597431486629</v>
      </c>
      <c r="H37" s="22">
        <f t="shared" ref="H37:H56" si="16">benefits*B37/expnorm</f>
        <v>19593.350740464881</v>
      </c>
      <c r="I37" s="5">
        <f t="shared" ref="I37:I56" si="17">G37+IF(A37&lt;startage,1,0)*(H37*(1-initialunempprob))+IF(A37&gt;=startage,1,0)*(H37*(1-unempprob))</f>
        <v>48134.666814195254</v>
      </c>
      <c r="J37" s="26">
        <f t="shared" si="5"/>
        <v>0.16050505504576476</v>
      </c>
      <c r="L37" s="22">
        <f t="shared" ref="L37:L56" si="18">(sincome+sbenefits)*(1-sunemp)*B37/expnorm</f>
        <v>65271.153312915289</v>
      </c>
      <c r="M37" s="5">
        <f>scrimecost*Meta!O34</f>
        <v>4799.7950000000001</v>
      </c>
      <c r="N37" s="5">
        <f>L37-Grade9!L37</f>
        <v>470.90600272029405</v>
      </c>
      <c r="O37" s="5">
        <f>Grade9!M37-M37</f>
        <v>99.735999999999876</v>
      </c>
      <c r="P37" s="22">
        <f t="shared" si="12"/>
        <v>85.151750276950168</v>
      </c>
      <c r="Q37" s="22"/>
      <c r="R37" s="22"/>
      <c r="S37" s="22">
        <f t="shared" si="6"/>
        <v>493.6689957016975</v>
      </c>
      <c r="T37" s="22">
        <f t="shared" si="7"/>
        <v>779.52192189521099</v>
      </c>
    </row>
    <row r="38" spans="1:20" x14ac:dyDescent="0.2">
      <c r="A38" s="5">
        <v>47</v>
      </c>
      <c r="B38" s="1">
        <f t="shared" si="13"/>
        <v>2.1500067685588333</v>
      </c>
      <c r="C38" s="5">
        <f t="shared" si="14"/>
        <v>43659.86388531726</v>
      </c>
      <c r="D38" s="5">
        <f t="shared" si="15"/>
        <v>41471.194502262515</v>
      </c>
      <c r="E38" s="5">
        <f t="shared" si="1"/>
        <v>31971.194502262515</v>
      </c>
      <c r="F38" s="5">
        <f t="shared" si="2"/>
        <v>10740.345004988711</v>
      </c>
      <c r="G38" s="5">
        <f t="shared" si="3"/>
        <v>30730.849497273804</v>
      </c>
      <c r="H38" s="22">
        <f t="shared" si="16"/>
        <v>20083.184508976508</v>
      </c>
      <c r="I38" s="5">
        <f t="shared" si="17"/>
        <v>49247.545614550145</v>
      </c>
      <c r="J38" s="26">
        <f t="shared" ref="J38:J56" si="19">(F38-(IF(A38&gt;startage,1,0)*(unempprob*300*52)))/(IF(A38&lt;startage,1,0)*((C38+H38)*(1-initialunempprob))+IF(A38&gt;=startage,1,0)*((C38+H38)*(1-unempprob)))</f>
        <v>0.16204472138590095</v>
      </c>
      <c r="L38" s="22">
        <f t="shared" si="18"/>
        <v>66902.932145738188</v>
      </c>
      <c r="M38" s="5">
        <f>scrimecost*Meta!O35</f>
        <v>4799.7950000000001</v>
      </c>
      <c r="N38" s="5">
        <f>L38-Grade9!L38</f>
        <v>482.67865278833779</v>
      </c>
      <c r="O38" s="5">
        <f>Grade9!M38-M38</f>
        <v>99.735999999999876</v>
      </c>
      <c r="P38" s="22">
        <f t="shared" si="12"/>
        <v>86.976334997279992</v>
      </c>
      <c r="Q38" s="22"/>
      <c r="R38" s="22"/>
      <c r="S38" s="22">
        <f t="shared" ref="S38:S69" si="20">IF(A38&lt;startage,1,0)*(N38-Q38-R38)+IF(A38&gt;=startage,1,0)*completionprob*(N38*spart+O38+P38)</f>
        <v>503.40055136312264</v>
      </c>
      <c r="T38" s="22">
        <f t="shared" ref="T38:T69" si="21">S38/sreturn^(A38-startage+1)</f>
        <v>806.68860931274446</v>
      </c>
    </row>
    <row r="39" spans="1:20" x14ac:dyDescent="0.2">
      <c r="A39" s="5">
        <v>48</v>
      </c>
      <c r="B39" s="1">
        <f t="shared" si="13"/>
        <v>2.2037569377728037</v>
      </c>
      <c r="C39" s="5">
        <f t="shared" si="14"/>
        <v>44751.360482450182</v>
      </c>
      <c r="D39" s="5">
        <f t="shared" si="15"/>
        <v>42477.554364819072</v>
      </c>
      <c r="E39" s="5">
        <f t="shared" si="1"/>
        <v>32977.554364819072</v>
      </c>
      <c r="F39" s="5">
        <f t="shared" si="2"/>
        <v>11068.921500113427</v>
      </c>
      <c r="G39" s="5">
        <f t="shared" si="3"/>
        <v>31408.632864705643</v>
      </c>
      <c r="H39" s="22">
        <f t="shared" si="16"/>
        <v>20585.264121700919</v>
      </c>
      <c r="I39" s="5">
        <f t="shared" si="17"/>
        <v>50388.246384913888</v>
      </c>
      <c r="J39" s="26">
        <f t="shared" si="19"/>
        <v>0.16354683488847288</v>
      </c>
      <c r="L39" s="22">
        <f t="shared" si="18"/>
        <v>68575.505449381628</v>
      </c>
      <c r="M39" s="5">
        <f>scrimecost*Meta!O36</f>
        <v>4799.7950000000001</v>
      </c>
      <c r="N39" s="5">
        <f>L39-Grade9!L39</f>
        <v>494.74561910802731</v>
      </c>
      <c r="O39" s="5">
        <f>Grade9!M39-M39</f>
        <v>99.735999999999876</v>
      </c>
      <c r="P39" s="22">
        <f t="shared" ref="P39:P56" si="22">(spart-initialspart)*(L39*J39+nptrans)</f>
        <v>88.846534335618017</v>
      </c>
      <c r="Q39" s="22"/>
      <c r="R39" s="22"/>
      <c r="S39" s="22">
        <f t="shared" si="20"/>
        <v>513.37539591604559</v>
      </c>
      <c r="T39" s="22">
        <f t="shared" si="21"/>
        <v>834.88574511840568</v>
      </c>
    </row>
    <row r="40" spans="1:20" x14ac:dyDescent="0.2">
      <c r="A40" s="5">
        <v>49</v>
      </c>
      <c r="B40" s="1">
        <f t="shared" si="13"/>
        <v>2.2588508612171236</v>
      </c>
      <c r="C40" s="5">
        <f t="shared" si="14"/>
        <v>45870.144494511427</v>
      </c>
      <c r="D40" s="5">
        <f t="shared" si="15"/>
        <v>43509.073223939544</v>
      </c>
      <c r="E40" s="5">
        <f t="shared" si="1"/>
        <v>34009.073223939544</v>
      </c>
      <c r="F40" s="5">
        <f t="shared" si="2"/>
        <v>11405.712407616262</v>
      </c>
      <c r="G40" s="5">
        <f t="shared" si="3"/>
        <v>32103.360816323282</v>
      </c>
      <c r="H40" s="22">
        <f t="shared" si="16"/>
        <v>21099.895724743437</v>
      </c>
      <c r="I40" s="5">
        <f t="shared" si="17"/>
        <v>51557.464674536735</v>
      </c>
      <c r="J40" s="26">
        <f t="shared" si="19"/>
        <v>0.16501231147634796</v>
      </c>
      <c r="L40" s="22">
        <f t="shared" si="18"/>
        <v>70289.893085616161</v>
      </c>
      <c r="M40" s="5">
        <f>scrimecost*Meta!O37</f>
        <v>4799.7950000000001</v>
      </c>
      <c r="N40" s="5">
        <f>L40-Grade9!L40</f>
        <v>507.11425958572363</v>
      </c>
      <c r="O40" s="5">
        <f>Grade9!M40-M40</f>
        <v>99.735999999999876</v>
      </c>
      <c r="P40" s="22">
        <f t="shared" si="22"/>
        <v>90.763488657414541</v>
      </c>
      <c r="Q40" s="22"/>
      <c r="R40" s="22"/>
      <c r="S40" s="22">
        <f t="shared" si="20"/>
        <v>523.59961158280169</v>
      </c>
      <c r="T40" s="22">
        <f t="shared" si="21"/>
        <v>864.15384827559478</v>
      </c>
    </row>
    <row r="41" spans="1:20" x14ac:dyDescent="0.2">
      <c r="A41" s="5">
        <v>50</v>
      </c>
      <c r="B41" s="1">
        <f t="shared" si="13"/>
        <v>2.3153221327475517</v>
      </c>
      <c r="C41" s="5">
        <f t="shared" si="14"/>
        <v>47016.898106874214</v>
      </c>
      <c r="D41" s="5">
        <f t="shared" si="15"/>
        <v>44566.380054538029</v>
      </c>
      <c r="E41" s="5">
        <f t="shared" si="1"/>
        <v>35066.380054538029</v>
      </c>
      <c r="F41" s="5">
        <f t="shared" si="2"/>
        <v>11807.56109326047</v>
      </c>
      <c r="G41" s="5">
        <f t="shared" si="3"/>
        <v>32758.81896127756</v>
      </c>
      <c r="H41" s="22">
        <f t="shared" si="16"/>
        <v>21627.393117862022</v>
      </c>
      <c r="I41" s="5">
        <f t="shared" si="17"/>
        <v>52699.275415946351</v>
      </c>
      <c r="J41" s="26">
        <f t="shared" si="19"/>
        <v>0.16733694081089415</v>
      </c>
      <c r="L41" s="22">
        <f t="shared" si="18"/>
        <v>72047.140412756562</v>
      </c>
      <c r="M41" s="5">
        <f>scrimecost*Meta!O38</f>
        <v>3473.47</v>
      </c>
      <c r="N41" s="5">
        <f>L41-Grade9!L41</f>
        <v>519.79211607537582</v>
      </c>
      <c r="O41" s="5">
        <f>Grade9!M41-M41</f>
        <v>72.175999999999931</v>
      </c>
      <c r="P41" s="22">
        <f t="shared" si="22"/>
        <v>93.050740354218206</v>
      </c>
      <c r="Q41" s="22"/>
      <c r="R41" s="22"/>
      <c r="S41" s="22">
        <f t="shared" si="20"/>
        <v>508.66672713256162</v>
      </c>
      <c r="T41" s="22">
        <f t="shared" si="21"/>
        <v>851.97105561876879</v>
      </c>
    </row>
    <row r="42" spans="1:20" x14ac:dyDescent="0.2">
      <c r="A42" s="5">
        <v>51</v>
      </c>
      <c r="B42" s="1">
        <f t="shared" si="13"/>
        <v>2.3732051860662402</v>
      </c>
      <c r="C42" s="5">
        <f t="shared" si="14"/>
        <v>48192.32055954606</v>
      </c>
      <c r="D42" s="5">
        <f t="shared" si="15"/>
        <v>45650.119555901474</v>
      </c>
      <c r="E42" s="5">
        <f t="shared" si="1"/>
        <v>36150.119555901474</v>
      </c>
      <c r="F42" s="5">
        <f t="shared" si="2"/>
        <v>12269.775990591979</v>
      </c>
      <c r="G42" s="5">
        <f t="shared" si="3"/>
        <v>33380.343565309493</v>
      </c>
      <c r="H42" s="22">
        <f t="shared" si="16"/>
        <v>22168.077945808571</v>
      </c>
      <c r="I42" s="5">
        <f t="shared" si="17"/>
        <v>53819.311431344991</v>
      </c>
      <c r="J42" s="26">
        <f t="shared" si="19"/>
        <v>0.17038054968991806</v>
      </c>
      <c r="L42" s="22">
        <f t="shared" si="18"/>
        <v>73848.31892307548</v>
      </c>
      <c r="M42" s="5">
        <f>scrimecost*Meta!O39</f>
        <v>3473.47</v>
      </c>
      <c r="N42" s="5">
        <f>L42-Grade9!L42</f>
        <v>532.78691897726094</v>
      </c>
      <c r="O42" s="5">
        <f>Grade9!M42-M42</f>
        <v>72.175999999999931</v>
      </c>
      <c r="P42" s="22">
        <f t="shared" si="22"/>
        <v>95.681585858949973</v>
      </c>
      <c r="Q42" s="22"/>
      <c r="R42" s="22"/>
      <c r="S42" s="22">
        <f t="shared" si="20"/>
        <v>519.9840604480288</v>
      </c>
      <c r="T42" s="22">
        <f t="shared" si="21"/>
        <v>883.85556042426299</v>
      </c>
    </row>
    <row r="43" spans="1:20" x14ac:dyDescent="0.2">
      <c r="A43" s="5">
        <v>52</v>
      </c>
      <c r="B43" s="1">
        <f t="shared" si="13"/>
        <v>2.4325353157178964</v>
      </c>
      <c r="C43" s="5">
        <f t="shared" si="14"/>
        <v>49397.128573534719</v>
      </c>
      <c r="D43" s="5">
        <f t="shared" si="15"/>
        <v>46760.952544799016</v>
      </c>
      <c r="E43" s="5">
        <f t="shared" si="1"/>
        <v>37260.952544799016</v>
      </c>
      <c r="F43" s="5">
        <f t="shared" si="2"/>
        <v>12743.546260356781</v>
      </c>
      <c r="G43" s="5">
        <f t="shared" si="3"/>
        <v>34017.406284442237</v>
      </c>
      <c r="H43" s="22">
        <f t="shared" si="16"/>
        <v>22722.279894453786</v>
      </c>
      <c r="I43" s="5">
        <f t="shared" si="17"/>
        <v>54967.348347128631</v>
      </c>
      <c r="J43" s="26">
        <f t="shared" si="19"/>
        <v>0.17334992420603898</v>
      </c>
      <c r="L43" s="22">
        <f t="shared" si="18"/>
        <v>75694.526896152369</v>
      </c>
      <c r="M43" s="5">
        <f>scrimecost*Meta!O40</f>
        <v>3473.47</v>
      </c>
      <c r="N43" s="5">
        <f>L43-Grade9!L43</f>
        <v>546.10659195169865</v>
      </c>
      <c r="O43" s="5">
        <f>Grade9!M43-M43</f>
        <v>72.175999999999931</v>
      </c>
      <c r="P43" s="22">
        <f t="shared" si="22"/>
        <v>98.378202501300052</v>
      </c>
      <c r="Q43" s="22"/>
      <c r="R43" s="22"/>
      <c r="S43" s="22">
        <f t="shared" si="20"/>
        <v>531.58432709638623</v>
      </c>
      <c r="T43" s="22">
        <f t="shared" si="21"/>
        <v>916.98702974276728</v>
      </c>
    </row>
    <row r="44" spans="1:20" x14ac:dyDescent="0.2">
      <c r="A44" s="5">
        <v>53</v>
      </c>
      <c r="B44" s="1">
        <f t="shared" si="13"/>
        <v>2.4933486986108435</v>
      </c>
      <c r="C44" s="5">
        <f t="shared" si="14"/>
        <v>50632.056787873087</v>
      </c>
      <c r="D44" s="5">
        <f t="shared" si="15"/>
        <v>47899.556358418995</v>
      </c>
      <c r="E44" s="5">
        <f t="shared" si="1"/>
        <v>38399.556358418995</v>
      </c>
      <c r="F44" s="5">
        <f t="shared" si="2"/>
        <v>13229.160786865701</v>
      </c>
      <c r="G44" s="5">
        <f t="shared" si="3"/>
        <v>34670.395571553294</v>
      </c>
      <c r="H44" s="22">
        <f t="shared" si="16"/>
        <v>23290.336891815128</v>
      </c>
      <c r="I44" s="5">
        <f t="shared" si="17"/>
        <v>56144.086185806838</v>
      </c>
      <c r="J44" s="26">
        <f t="shared" si="19"/>
        <v>0.17624687495347405</v>
      </c>
      <c r="L44" s="22">
        <f t="shared" si="18"/>
        <v>77586.890068556153</v>
      </c>
      <c r="M44" s="5">
        <f>scrimecost*Meta!O41</f>
        <v>3473.47</v>
      </c>
      <c r="N44" s="5">
        <f>L44-Grade9!L44</f>
        <v>559.7592567504762</v>
      </c>
      <c r="O44" s="5">
        <f>Grade9!M44-M44</f>
        <v>72.175999999999931</v>
      </c>
      <c r="P44" s="22">
        <f t="shared" si="22"/>
        <v>101.14223455970887</v>
      </c>
      <c r="Q44" s="22"/>
      <c r="R44" s="22"/>
      <c r="S44" s="22">
        <f t="shared" si="20"/>
        <v>543.47460041093836</v>
      </c>
      <c r="T44" s="22">
        <f t="shared" si="21"/>
        <v>951.41508759947703</v>
      </c>
    </row>
    <row r="45" spans="1:20" x14ac:dyDescent="0.2">
      <c r="A45" s="5">
        <v>54</v>
      </c>
      <c r="B45" s="1">
        <f t="shared" si="13"/>
        <v>2.555682416076114</v>
      </c>
      <c r="C45" s="5">
        <f t="shared" si="14"/>
        <v>51897.858207569901</v>
      </c>
      <c r="D45" s="5">
        <f t="shared" si="15"/>
        <v>49066.625267379452</v>
      </c>
      <c r="E45" s="5">
        <f t="shared" si="1"/>
        <v>39566.625267379452</v>
      </c>
      <c r="F45" s="5">
        <f t="shared" si="2"/>
        <v>13726.915676537337</v>
      </c>
      <c r="G45" s="5">
        <f t="shared" si="3"/>
        <v>35339.709590842118</v>
      </c>
      <c r="H45" s="22">
        <f t="shared" si="16"/>
        <v>23872.595314110502</v>
      </c>
      <c r="I45" s="5">
        <f t="shared" si="17"/>
        <v>57350.242470452002</v>
      </c>
      <c r="J45" s="26">
        <f t="shared" si="19"/>
        <v>0.17907316836560572</v>
      </c>
      <c r="L45" s="22">
        <f t="shared" si="18"/>
        <v>79526.562320270052</v>
      </c>
      <c r="M45" s="5">
        <f>scrimecost*Meta!O42</f>
        <v>3473.47</v>
      </c>
      <c r="N45" s="5">
        <f>L45-Grade9!L45</f>
        <v>573.75323816922901</v>
      </c>
      <c r="O45" s="5">
        <f>Grade9!M45-M45</f>
        <v>72.175999999999931</v>
      </c>
      <c r="P45" s="22">
        <f t="shared" si="22"/>
        <v>103.97536741957786</v>
      </c>
      <c r="Q45" s="22"/>
      <c r="R45" s="22"/>
      <c r="S45" s="22">
        <f t="shared" si="20"/>
        <v>555.66213055835817</v>
      </c>
      <c r="T45" s="22">
        <f t="shared" si="21"/>
        <v>987.19134592905584</v>
      </c>
    </row>
    <row r="46" spans="1:20" x14ac:dyDescent="0.2">
      <c r="A46" s="5">
        <v>55</v>
      </c>
      <c r="B46" s="1">
        <f t="shared" si="13"/>
        <v>2.6195744764780171</v>
      </c>
      <c r="C46" s="5">
        <f t="shared" si="14"/>
        <v>53195.304662759147</v>
      </c>
      <c r="D46" s="5">
        <f t="shared" si="15"/>
        <v>50262.870899063935</v>
      </c>
      <c r="E46" s="5">
        <f t="shared" si="1"/>
        <v>40762.870899063935</v>
      </c>
      <c r="F46" s="5">
        <f t="shared" si="2"/>
        <v>14237.11443845077</v>
      </c>
      <c r="G46" s="5">
        <f t="shared" si="3"/>
        <v>36025.756460613164</v>
      </c>
      <c r="H46" s="22">
        <f t="shared" si="16"/>
        <v>24469.410196963268</v>
      </c>
      <c r="I46" s="5">
        <f t="shared" si="17"/>
        <v>58586.552662213297</v>
      </c>
      <c r="J46" s="26">
        <f t="shared" si="19"/>
        <v>0.18183052779207573</v>
      </c>
      <c r="L46" s="22">
        <f t="shared" si="18"/>
        <v>81514.726378276799</v>
      </c>
      <c r="M46" s="5">
        <f>scrimecost*Meta!O43</f>
        <v>2077.0749999999998</v>
      </c>
      <c r="N46" s="5">
        <f>L46-Grade9!L46</f>
        <v>588.09706912346883</v>
      </c>
      <c r="O46" s="5">
        <f>Grade9!M46-M46</f>
        <v>43.159999999999854</v>
      </c>
      <c r="P46" s="22">
        <f t="shared" si="22"/>
        <v>106.87932860094364</v>
      </c>
      <c r="Q46" s="22"/>
      <c r="R46" s="22"/>
      <c r="S46" s="22">
        <f t="shared" si="20"/>
        <v>541.08242095947594</v>
      </c>
      <c r="T46" s="22">
        <f t="shared" si="21"/>
        <v>975.55940845060729</v>
      </c>
    </row>
    <row r="47" spans="1:20" x14ac:dyDescent="0.2">
      <c r="A47" s="5">
        <v>56</v>
      </c>
      <c r="B47" s="1">
        <f t="shared" si="13"/>
        <v>2.6850638383899672</v>
      </c>
      <c r="C47" s="5">
        <f t="shared" si="14"/>
        <v>54525.187279328122</v>
      </c>
      <c r="D47" s="5">
        <f t="shared" si="15"/>
        <v>51489.022671540537</v>
      </c>
      <c r="E47" s="5">
        <f t="shared" si="1"/>
        <v>41989.022671540537</v>
      </c>
      <c r="F47" s="5">
        <f t="shared" si="2"/>
        <v>14760.068169412039</v>
      </c>
      <c r="G47" s="5">
        <f t="shared" si="3"/>
        <v>36728.954502128501</v>
      </c>
      <c r="H47" s="22">
        <f t="shared" si="16"/>
        <v>25081.145451887343</v>
      </c>
      <c r="I47" s="5">
        <f t="shared" si="17"/>
        <v>59853.770608768631</v>
      </c>
      <c r="J47" s="26">
        <f t="shared" si="19"/>
        <v>0.18452063454960749</v>
      </c>
      <c r="L47" s="22">
        <f t="shared" si="18"/>
        <v>83552.594537733719</v>
      </c>
      <c r="M47" s="5">
        <f>scrimecost*Meta!O44</f>
        <v>2077.0749999999998</v>
      </c>
      <c r="N47" s="5">
        <f>L47-Grade9!L47</f>
        <v>602.79949585154827</v>
      </c>
      <c r="O47" s="5">
        <f>Grade9!M47-M47</f>
        <v>43.159999999999854</v>
      </c>
      <c r="P47" s="22">
        <f t="shared" si="22"/>
        <v>109.85588881184357</v>
      </c>
      <c r="Q47" s="22"/>
      <c r="R47" s="22"/>
      <c r="S47" s="22">
        <f t="shared" si="20"/>
        <v>553.88694482061044</v>
      </c>
      <c r="T47" s="22">
        <f t="shared" si="21"/>
        <v>1013.4706672670274</v>
      </c>
    </row>
    <row r="48" spans="1:20" x14ac:dyDescent="0.2">
      <c r="A48" s="5">
        <v>57</v>
      </c>
      <c r="B48" s="1">
        <f t="shared" si="13"/>
        <v>2.7521904343497163</v>
      </c>
      <c r="C48" s="5">
        <f t="shared" si="14"/>
        <v>55888.31696131132</v>
      </c>
      <c r="D48" s="5">
        <f t="shared" si="15"/>
        <v>52745.828238329043</v>
      </c>
      <c r="E48" s="5">
        <f t="shared" si="1"/>
        <v>43245.828238329043</v>
      </c>
      <c r="F48" s="5">
        <f t="shared" si="2"/>
        <v>15296.095743647336</v>
      </c>
      <c r="G48" s="5">
        <f t="shared" si="3"/>
        <v>37449.73249468171</v>
      </c>
      <c r="H48" s="22">
        <f t="shared" si="16"/>
        <v>25708.174088184525</v>
      </c>
      <c r="I48" s="5">
        <f t="shared" si="17"/>
        <v>61152.669003987845</v>
      </c>
      <c r="J48" s="26">
        <f t="shared" si="19"/>
        <v>0.18714512894719931</v>
      </c>
      <c r="L48" s="22">
        <f t="shared" si="18"/>
        <v>85641.40940117705</v>
      </c>
      <c r="M48" s="5">
        <f>scrimecost*Meta!O45</f>
        <v>2077.0749999999998</v>
      </c>
      <c r="N48" s="5">
        <f>L48-Grade9!L48</f>
        <v>617.86948324785044</v>
      </c>
      <c r="O48" s="5">
        <f>Grade9!M48-M48</f>
        <v>43.159999999999854</v>
      </c>
      <c r="P48" s="22">
        <f t="shared" si="22"/>
        <v>112.90686302801593</v>
      </c>
      <c r="Q48" s="22"/>
      <c r="R48" s="22"/>
      <c r="S48" s="22">
        <f t="shared" si="20"/>
        <v>567.01158177828745</v>
      </c>
      <c r="T48" s="22">
        <f t="shared" si="21"/>
        <v>1052.8869476844991</v>
      </c>
    </row>
    <row r="49" spans="1:20" x14ac:dyDescent="0.2">
      <c r="A49" s="5">
        <v>58</v>
      </c>
      <c r="B49" s="1">
        <f t="shared" si="13"/>
        <v>2.8209951952084591</v>
      </c>
      <c r="C49" s="5">
        <f t="shared" si="14"/>
        <v>57285.524885344101</v>
      </c>
      <c r="D49" s="5">
        <f t="shared" si="15"/>
        <v>54034.053944287269</v>
      </c>
      <c r="E49" s="5">
        <f t="shared" si="1"/>
        <v>44534.053944287269</v>
      </c>
      <c r="F49" s="5">
        <f t="shared" si="2"/>
        <v>15845.52400723852</v>
      </c>
      <c r="G49" s="5">
        <f t="shared" si="3"/>
        <v>38188.529937048748</v>
      </c>
      <c r="H49" s="22">
        <f t="shared" si="16"/>
        <v>26350.878440389137</v>
      </c>
      <c r="I49" s="5">
        <f t="shared" si="17"/>
        <v>62484.039859087534</v>
      </c>
      <c r="J49" s="26">
        <f t="shared" si="19"/>
        <v>0.18970561128631339</v>
      </c>
      <c r="L49" s="22">
        <f t="shared" si="18"/>
        <v>87782.444636206477</v>
      </c>
      <c r="M49" s="5">
        <f>scrimecost*Meta!O46</f>
        <v>2077.0749999999998</v>
      </c>
      <c r="N49" s="5">
        <f>L49-Grade9!L49</f>
        <v>633.31622032904124</v>
      </c>
      <c r="O49" s="5">
        <f>Grade9!M49-M49</f>
        <v>43.159999999999854</v>
      </c>
      <c r="P49" s="22">
        <f t="shared" si="22"/>
        <v>116.03411159959266</v>
      </c>
      <c r="Q49" s="22"/>
      <c r="R49" s="22"/>
      <c r="S49" s="22">
        <f t="shared" si="20"/>
        <v>580.46433465989355</v>
      </c>
      <c r="T49" s="22">
        <f t="shared" si="21"/>
        <v>1093.8684846372485</v>
      </c>
    </row>
    <row r="50" spans="1:20" x14ac:dyDescent="0.2">
      <c r="A50" s="5">
        <v>59</v>
      </c>
      <c r="B50" s="1">
        <f t="shared" si="13"/>
        <v>2.8915200750886707</v>
      </c>
      <c r="C50" s="5">
        <f t="shared" si="14"/>
        <v>58717.663007477706</v>
      </c>
      <c r="D50" s="5">
        <f t="shared" si="15"/>
        <v>55354.485292894453</v>
      </c>
      <c r="E50" s="5">
        <f t="shared" si="1"/>
        <v>45854.485292894453</v>
      </c>
      <c r="F50" s="5">
        <f t="shared" si="2"/>
        <v>16408.687977419482</v>
      </c>
      <c r="G50" s="5">
        <f t="shared" si="3"/>
        <v>38945.797315474971</v>
      </c>
      <c r="H50" s="22">
        <f t="shared" si="16"/>
        <v>27009.650401398867</v>
      </c>
      <c r="I50" s="5">
        <f t="shared" si="17"/>
        <v>63848.694985564725</v>
      </c>
      <c r="J50" s="26">
        <f t="shared" si="19"/>
        <v>0.19220364283666855</v>
      </c>
      <c r="L50" s="22">
        <f t="shared" si="18"/>
        <v>89977.005752111654</v>
      </c>
      <c r="M50" s="5">
        <f>scrimecost*Meta!O47</f>
        <v>2077.0749999999998</v>
      </c>
      <c r="N50" s="5">
        <f>L50-Grade9!L50</f>
        <v>649.14912583729893</v>
      </c>
      <c r="O50" s="5">
        <f>Grade9!M50-M50</f>
        <v>43.159999999999854</v>
      </c>
      <c r="P50" s="22">
        <f t="shared" si="22"/>
        <v>119.23954138545881</v>
      </c>
      <c r="Q50" s="22"/>
      <c r="R50" s="22"/>
      <c r="S50" s="22">
        <f t="shared" si="20"/>
        <v>594.25340636356509</v>
      </c>
      <c r="T50" s="22">
        <f t="shared" si="21"/>
        <v>1136.4779311560683</v>
      </c>
    </row>
    <row r="51" spans="1:20" x14ac:dyDescent="0.2">
      <c r="A51" s="5">
        <v>60</v>
      </c>
      <c r="B51" s="1">
        <f t="shared" si="13"/>
        <v>2.9638080769658868</v>
      </c>
      <c r="C51" s="5">
        <f t="shared" si="14"/>
        <v>60185.604582664637</v>
      </c>
      <c r="D51" s="5">
        <f t="shared" si="15"/>
        <v>56707.927425216803</v>
      </c>
      <c r="E51" s="5">
        <f t="shared" si="1"/>
        <v>47207.927425216803</v>
      </c>
      <c r="F51" s="5">
        <f t="shared" si="2"/>
        <v>16985.931046854967</v>
      </c>
      <c r="G51" s="5">
        <f t="shared" si="3"/>
        <v>39721.996378361837</v>
      </c>
      <c r="H51" s="22">
        <f t="shared" si="16"/>
        <v>27684.891661433838</v>
      </c>
      <c r="I51" s="5">
        <f t="shared" si="17"/>
        <v>65247.466490203835</v>
      </c>
      <c r="J51" s="26">
        <f t="shared" si="19"/>
        <v>0.19464074678823456</v>
      </c>
      <c r="L51" s="22">
        <f t="shared" si="18"/>
        <v>92226.430895914411</v>
      </c>
      <c r="M51" s="5">
        <f>scrimecost*Meta!O48</f>
        <v>1141.1400000000001</v>
      </c>
      <c r="N51" s="5">
        <f>L51-Grade9!L51</f>
        <v>665.37785398318374</v>
      </c>
      <c r="O51" s="5">
        <f>Grade9!M51-M51</f>
        <v>23.711999999999989</v>
      </c>
      <c r="P51" s="22">
        <f t="shared" si="22"/>
        <v>122.52510691597155</v>
      </c>
      <c r="Q51" s="22"/>
      <c r="R51" s="22"/>
      <c r="S51" s="22">
        <f t="shared" si="20"/>
        <v>590.24222085977442</v>
      </c>
      <c r="T51" s="22">
        <f t="shared" si="21"/>
        <v>1145.5639975080737</v>
      </c>
    </row>
    <row r="52" spans="1:20" x14ac:dyDescent="0.2">
      <c r="A52" s="5">
        <v>61</v>
      </c>
      <c r="B52" s="1">
        <f t="shared" si="13"/>
        <v>3.0379032788900342</v>
      </c>
      <c r="C52" s="5">
        <f t="shared" si="14"/>
        <v>61690.244697231261</v>
      </c>
      <c r="D52" s="5">
        <f t="shared" si="15"/>
        <v>58095.205610847232</v>
      </c>
      <c r="E52" s="5">
        <f t="shared" si="1"/>
        <v>48595.205610847232</v>
      </c>
      <c r="F52" s="5">
        <f t="shared" si="2"/>
        <v>17577.605193026342</v>
      </c>
      <c r="G52" s="5">
        <f t="shared" si="3"/>
        <v>40517.60041782089</v>
      </c>
      <c r="H52" s="22">
        <f t="shared" si="16"/>
        <v>28377.013952969683</v>
      </c>
      <c r="I52" s="5">
        <f t="shared" si="17"/>
        <v>66681.207282458941</v>
      </c>
      <c r="J52" s="26">
        <f t="shared" si="19"/>
        <v>0.19701840918000627</v>
      </c>
      <c r="L52" s="22">
        <f t="shared" si="18"/>
        <v>94532.091668312278</v>
      </c>
      <c r="M52" s="5">
        <f>scrimecost*Meta!O49</f>
        <v>1141.1400000000001</v>
      </c>
      <c r="N52" s="5">
        <f>L52-Grade9!L52</f>
        <v>682.01230033278989</v>
      </c>
      <c r="O52" s="5">
        <f>Grade9!M52-M52</f>
        <v>23.711999999999989</v>
      </c>
      <c r="P52" s="22">
        <f t="shared" si="22"/>
        <v>125.89281158474716</v>
      </c>
      <c r="Q52" s="22"/>
      <c r="R52" s="22"/>
      <c r="S52" s="22">
        <f t="shared" si="20"/>
        <v>604.72936431843948</v>
      </c>
      <c r="T52" s="22">
        <f t="shared" si="21"/>
        <v>1191.1045927567948</v>
      </c>
    </row>
    <row r="53" spans="1:20" x14ac:dyDescent="0.2">
      <c r="A53" s="5">
        <v>62</v>
      </c>
      <c r="B53" s="1">
        <f t="shared" si="13"/>
        <v>3.1138508608622844</v>
      </c>
      <c r="C53" s="5">
        <f t="shared" si="14"/>
        <v>63232.500814662024</v>
      </c>
      <c r="D53" s="5">
        <f t="shared" si="15"/>
        <v>59517.165751118395</v>
      </c>
      <c r="E53" s="5">
        <f t="shared" si="1"/>
        <v>50017.165751118395</v>
      </c>
      <c r="F53" s="5">
        <f t="shared" si="2"/>
        <v>18184.071192851996</v>
      </c>
      <c r="G53" s="5">
        <f t="shared" si="3"/>
        <v>41333.094558266399</v>
      </c>
      <c r="H53" s="22">
        <f t="shared" si="16"/>
        <v>29086.439301793918</v>
      </c>
      <c r="I53" s="5">
        <f t="shared" si="17"/>
        <v>68150.791594520386</v>
      </c>
      <c r="J53" s="26">
        <f t="shared" si="19"/>
        <v>0.19933807980612503</v>
      </c>
      <c r="L53" s="22">
        <f t="shared" si="18"/>
        <v>96895.393960020083</v>
      </c>
      <c r="M53" s="5">
        <f>scrimecost*Meta!O50</f>
        <v>1141.1400000000001</v>
      </c>
      <c r="N53" s="5">
        <f>L53-Grade9!L53</f>
        <v>699.06260784108599</v>
      </c>
      <c r="O53" s="5">
        <f>Grade9!M53-M53</f>
        <v>23.711999999999989</v>
      </c>
      <c r="P53" s="22">
        <f t="shared" si="22"/>
        <v>129.34470887024216</v>
      </c>
      <c r="Q53" s="22"/>
      <c r="R53" s="22"/>
      <c r="S53" s="22">
        <f t="shared" si="20"/>
        <v>619.57868636353703</v>
      </c>
      <c r="T53" s="22">
        <f t="shared" si="21"/>
        <v>1238.4687958682557</v>
      </c>
    </row>
    <row r="54" spans="1:20" x14ac:dyDescent="0.2">
      <c r="A54" s="5">
        <v>63</v>
      </c>
      <c r="B54" s="1">
        <f t="shared" si="13"/>
        <v>3.1916971323838421</v>
      </c>
      <c r="C54" s="5">
        <f t="shared" si="14"/>
        <v>64813.313335028593</v>
      </c>
      <c r="D54" s="5">
        <f t="shared" si="15"/>
        <v>60974.674894896372</v>
      </c>
      <c r="E54" s="5">
        <f t="shared" si="1"/>
        <v>51474.674894896372</v>
      </c>
      <c r="F54" s="5">
        <f t="shared" si="2"/>
        <v>18805.698842673304</v>
      </c>
      <c r="G54" s="5">
        <f t="shared" si="3"/>
        <v>42168.976052223064</v>
      </c>
      <c r="H54" s="22">
        <f t="shared" si="16"/>
        <v>29813.600284338772</v>
      </c>
      <c r="I54" s="5">
        <f t="shared" si="17"/>
        <v>69657.115514383418</v>
      </c>
      <c r="J54" s="26">
        <f t="shared" si="19"/>
        <v>0.20160117309989947</v>
      </c>
      <c r="L54" s="22">
        <f t="shared" si="18"/>
        <v>99317.778809020587</v>
      </c>
      <c r="M54" s="5">
        <f>scrimecost*Meta!O51</f>
        <v>1141.1400000000001</v>
      </c>
      <c r="N54" s="5">
        <f>L54-Grade9!L54</f>
        <v>716.53917303711933</v>
      </c>
      <c r="O54" s="5">
        <f>Grade9!M54-M54</f>
        <v>23.711999999999989</v>
      </c>
      <c r="P54" s="22">
        <f t="shared" si="22"/>
        <v>132.88290358787455</v>
      </c>
      <c r="Q54" s="22"/>
      <c r="R54" s="22"/>
      <c r="S54" s="22">
        <f t="shared" si="20"/>
        <v>634.79924145978214</v>
      </c>
      <c r="T54" s="22">
        <f t="shared" si="21"/>
        <v>1287.7298287384021</v>
      </c>
    </row>
    <row r="55" spans="1:20" x14ac:dyDescent="0.2">
      <c r="A55" s="5">
        <v>64</v>
      </c>
      <c r="B55" s="1">
        <f t="shared" si="13"/>
        <v>3.2714895606934378</v>
      </c>
      <c r="C55" s="5">
        <f t="shared" si="14"/>
        <v>66433.646168404288</v>
      </c>
      <c r="D55" s="5">
        <f t="shared" si="15"/>
        <v>62468.621767268756</v>
      </c>
      <c r="E55" s="5">
        <f t="shared" si="1"/>
        <v>52968.621767268756</v>
      </c>
      <c r="F55" s="5">
        <f t="shared" si="2"/>
        <v>19442.867183740127</v>
      </c>
      <c r="G55" s="5">
        <f t="shared" si="3"/>
        <v>43025.754583528629</v>
      </c>
      <c r="H55" s="22">
        <f t="shared" si="16"/>
        <v>30558.940291447238</v>
      </c>
      <c r="I55" s="5">
        <f t="shared" si="17"/>
        <v>71201.097532242988</v>
      </c>
      <c r="J55" s="26">
        <f t="shared" si="19"/>
        <v>0.20380906899626466</v>
      </c>
      <c r="L55" s="22">
        <f t="shared" si="18"/>
        <v>101800.7232792461</v>
      </c>
      <c r="M55" s="5">
        <f>scrimecost*Meta!O52</f>
        <v>1141.1400000000001</v>
      </c>
      <c r="N55" s="5">
        <f>L55-Grade9!L55</f>
        <v>734.4526523630775</v>
      </c>
      <c r="O55" s="5">
        <f>Grade9!M55-M55</f>
        <v>23.711999999999989</v>
      </c>
      <c r="P55" s="22">
        <f t="shared" si="22"/>
        <v>136.5095531734477</v>
      </c>
      <c r="Q55" s="22"/>
      <c r="R55" s="22"/>
      <c r="S55" s="22">
        <f t="shared" si="20"/>
        <v>650.40031043344982</v>
      </c>
      <c r="T55" s="22">
        <f t="shared" si="21"/>
        <v>1338.9638562383886</v>
      </c>
    </row>
    <row r="56" spans="1:20" x14ac:dyDescent="0.2">
      <c r="A56" s="5">
        <v>65</v>
      </c>
      <c r="B56" s="1">
        <f t="shared" si="13"/>
        <v>3.3532767997107733</v>
      </c>
      <c r="C56" s="5">
        <f t="shared" si="14"/>
        <v>68094.487322614397</v>
      </c>
      <c r="D56" s="5">
        <f t="shared" si="15"/>
        <v>63999.917311450481</v>
      </c>
      <c r="E56" s="5">
        <f t="shared" si="1"/>
        <v>54499.917311450481</v>
      </c>
      <c r="F56" s="5">
        <f t="shared" si="2"/>
        <v>20095.964733333629</v>
      </c>
      <c r="G56" s="5">
        <f t="shared" si="3"/>
        <v>43903.952578116849</v>
      </c>
      <c r="H56" s="22">
        <f t="shared" si="16"/>
        <v>31322.913798733414</v>
      </c>
      <c r="I56" s="5">
        <f t="shared" si="17"/>
        <v>72783.679100549052</v>
      </c>
      <c r="J56" s="26">
        <f t="shared" si="19"/>
        <v>0.20596311377320639</v>
      </c>
      <c r="L56" s="22">
        <f t="shared" si="18"/>
        <v>104345.74136122724</v>
      </c>
      <c r="M56" s="5">
        <f>scrimecost*Meta!O53</f>
        <v>360.35999999999996</v>
      </c>
      <c r="N56" s="5">
        <f>L56-Grade9!L56</f>
        <v>752.81396867212607</v>
      </c>
      <c r="O56" s="5">
        <f>Grade9!M56-M56</f>
        <v>7.4879999999999995</v>
      </c>
      <c r="P56" s="22">
        <f t="shared" si="22"/>
        <v>140.22686899866019</v>
      </c>
      <c r="Q56" s="22"/>
      <c r="R56" s="22"/>
      <c r="S56" s="22">
        <f t="shared" si="20"/>
        <v>651.25441413141925</v>
      </c>
      <c r="T56" s="22">
        <f t="shared" si="21"/>
        <v>1360.6253289234871</v>
      </c>
    </row>
    <row r="57" spans="1:20" x14ac:dyDescent="0.2">
      <c r="A57" s="5">
        <v>66</v>
      </c>
      <c r="C57" s="5"/>
      <c r="H57" s="21"/>
      <c r="I57" s="5"/>
      <c r="M57" s="5">
        <f>scrimecost*Meta!O54</f>
        <v>360.35999999999996</v>
      </c>
      <c r="N57" s="5">
        <f>L57-Grade9!L57</f>
        <v>0</v>
      </c>
      <c r="O57" s="5">
        <f>Grade9!M57-M57</f>
        <v>7.4879999999999995</v>
      </c>
      <c r="Q57" s="22"/>
      <c r="R57" s="22"/>
      <c r="S57" s="22">
        <f t="shared" si="20"/>
        <v>6.9863039999999996</v>
      </c>
      <c r="T57" s="22">
        <f t="shared" si="21"/>
        <v>14.812730054010698</v>
      </c>
    </row>
    <row r="58" spans="1:20" x14ac:dyDescent="0.2">
      <c r="A58" s="5">
        <v>67</v>
      </c>
      <c r="C58" s="5"/>
      <c r="H58" s="21"/>
      <c r="I58" s="5"/>
      <c r="M58" s="5">
        <f>scrimecost*Meta!O55</f>
        <v>360.35999999999996</v>
      </c>
      <c r="N58" s="5">
        <f>L58-Grade9!L58</f>
        <v>0</v>
      </c>
      <c r="O58" s="5">
        <f>Grade9!M58-M58</f>
        <v>7.4879999999999995</v>
      </c>
      <c r="Q58" s="22"/>
      <c r="R58" s="22"/>
      <c r="S58" s="22">
        <f t="shared" si="20"/>
        <v>6.9863039999999996</v>
      </c>
      <c r="T58" s="22">
        <f t="shared" si="21"/>
        <v>15.03262645348055</v>
      </c>
    </row>
    <row r="59" spans="1:20" x14ac:dyDescent="0.2">
      <c r="A59" s="5">
        <v>68</v>
      </c>
      <c r="H59" s="21"/>
      <c r="I59" s="5"/>
      <c r="M59" s="5">
        <f>scrimecost*Meta!O56</f>
        <v>360.35999999999996</v>
      </c>
      <c r="N59" s="5">
        <f>L59-Grade9!L59</f>
        <v>0</v>
      </c>
      <c r="O59" s="5">
        <f>Grade9!M59-M59</f>
        <v>7.4879999999999995</v>
      </c>
      <c r="Q59" s="22"/>
      <c r="R59" s="22"/>
      <c r="S59" s="22">
        <f t="shared" si="20"/>
        <v>6.9863039999999996</v>
      </c>
      <c r="T59" s="22">
        <f t="shared" si="21"/>
        <v>15.255787236107558</v>
      </c>
    </row>
    <row r="60" spans="1:20" x14ac:dyDescent="0.2">
      <c r="A60" s="5">
        <v>69</v>
      </c>
      <c r="H60" s="21"/>
      <c r="I60" s="5"/>
      <c r="M60" s="5">
        <f>scrimecost*Meta!O57</f>
        <v>360.35999999999996</v>
      </c>
      <c r="N60" s="5">
        <f>L60-Grade9!L60</f>
        <v>0</v>
      </c>
      <c r="O60" s="5">
        <f>Grade9!M60-M60</f>
        <v>7.4879999999999995</v>
      </c>
      <c r="Q60" s="22"/>
      <c r="R60" s="22"/>
      <c r="S60" s="22">
        <f t="shared" si="20"/>
        <v>6.9863039999999996</v>
      </c>
      <c r="T60" s="22">
        <f t="shared" si="21"/>
        <v>15.482260861973025</v>
      </c>
    </row>
    <row r="61" spans="1:20" x14ac:dyDescent="0.2">
      <c r="A61" s="5">
        <v>70</v>
      </c>
      <c r="H61" s="21"/>
      <c r="I61" s="5"/>
      <c r="M61" s="5">
        <f>scrimecost*Meta!O58</f>
        <v>360.35999999999996</v>
      </c>
      <c r="N61" s="5">
        <f>L61-Grade9!L61</f>
        <v>0</v>
      </c>
      <c r="O61" s="5">
        <f>Grade9!M61-M61</f>
        <v>7.4879999999999995</v>
      </c>
      <c r="Q61" s="22"/>
      <c r="R61" s="22"/>
      <c r="S61" s="22">
        <f t="shared" si="20"/>
        <v>6.9863039999999996</v>
      </c>
      <c r="T61" s="22">
        <f t="shared" si="21"/>
        <v>15.71209651055281</v>
      </c>
    </row>
    <row r="62" spans="1:20" x14ac:dyDescent="0.2">
      <c r="A62" s="5">
        <v>71</v>
      </c>
      <c r="H62" s="21"/>
      <c r="I62" s="5"/>
      <c r="M62" s="5">
        <f>scrimecost*Meta!O59</f>
        <v>360.35999999999996</v>
      </c>
      <c r="N62" s="5">
        <f>L62-Grade9!L62</f>
        <v>0</v>
      </c>
      <c r="O62" s="5">
        <f>Grade9!M62-M62</f>
        <v>7.4879999999999995</v>
      </c>
      <c r="Q62" s="22"/>
      <c r="R62" s="22"/>
      <c r="S62" s="22">
        <f t="shared" si="20"/>
        <v>6.9863039999999996</v>
      </c>
      <c r="T62" s="22">
        <f t="shared" si="21"/>
        <v>15.945344091396825</v>
      </c>
    </row>
    <row r="63" spans="1:20" x14ac:dyDescent="0.2">
      <c r="A63" s="5">
        <v>72</v>
      </c>
      <c r="H63" s="21"/>
      <c r="M63" s="5">
        <f>scrimecost*Meta!O60</f>
        <v>360.35999999999996</v>
      </c>
      <c r="N63" s="5">
        <f>L63-Grade9!L63</f>
        <v>0</v>
      </c>
      <c r="O63" s="5">
        <f>Grade9!M63-M63</f>
        <v>7.4879999999999995</v>
      </c>
      <c r="Q63" s="22"/>
      <c r="R63" s="22"/>
      <c r="S63" s="22">
        <f t="shared" si="20"/>
        <v>6.9863039999999996</v>
      </c>
      <c r="T63" s="22">
        <f t="shared" si="21"/>
        <v>16.182054254967021</v>
      </c>
    </row>
    <row r="64" spans="1:20" x14ac:dyDescent="0.2">
      <c r="A64" s="5">
        <v>73</v>
      </c>
      <c r="H64" s="21"/>
      <c r="M64" s="5">
        <f>scrimecost*Meta!O61</f>
        <v>360.35999999999996</v>
      </c>
      <c r="N64" s="5">
        <f>L64-Grade9!L64</f>
        <v>0</v>
      </c>
      <c r="O64" s="5">
        <f>Grade9!M64-M64</f>
        <v>7.4879999999999995</v>
      </c>
      <c r="Q64" s="22"/>
      <c r="R64" s="22"/>
      <c r="S64" s="22">
        <f t="shared" si="20"/>
        <v>6.9863039999999996</v>
      </c>
      <c r="T64" s="22">
        <f t="shared" si="21"/>
        <v>16.422278403636334</v>
      </c>
    </row>
    <row r="65" spans="1:20" x14ac:dyDescent="0.2">
      <c r="A65" s="5">
        <v>74</v>
      </c>
      <c r="H65" s="21"/>
      <c r="M65" s="5">
        <f>scrimecost*Meta!O62</f>
        <v>360.35999999999996</v>
      </c>
      <c r="N65" s="5">
        <f>L65-Grade9!L65</f>
        <v>0</v>
      </c>
      <c r="O65" s="5">
        <f>Grade9!M65-M65</f>
        <v>7.4879999999999995</v>
      </c>
      <c r="Q65" s="22"/>
      <c r="R65" s="22"/>
      <c r="S65" s="22">
        <f t="shared" si="20"/>
        <v>6.9863039999999996</v>
      </c>
      <c r="T65" s="22">
        <f t="shared" si="21"/>
        <v>16.666068702850851</v>
      </c>
    </row>
    <row r="66" spans="1:20" x14ac:dyDescent="0.2">
      <c r="A66" s="5">
        <v>75</v>
      </c>
      <c r="H66" s="21"/>
      <c r="M66" s="5">
        <f>scrimecost*Meta!O63</f>
        <v>360.35999999999996</v>
      </c>
      <c r="N66" s="5">
        <f>L66-Grade9!L66</f>
        <v>0</v>
      </c>
      <c r="O66" s="5">
        <f>Grade9!M66-M66</f>
        <v>7.4879999999999995</v>
      </c>
      <c r="Q66" s="22"/>
      <c r="R66" s="22"/>
      <c r="S66" s="22">
        <f t="shared" si="20"/>
        <v>6.9863039999999996</v>
      </c>
      <c r="T66" s="22">
        <f t="shared" si="21"/>
        <v>16.913478092457719</v>
      </c>
    </row>
    <row r="67" spans="1:20" x14ac:dyDescent="0.2">
      <c r="A67" s="5">
        <v>76</v>
      </c>
      <c r="H67" s="21"/>
      <c r="M67" s="5">
        <f>scrimecost*Meta!O64</f>
        <v>360.35999999999996</v>
      </c>
      <c r="N67" s="5">
        <f>L67-Grade9!L67</f>
        <v>0</v>
      </c>
      <c r="O67" s="5">
        <f>Grade9!M67-M67</f>
        <v>7.4879999999999995</v>
      </c>
      <c r="Q67" s="22"/>
      <c r="R67" s="22"/>
      <c r="S67" s="22">
        <f t="shared" si="20"/>
        <v>6.9863039999999996</v>
      </c>
      <c r="T67" s="22">
        <f t="shared" si="21"/>
        <v>17.164560298201195</v>
      </c>
    </row>
    <row r="68" spans="1:20" x14ac:dyDescent="0.2">
      <c r="A68" s="5">
        <v>77</v>
      </c>
      <c r="H68" s="21"/>
      <c r="M68" s="5">
        <f>scrimecost*Meta!O65</f>
        <v>360.35999999999996</v>
      </c>
      <c r="N68" s="5">
        <f>L68-Grade9!L68</f>
        <v>0</v>
      </c>
      <c r="O68" s="5">
        <f>Grade9!M68-M68</f>
        <v>7.4879999999999995</v>
      </c>
      <c r="Q68" s="22"/>
      <c r="R68" s="22"/>
      <c r="S68" s="22">
        <f t="shared" si="20"/>
        <v>6.9863039999999996</v>
      </c>
      <c r="T68" s="22">
        <f t="shared" si="21"/>
        <v>17.419369843389365</v>
      </c>
    </row>
    <row r="69" spans="1:20" x14ac:dyDescent="0.2">
      <c r="A69" s="5">
        <v>78</v>
      </c>
      <c r="H69" s="21"/>
      <c r="M69" s="5">
        <f>scrimecost*Meta!O66</f>
        <v>360.35999999999996</v>
      </c>
      <c r="N69" s="5">
        <f>L69-Grade9!L69</f>
        <v>0</v>
      </c>
      <c r="O69" s="5">
        <f>Grade9!M69-M69</f>
        <v>7.4879999999999995</v>
      </c>
      <c r="Q69" s="22"/>
      <c r="R69" s="22"/>
      <c r="S69" s="22">
        <f t="shared" si="20"/>
        <v>6.9863039999999996</v>
      </c>
      <c r="T69" s="22">
        <f t="shared" si="21"/>
        <v>17.67796206073406</v>
      </c>
    </row>
    <row r="70" spans="1:20" x14ac:dyDescent="0.2">
      <c r="A70" s="5">
        <v>79</v>
      </c>
      <c r="H70" s="21"/>
      <c r="M70" s="5"/>
      <c r="Q70" s="22"/>
      <c r="R70" s="22"/>
      <c r="S70" s="22">
        <f>SUM(T5:T69)</f>
        <v>1.5328183167184761E-10</v>
      </c>
    </row>
    <row r="71" spans="1:20" x14ac:dyDescent="0.2">
      <c r="A71" s="5">
        <v>80</v>
      </c>
      <c r="H71" s="21"/>
      <c r="M71" s="5"/>
      <c r="Q71" s="22"/>
      <c r="R71" s="22"/>
    </row>
    <row r="72" spans="1:20" x14ac:dyDescent="0.2">
      <c r="A72" s="5">
        <v>81</v>
      </c>
      <c r="H72" s="21"/>
      <c r="M72" s="5"/>
      <c r="Q72" s="22"/>
      <c r="R72" s="22"/>
    </row>
    <row r="73" spans="1:20" x14ac:dyDescent="0.2">
      <c r="A73" s="5">
        <v>82</v>
      </c>
      <c r="H73" s="21"/>
      <c r="M73" s="5"/>
    </row>
    <row r="74" spans="1:20" x14ac:dyDescent="0.2">
      <c r="A74" s="5">
        <v>83</v>
      </c>
      <c r="H74" s="21"/>
      <c r="M74" s="5"/>
    </row>
    <row r="75" spans="1:20" x14ac:dyDescent="0.2">
      <c r="A75" s="5">
        <v>84</v>
      </c>
      <c r="H75" s="21"/>
      <c r="M75" s="5"/>
    </row>
    <row r="76" spans="1:20" x14ac:dyDescent="0.2">
      <c r="A76" s="5">
        <v>85</v>
      </c>
      <c r="H76" s="21"/>
    </row>
    <row r="77" spans="1:20" x14ac:dyDescent="0.2">
      <c r="A77" s="5">
        <v>86</v>
      </c>
      <c r="H77" s="21"/>
    </row>
    <row r="78" spans="1:20" x14ac:dyDescent="0.2">
      <c r="A78" s="5">
        <v>87</v>
      </c>
      <c r="H78" s="21"/>
    </row>
    <row r="79" spans="1:20" x14ac:dyDescent="0.2">
      <c r="A79" s="5">
        <v>88</v>
      </c>
      <c r="H79" s="21"/>
    </row>
    <row r="80" spans="1:20" x14ac:dyDescent="0.2">
      <c r="A80" s="5">
        <v>89</v>
      </c>
      <c r="H80" s="21"/>
    </row>
    <row r="81" spans="1:8" x14ac:dyDescent="0.2">
      <c r="A81" s="5">
        <v>90</v>
      </c>
      <c r="H81" s="21"/>
    </row>
  </sheetData>
  <pageMargins left="0.75" right="0.75" top="1" bottom="1" header="0.5" footer="0.5"/>
  <pageSetup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1"/>
  <sheetViews>
    <sheetView workbookViewId="0">
      <selection activeCell="P8" sqref="P8"/>
    </sheetView>
  </sheetViews>
  <sheetFormatPr defaultRowHeight="12.75" x14ac:dyDescent="0.2"/>
  <cols>
    <col min="1" max="1" width="13.7109375" style="5" customWidth="1"/>
    <col min="2" max="7" width="13.7109375" style="1" customWidth="1"/>
    <col min="8" max="8" width="9.5703125" style="1" customWidth="1"/>
    <col min="9" max="9" width="9.140625" style="1"/>
    <col min="10" max="11" width="9.28515625" style="1" customWidth="1"/>
    <col min="12" max="12" width="9.140625" style="1"/>
    <col min="13" max="13" width="9.5703125" style="1" customWidth="1"/>
    <col min="14" max="14" width="9.28515625" style="1" customWidth="1"/>
    <col min="15" max="17" width="9.140625" style="1"/>
    <col min="18" max="18" width="9.5703125" style="1" bestFit="1" customWidth="1"/>
    <col min="19" max="19" width="10.140625" style="1" bestFit="1" customWidth="1"/>
    <col min="20" max="16384" width="9.140625" style="1"/>
  </cols>
  <sheetData>
    <row r="1" spans="1:20" x14ac:dyDescent="0.2">
      <c r="B1" s="1" t="s">
        <v>11</v>
      </c>
      <c r="C1" s="27" t="s">
        <v>35</v>
      </c>
      <c r="D1" s="27" t="s">
        <v>36</v>
      </c>
      <c r="E1" s="6" t="s">
        <v>9</v>
      </c>
      <c r="F1" s="6" t="s">
        <v>49</v>
      </c>
      <c r="G1" s="1" t="s">
        <v>4</v>
      </c>
      <c r="H1" s="1" t="s">
        <v>8</v>
      </c>
      <c r="J1" s="1" t="s">
        <v>56</v>
      </c>
      <c r="K1" s="1" t="s">
        <v>20</v>
      </c>
      <c r="N1" s="1" t="s">
        <v>43</v>
      </c>
      <c r="O1" s="1" t="s">
        <v>44</v>
      </c>
      <c r="P1" s="1" t="s">
        <v>45</v>
      </c>
      <c r="Q1" s="1" t="s">
        <v>46</v>
      </c>
      <c r="R1" s="1" t="s">
        <v>53</v>
      </c>
      <c r="T1" s="12" t="s">
        <v>57</v>
      </c>
    </row>
    <row r="2" spans="1:20" x14ac:dyDescent="0.2">
      <c r="B2" s="5">
        <f>Meta!A5+6</f>
        <v>17</v>
      </c>
      <c r="C2" s="7">
        <f>Meta!B5</f>
        <v>41017</v>
      </c>
      <c r="D2" s="7">
        <f>Meta!C5</f>
        <v>18868</v>
      </c>
      <c r="E2" s="1">
        <f>Meta!D5</f>
        <v>7.4999999999999997E-2</v>
      </c>
      <c r="F2" s="1">
        <f>Meta!F5</f>
        <v>0.70299999999999996</v>
      </c>
      <c r="G2" s="1">
        <f>Meta!I5</f>
        <v>1.9210422854781857</v>
      </c>
      <c r="H2" s="1">
        <f>Meta!E5</f>
        <v>0.93300000000000005</v>
      </c>
      <c r="I2" s="13"/>
      <c r="J2" s="1">
        <f>Meta!X4</f>
        <v>0.73099999999999998</v>
      </c>
      <c r="K2" s="1">
        <f>Meta!D4</f>
        <v>7.8E-2</v>
      </c>
      <c r="L2" s="29"/>
      <c r="N2" s="22">
        <f>Meta!T5</f>
        <v>45306</v>
      </c>
      <c r="O2" s="22">
        <f>Meta!U5</f>
        <v>20841</v>
      </c>
      <c r="P2" s="1">
        <f>Meta!V5</f>
        <v>6.7000000000000004E-2</v>
      </c>
      <c r="Q2" s="1">
        <f>Meta!X5</f>
        <v>0.73699999999999999</v>
      </c>
      <c r="R2" s="22">
        <f>Meta!W5</f>
        <v>4903</v>
      </c>
      <c r="T2" s="12">
        <f>IRR(S5:S69)+1</f>
        <v>0.98495920767166123</v>
      </c>
    </row>
    <row r="3" spans="1:20" ht="14.25" x14ac:dyDescent="0.2">
      <c r="C3" s="3"/>
      <c r="G3" s="4"/>
      <c r="L3" s="1" t="s">
        <v>10</v>
      </c>
    </row>
    <row r="4" spans="1:20" x14ac:dyDescent="0.2">
      <c r="A4" s="7" t="s">
        <v>0</v>
      </c>
      <c r="B4" s="2" t="s">
        <v>1</v>
      </c>
      <c r="C4" s="1" t="s">
        <v>37</v>
      </c>
      <c r="D4" s="1" t="s">
        <v>2</v>
      </c>
      <c r="E4" t="s">
        <v>12</v>
      </c>
      <c r="F4" t="s">
        <v>19</v>
      </c>
      <c r="G4" t="s">
        <v>18</v>
      </c>
      <c r="H4" t="s">
        <v>38</v>
      </c>
      <c r="I4" t="s">
        <v>6</v>
      </c>
      <c r="J4" s="1" t="s">
        <v>47</v>
      </c>
      <c r="L4" s="1" t="s">
        <v>48</v>
      </c>
      <c r="M4" s="1" t="s">
        <v>54</v>
      </c>
      <c r="N4" s="1" t="s">
        <v>59</v>
      </c>
      <c r="O4" s="1" t="s">
        <v>58</v>
      </c>
      <c r="P4" s="1" t="s">
        <v>55</v>
      </c>
      <c r="Q4" s="1" t="s">
        <v>17</v>
      </c>
      <c r="R4" s="1" t="s">
        <v>7</v>
      </c>
      <c r="S4" s="5" t="s">
        <v>14</v>
      </c>
      <c r="T4" s="5" t="s">
        <v>15</v>
      </c>
    </row>
    <row r="5" spans="1:20" x14ac:dyDescent="0.2">
      <c r="A5" s="5">
        <v>14</v>
      </c>
      <c r="C5" s="5"/>
      <c r="D5" s="5"/>
      <c r="E5" s="5"/>
      <c r="F5" s="5"/>
      <c r="G5" s="5"/>
      <c r="H5" s="22"/>
      <c r="I5" s="5"/>
      <c r="J5" s="26"/>
      <c r="L5" s="22"/>
      <c r="M5" s="5"/>
      <c r="N5" s="5"/>
      <c r="O5" s="5"/>
      <c r="P5" s="22"/>
      <c r="Q5" s="22"/>
      <c r="R5" s="22"/>
      <c r="S5" s="22"/>
      <c r="T5" s="22"/>
    </row>
    <row r="6" spans="1:20" x14ac:dyDescent="0.2">
      <c r="A6" s="5">
        <v>15</v>
      </c>
      <c r="C6" s="5"/>
      <c r="D6" s="5"/>
      <c r="E6" s="5"/>
      <c r="F6" s="5"/>
      <c r="G6" s="5"/>
      <c r="H6" s="22"/>
      <c r="I6" s="5"/>
      <c r="J6" s="26"/>
      <c r="L6" s="22"/>
      <c r="M6" s="5"/>
      <c r="N6" s="5"/>
      <c r="O6" s="5"/>
      <c r="P6" s="22"/>
      <c r="Q6" s="22"/>
      <c r="R6" s="22"/>
      <c r="S6" s="22"/>
      <c r="T6" s="22"/>
    </row>
    <row r="7" spans="1:20" x14ac:dyDescent="0.2">
      <c r="A7" s="5">
        <v>16</v>
      </c>
      <c r="B7" s="1">
        <v>1</v>
      </c>
      <c r="C7" s="5">
        <f>0.1*Grade10!C7</f>
        <v>2030.6849505679843</v>
      </c>
      <c r="D7" s="5">
        <f t="shared" ref="D7:D36" si="0">IF(A7&lt;startage,1,0)*(C7*(1-initialunempprob))+IF(A7=startage,1,0)*(C7*(1-unempprob))+IF(A7&gt;startage,1,0)*(C7*(1-unempprob)+unempprob*300*52)</f>
        <v>1872.2915244236815</v>
      </c>
      <c r="E7" s="5">
        <f t="shared" ref="E7:E56" si="1">IF(D7-9500&gt;0,1,0)*(D7-9500)</f>
        <v>0</v>
      </c>
      <c r="F7" s="5">
        <f t="shared" ref="F7:F56" si="2">IF(E7&lt;=8500,1,0)*(0.1*E7+0.1*E7+0.0765*D7)+IF(AND(E7&gt;8500,E7&lt;=34500),1,0)*(850+0.15*(E7-8500)+0.1*E7+0.0765*D7)+IF(AND(E7&gt;34500,E7&lt;=83600),1,0)*(4750+0.25*(E7-34500)+0.1*E7+0.0765*D7)+IF(AND(E7&gt;83600,E7&lt;=174400,D7&lt;=106800),1,0)*(17025+0.28*(E7-83600)+0.1*E7+0.0765*D7)+IF(AND(E7&gt;83600,E7&lt;=174400,D7&gt;106800),1,0)*(17025+0.28*(E7-83600)+0.1*E7+8170.2+0.0145*(D7-106800))+IF(AND(E7&gt;174400,E7&lt;=379150),1,0)*(42449+0.33*(E7-174400)+0.1*E7+8170.2+0.0145*(D7-106800))+IF(E7&gt;379150,1,0)*(110016.5+0.35*(E7-379150)+0.1*E7+8170.2+0.0145*(D7-106800))</f>
        <v>143.23030161841163</v>
      </c>
      <c r="G7" s="5">
        <f t="shared" ref="G7:G56" si="3">D7-F7</f>
        <v>1729.0612228052698</v>
      </c>
      <c r="H7" s="22">
        <f>0.1*Grade10!H7</f>
        <v>934.09866437017899</v>
      </c>
      <c r="I7" s="5">
        <f t="shared" ref="I7:I36" si="4">G7+IF(A7&lt;startage,1,0)*(H7*(1-initialunempprob))+IF(A7&gt;=startage,1,0)*(H7*(1-unempprob))</f>
        <v>2590.300191354575</v>
      </c>
      <c r="J7" s="26">
        <f t="shared" ref="J7:J38" si="5">(F7-(IF(A7&gt;startage,1,0)*(unempprob*300*52)))/(IF(A7&lt;startage,1,0)*((C7+H7)*(1-initialunempprob))+IF(A7&gt;=startage,1,0)*((C7+H7)*(1-unempprob)))</f>
        <v>5.239755034253684E-2</v>
      </c>
      <c r="L7" s="22">
        <f>0.1*Grade10!L7</f>
        <v>3111.7544895258052</v>
      </c>
      <c r="M7" s="5">
        <f>scrimecost*Meta!O4</f>
        <v>10114.889000000001</v>
      </c>
      <c r="N7" s="5">
        <f>L7-Grade10!L7</f>
        <v>-28005.790405732245</v>
      </c>
      <c r="O7" s="5"/>
      <c r="P7" s="22"/>
      <c r="Q7" s="22">
        <f>0.05*feel*Grade10!G7</f>
        <v>215.73836783790895</v>
      </c>
      <c r="R7" s="22">
        <f>hstuition</f>
        <v>11298</v>
      </c>
      <c r="S7" s="22">
        <f t="shared" ref="S7:S38" si="6">IF(A7&lt;startage,1,0)*(N7-Q7-R7)+IF(A7&gt;=startage,1,0)*completionprob*(N7*spart+O7+P7)</f>
        <v>-39519.528773570157</v>
      </c>
      <c r="T7" s="22">
        <f t="shared" ref="T7:T38" si="7">S7/sreturn^(A7-startage+1)</f>
        <v>-39519.528773570157</v>
      </c>
    </row>
    <row r="8" spans="1:20" x14ac:dyDescent="0.2">
      <c r="A8" s="5">
        <v>17</v>
      </c>
      <c r="B8" s="1">
        <f t="shared" ref="B8:B36" si="8">(1+experiencepremium)^(A8-startage)</f>
        <v>1</v>
      </c>
      <c r="C8" s="5">
        <f t="shared" ref="C8:C36" si="9">pretaxincome*B8/expnorm</f>
        <v>21351.430059640803</v>
      </c>
      <c r="D8" s="5">
        <f t="shared" si="0"/>
        <v>19750.072805167743</v>
      </c>
      <c r="E8" s="5">
        <f t="shared" si="1"/>
        <v>10250.072805167743</v>
      </c>
      <c r="F8" s="5">
        <f t="shared" si="2"/>
        <v>3648.3987708872683</v>
      </c>
      <c r="G8" s="5">
        <f t="shared" si="3"/>
        <v>16101.674034280475</v>
      </c>
      <c r="H8" s="22">
        <f t="shared" ref="H8:H36" si="10">benefits*B8/expnorm</f>
        <v>9821.7515265695365</v>
      </c>
      <c r="I8" s="5">
        <f t="shared" si="4"/>
        <v>25186.794196357296</v>
      </c>
      <c r="J8" s="26">
        <f t="shared" si="5"/>
        <v>0.1265259010068592</v>
      </c>
      <c r="L8" s="22">
        <f t="shared" ref="L8:L36" si="11">(sincome+sbenefits)*(1-sunemp)*B8/expnorm</f>
        <v>32125.868059503893</v>
      </c>
      <c r="M8" s="5">
        <f>scrimecost*Meta!O5</f>
        <v>12419.298999999999</v>
      </c>
      <c r="N8" s="5">
        <f>L8-Grade10!L8</f>
        <v>230.38454186439412</v>
      </c>
      <c r="O8" s="5">
        <f>Grade10!M8-M8</f>
        <v>258.36599999999999</v>
      </c>
      <c r="P8" s="22">
        <f t="shared" ref="P8:P39" si="12">(spart-initialspart)*(L8*J8+nptrans)</f>
        <v>63.712526411137311</v>
      </c>
      <c r="Q8" s="22"/>
      <c r="R8" s="22"/>
      <c r="S8" s="22">
        <f t="shared" si="6"/>
        <v>458.91651420292766</v>
      </c>
      <c r="T8" s="22">
        <f t="shared" si="7"/>
        <v>465.92438613550047</v>
      </c>
    </row>
    <row r="9" spans="1:20" x14ac:dyDescent="0.2">
      <c r="A9" s="5">
        <v>18</v>
      </c>
      <c r="B9" s="1">
        <f t="shared" si="8"/>
        <v>1.0249999999999999</v>
      </c>
      <c r="C9" s="5">
        <f t="shared" si="9"/>
        <v>21885.21581113182</v>
      </c>
      <c r="D9" s="5">
        <f t="shared" si="0"/>
        <v>21413.824625296937</v>
      </c>
      <c r="E9" s="5">
        <f t="shared" si="1"/>
        <v>11913.824625296937</v>
      </c>
      <c r="F9" s="5">
        <f t="shared" si="2"/>
        <v>4191.6137401594497</v>
      </c>
      <c r="G9" s="5">
        <f t="shared" si="3"/>
        <v>17222.210885137487</v>
      </c>
      <c r="H9" s="22">
        <f t="shared" si="10"/>
        <v>10067.295314733772</v>
      </c>
      <c r="I9" s="5">
        <f t="shared" si="4"/>
        <v>26534.459051266225</v>
      </c>
      <c r="J9" s="26">
        <f t="shared" si="5"/>
        <v>0.10223326222948101</v>
      </c>
      <c r="L9" s="22">
        <f t="shared" si="11"/>
        <v>32929.014760991493</v>
      </c>
      <c r="M9" s="5">
        <f>scrimecost*Meta!O6</f>
        <v>15733.727000000001</v>
      </c>
      <c r="N9" s="5">
        <f>L9-Grade10!L9</f>
        <v>236.14415541100607</v>
      </c>
      <c r="O9" s="5">
        <f>Grade10!M9-M9</f>
        <v>327.3179999999993</v>
      </c>
      <c r="P9" s="22">
        <f t="shared" si="12"/>
        <v>59.522643606113419</v>
      </c>
      <c r="Q9" s="22"/>
      <c r="R9" s="22"/>
      <c r="S9" s="22">
        <f t="shared" si="6"/>
        <v>523.30000077237457</v>
      </c>
      <c r="T9" s="22">
        <f t="shared" si="7"/>
        <v>539.40410406551018</v>
      </c>
    </row>
    <row r="10" spans="1:20" x14ac:dyDescent="0.2">
      <c r="A10" s="5">
        <v>19</v>
      </c>
      <c r="B10" s="1">
        <f t="shared" si="8"/>
        <v>1.0506249999999999</v>
      </c>
      <c r="C10" s="5">
        <f t="shared" si="9"/>
        <v>22432.346206410115</v>
      </c>
      <c r="D10" s="5">
        <f t="shared" si="0"/>
        <v>21919.920240929358</v>
      </c>
      <c r="E10" s="5">
        <f t="shared" si="1"/>
        <v>12419.920240929358</v>
      </c>
      <c r="F10" s="5">
        <f t="shared" si="2"/>
        <v>4356.8539586634352</v>
      </c>
      <c r="G10" s="5">
        <f t="shared" si="3"/>
        <v>17563.066282265921</v>
      </c>
      <c r="H10" s="22">
        <f t="shared" si="10"/>
        <v>10318.977697602117</v>
      </c>
      <c r="I10" s="5">
        <f t="shared" si="4"/>
        <v>27108.120652547877</v>
      </c>
      <c r="J10" s="26">
        <f t="shared" si="5"/>
        <v>0.10519414521918992</v>
      </c>
      <c r="L10" s="22">
        <f t="shared" si="11"/>
        <v>33752.240130016275</v>
      </c>
      <c r="M10" s="5">
        <f>scrimecost*Meta!O7</f>
        <v>16694.715</v>
      </c>
      <c r="N10" s="5">
        <f>L10-Grade10!L10</f>
        <v>242.04775929627795</v>
      </c>
      <c r="O10" s="5">
        <f>Grade10!M10-M10</f>
        <v>347.30999999999767</v>
      </c>
      <c r="P10" s="22">
        <f t="shared" si="12"/>
        <v>60.62722829825946</v>
      </c>
      <c r="Q10" s="22"/>
      <c r="R10" s="22"/>
      <c r="S10" s="22">
        <f t="shared" si="6"/>
        <v>547.04255629733984</v>
      </c>
      <c r="T10" s="22">
        <f t="shared" si="7"/>
        <v>572.48798908218873</v>
      </c>
    </row>
    <row r="11" spans="1:20" x14ac:dyDescent="0.2">
      <c r="A11" s="5">
        <v>20</v>
      </c>
      <c r="B11" s="1">
        <f t="shared" si="8"/>
        <v>1.0768906249999999</v>
      </c>
      <c r="C11" s="5">
        <f t="shared" si="9"/>
        <v>22993.154861570369</v>
      </c>
      <c r="D11" s="5">
        <f t="shared" si="0"/>
        <v>22438.668246952591</v>
      </c>
      <c r="E11" s="5">
        <f t="shared" si="1"/>
        <v>12938.668246952591</v>
      </c>
      <c r="F11" s="5">
        <f t="shared" si="2"/>
        <v>4526.2251826300208</v>
      </c>
      <c r="G11" s="5">
        <f t="shared" si="3"/>
        <v>17912.443064322571</v>
      </c>
      <c r="H11" s="22">
        <f t="shared" si="10"/>
        <v>10576.952140042171</v>
      </c>
      <c r="I11" s="5">
        <f t="shared" si="4"/>
        <v>27696.123793861581</v>
      </c>
      <c r="J11" s="26">
        <f t="shared" si="5"/>
        <v>0.10808281155061329</v>
      </c>
      <c r="L11" s="22">
        <f t="shared" si="11"/>
        <v>34596.046133266682</v>
      </c>
      <c r="M11" s="5">
        <f>scrimecost*Meta!O8</f>
        <v>16023.003999999999</v>
      </c>
      <c r="N11" s="5">
        <f>L11-Grade10!L11</f>
        <v>248.09895327868435</v>
      </c>
      <c r="O11" s="5">
        <f>Grade10!M11-M11</f>
        <v>333.33599999999933</v>
      </c>
      <c r="P11" s="22">
        <f t="shared" si="12"/>
        <v>61.759427607709171</v>
      </c>
      <c r="Q11" s="22"/>
      <c r="R11" s="22"/>
      <c r="S11" s="22">
        <f t="shared" si="6"/>
        <v>539.2220843104343</v>
      </c>
      <c r="T11" s="22">
        <f t="shared" si="7"/>
        <v>572.92093626227631</v>
      </c>
    </row>
    <row r="12" spans="1:20" x14ac:dyDescent="0.2">
      <c r="A12" s="5">
        <v>21</v>
      </c>
      <c r="B12" s="1">
        <f t="shared" si="8"/>
        <v>1.1038128906249998</v>
      </c>
      <c r="C12" s="5">
        <f t="shared" si="9"/>
        <v>23567.983733109624</v>
      </c>
      <c r="D12" s="5">
        <f t="shared" si="0"/>
        <v>22970.384953126402</v>
      </c>
      <c r="E12" s="5">
        <f t="shared" si="1"/>
        <v>13470.384953126402</v>
      </c>
      <c r="F12" s="5">
        <f t="shared" si="2"/>
        <v>4699.8306871957702</v>
      </c>
      <c r="G12" s="5">
        <f t="shared" si="3"/>
        <v>18270.55426593063</v>
      </c>
      <c r="H12" s="22">
        <f t="shared" si="10"/>
        <v>10841.375943543224</v>
      </c>
      <c r="I12" s="5">
        <f t="shared" si="4"/>
        <v>28298.827013708113</v>
      </c>
      <c r="J12" s="26">
        <f t="shared" si="5"/>
        <v>0.11090102260566044</v>
      </c>
      <c r="L12" s="22">
        <f t="shared" si="11"/>
        <v>35460.947286598341</v>
      </c>
      <c r="M12" s="5">
        <f>scrimecost*Meta!O9</f>
        <v>14762.933000000001</v>
      </c>
      <c r="N12" s="5">
        <f>L12-Grade10!L12</f>
        <v>254.301427110644</v>
      </c>
      <c r="O12" s="5">
        <f>Grade10!M12-M12</f>
        <v>307.12199999999939</v>
      </c>
      <c r="P12" s="22">
        <f t="shared" si="12"/>
        <v>62.919931899895111</v>
      </c>
      <c r="Q12" s="22"/>
      <c r="R12" s="22"/>
      <c r="S12" s="22">
        <f t="shared" si="6"/>
        <v>520.11212407384971</v>
      </c>
      <c r="T12" s="22">
        <f t="shared" si="7"/>
        <v>561.05541103623614</v>
      </c>
    </row>
    <row r="13" spans="1:20" x14ac:dyDescent="0.2">
      <c r="A13" s="5">
        <v>22</v>
      </c>
      <c r="B13" s="1">
        <f t="shared" si="8"/>
        <v>1.1314082128906247</v>
      </c>
      <c r="C13" s="5">
        <f t="shared" si="9"/>
        <v>24157.183326437364</v>
      </c>
      <c r="D13" s="5">
        <f t="shared" si="0"/>
        <v>23515.394576954561</v>
      </c>
      <c r="E13" s="5">
        <f t="shared" si="1"/>
        <v>14015.394576954561</v>
      </c>
      <c r="F13" s="5">
        <f t="shared" si="2"/>
        <v>4877.7763293756643</v>
      </c>
      <c r="G13" s="5">
        <f t="shared" si="3"/>
        <v>18637.618247578896</v>
      </c>
      <c r="H13" s="22">
        <f t="shared" si="10"/>
        <v>11112.410342131803</v>
      </c>
      <c r="I13" s="5">
        <f t="shared" si="4"/>
        <v>28916.597814050816</v>
      </c>
      <c r="J13" s="26">
        <f t="shared" si="5"/>
        <v>0.11365049680570646</v>
      </c>
      <c r="L13" s="22">
        <f t="shared" si="11"/>
        <v>36347.4709687633</v>
      </c>
      <c r="M13" s="5">
        <f>scrimecost*Meta!O10</f>
        <v>13463.638000000001</v>
      </c>
      <c r="N13" s="5">
        <f>L13-Grade10!L13</f>
        <v>260.65896278841683</v>
      </c>
      <c r="O13" s="5">
        <f>Grade10!M13-M13</f>
        <v>280.09199999999873</v>
      </c>
      <c r="P13" s="22">
        <f t="shared" si="12"/>
        <v>64.109448799385703</v>
      </c>
      <c r="Q13" s="22"/>
      <c r="R13" s="22"/>
      <c r="S13" s="22">
        <f t="shared" si="6"/>
        <v>500.37452838135971</v>
      </c>
      <c r="T13" s="22">
        <f t="shared" si="7"/>
        <v>548.00652180183329</v>
      </c>
    </row>
    <row r="14" spans="1:20" x14ac:dyDescent="0.2">
      <c r="A14" s="5">
        <v>23</v>
      </c>
      <c r="B14" s="1">
        <f t="shared" si="8"/>
        <v>1.1596934182128902</v>
      </c>
      <c r="C14" s="5">
        <f t="shared" si="9"/>
        <v>24761.112909598294</v>
      </c>
      <c r="D14" s="5">
        <f t="shared" si="0"/>
        <v>24074.029441378425</v>
      </c>
      <c r="E14" s="5">
        <f t="shared" si="1"/>
        <v>14574.029441378425</v>
      </c>
      <c r="F14" s="5">
        <f t="shared" si="2"/>
        <v>5060.1706126100562</v>
      </c>
      <c r="G14" s="5">
        <f t="shared" si="3"/>
        <v>19013.858828768367</v>
      </c>
      <c r="H14" s="22">
        <f t="shared" si="10"/>
        <v>11390.220600685097</v>
      </c>
      <c r="I14" s="5">
        <f t="shared" si="4"/>
        <v>29549.812884402083</v>
      </c>
      <c r="J14" s="26">
        <f t="shared" si="5"/>
        <v>0.11633291065940993</v>
      </c>
      <c r="L14" s="22">
        <f t="shared" si="11"/>
        <v>37256.157742982381</v>
      </c>
      <c r="M14" s="5">
        <f>scrimecost*Meta!O11</f>
        <v>12551.68</v>
      </c>
      <c r="N14" s="5">
        <f>L14-Grade10!L14</f>
        <v>267.17543685812416</v>
      </c>
      <c r="O14" s="5">
        <f>Grade10!M14-M14</f>
        <v>261.1200000000008</v>
      </c>
      <c r="P14" s="22">
        <f t="shared" si="12"/>
        <v>65.328703621363573</v>
      </c>
      <c r="Q14" s="22"/>
      <c r="R14" s="22"/>
      <c r="S14" s="22">
        <f t="shared" si="6"/>
        <v>488.29208154655316</v>
      </c>
      <c r="T14" s="22">
        <f t="shared" si="7"/>
        <v>542.94016471038856</v>
      </c>
    </row>
    <row r="15" spans="1:20" x14ac:dyDescent="0.2">
      <c r="A15" s="5">
        <v>24</v>
      </c>
      <c r="B15" s="1">
        <f t="shared" si="8"/>
        <v>1.1886857536682125</v>
      </c>
      <c r="C15" s="5">
        <f t="shared" si="9"/>
        <v>25380.140732338252</v>
      </c>
      <c r="D15" s="5">
        <f t="shared" si="0"/>
        <v>24646.630177412884</v>
      </c>
      <c r="E15" s="5">
        <f t="shared" si="1"/>
        <v>15146.630177412884</v>
      </c>
      <c r="F15" s="5">
        <f t="shared" si="2"/>
        <v>5247.1247529253069</v>
      </c>
      <c r="G15" s="5">
        <f t="shared" si="3"/>
        <v>19399.505424487579</v>
      </c>
      <c r="H15" s="22">
        <f t="shared" si="10"/>
        <v>11674.976115702226</v>
      </c>
      <c r="I15" s="5">
        <f t="shared" si="4"/>
        <v>30198.858331512136</v>
      </c>
      <c r="J15" s="26">
        <f t="shared" si="5"/>
        <v>0.11894989978497428</v>
      </c>
      <c r="L15" s="22">
        <f t="shared" si="11"/>
        <v>38187.561686556939</v>
      </c>
      <c r="M15" s="5">
        <f>scrimecost*Meta!O12</f>
        <v>11973.126</v>
      </c>
      <c r="N15" s="5">
        <f>L15-Grade10!L15</f>
        <v>273.85482277958363</v>
      </c>
      <c r="O15" s="5">
        <f>Grade10!M15-M15</f>
        <v>249.08400000000074</v>
      </c>
      <c r="P15" s="22">
        <f t="shared" si="12"/>
        <v>66.578439813890881</v>
      </c>
      <c r="Q15" s="22"/>
      <c r="R15" s="22"/>
      <c r="S15" s="22">
        <f t="shared" si="6"/>
        <v>482.82138344088094</v>
      </c>
      <c r="T15" s="22">
        <f t="shared" si="7"/>
        <v>545.05526669842072</v>
      </c>
    </row>
    <row r="16" spans="1:20" x14ac:dyDescent="0.2">
      <c r="A16" s="5">
        <v>25</v>
      </c>
      <c r="B16" s="1">
        <f t="shared" si="8"/>
        <v>1.2184028975099177</v>
      </c>
      <c r="C16" s="5">
        <f t="shared" si="9"/>
        <v>26014.644250646706</v>
      </c>
      <c r="D16" s="5">
        <f t="shared" si="0"/>
        <v>25233.545931848206</v>
      </c>
      <c r="E16" s="5">
        <f t="shared" si="1"/>
        <v>15733.545931848206</v>
      </c>
      <c r="F16" s="5">
        <f t="shared" si="2"/>
        <v>5438.7527467484397</v>
      </c>
      <c r="G16" s="5">
        <f t="shared" si="3"/>
        <v>19794.793185099767</v>
      </c>
      <c r="H16" s="22">
        <f t="shared" si="10"/>
        <v>11966.85051859478</v>
      </c>
      <c r="I16" s="5">
        <f t="shared" si="4"/>
        <v>30864.129914799938</v>
      </c>
      <c r="J16" s="26">
        <f t="shared" si="5"/>
        <v>0.12150305990747606</v>
      </c>
      <c r="L16" s="22">
        <f t="shared" si="11"/>
        <v>39142.250728720857</v>
      </c>
      <c r="M16" s="5">
        <f>scrimecost*Meta!O13</f>
        <v>9967.7989999999991</v>
      </c>
      <c r="N16" s="5">
        <f>L16-Grade10!L16</f>
        <v>280.70119334906485</v>
      </c>
      <c r="O16" s="5">
        <f>Grade10!M16-M16</f>
        <v>207.36599999999999</v>
      </c>
      <c r="P16" s="22">
        <f t="shared" si="12"/>
        <v>67.859419411231386</v>
      </c>
      <c r="Q16" s="22"/>
      <c r="R16" s="22"/>
      <c r="S16" s="22">
        <f t="shared" si="6"/>
        <v>449.80135158255621</v>
      </c>
      <c r="T16" s="22">
        <f t="shared" si="7"/>
        <v>515.53310168180292</v>
      </c>
    </row>
    <row r="17" spans="1:20" x14ac:dyDescent="0.2">
      <c r="A17" s="5">
        <v>26</v>
      </c>
      <c r="B17" s="1">
        <f t="shared" si="8"/>
        <v>1.2488629699476654</v>
      </c>
      <c r="C17" s="5">
        <f t="shared" si="9"/>
        <v>26665.01035691287</v>
      </c>
      <c r="D17" s="5">
        <f t="shared" si="0"/>
        <v>25835.134580144404</v>
      </c>
      <c r="E17" s="5">
        <f t="shared" si="1"/>
        <v>16335.134580144404</v>
      </c>
      <c r="F17" s="5">
        <f t="shared" si="2"/>
        <v>5635.171440417148</v>
      </c>
      <c r="G17" s="5">
        <f t="shared" si="3"/>
        <v>20199.963139727257</v>
      </c>
      <c r="H17" s="22">
        <f t="shared" si="10"/>
        <v>12266.021781559646</v>
      </c>
      <c r="I17" s="5">
        <f t="shared" si="4"/>
        <v>31546.033287669932</v>
      </c>
      <c r="J17" s="26">
        <f t="shared" si="5"/>
        <v>0.123993947831868</v>
      </c>
      <c r="L17" s="22">
        <f t="shared" si="11"/>
        <v>40120.806996938874</v>
      </c>
      <c r="M17" s="5">
        <f>scrimecost*Meta!O14</f>
        <v>9967.7989999999991</v>
      </c>
      <c r="N17" s="5">
        <f>L17-Grade10!L17</f>
        <v>287.71872318279202</v>
      </c>
      <c r="O17" s="5">
        <f>Grade10!M17-M17</f>
        <v>207.36599999999999</v>
      </c>
      <c r="P17" s="22">
        <f t="shared" si="12"/>
        <v>69.172423498505367</v>
      </c>
      <c r="Q17" s="22"/>
      <c r="R17" s="22"/>
      <c r="S17" s="22">
        <f t="shared" si="6"/>
        <v>455.85178527778015</v>
      </c>
      <c r="T17" s="22">
        <f t="shared" si="7"/>
        <v>530.44604470281001</v>
      </c>
    </row>
    <row r="18" spans="1:20" x14ac:dyDescent="0.2">
      <c r="A18" s="5">
        <v>27</v>
      </c>
      <c r="B18" s="1">
        <f t="shared" si="8"/>
        <v>1.2800845441963571</v>
      </c>
      <c r="C18" s="5">
        <f t="shared" si="9"/>
        <v>27331.635615835694</v>
      </c>
      <c r="D18" s="5">
        <f t="shared" si="0"/>
        <v>26451.762944648017</v>
      </c>
      <c r="E18" s="5">
        <f t="shared" si="1"/>
        <v>16951.762944648017</v>
      </c>
      <c r="F18" s="5">
        <f t="shared" si="2"/>
        <v>5836.5006014275777</v>
      </c>
      <c r="G18" s="5">
        <f t="shared" si="3"/>
        <v>20615.262343220438</v>
      </c>
      <c r="H18" s="22">
        <f t="shared" si="10"/>
        <v>12572.672326098638</v>
      </c>
      <c r="I18" s="5">
        <f t="shared" si="4"/>
        <v>32244.984244861676</v>
      </c>
      <c r="J18" s="26">
        <f t="shared" si="5"/>
        <v>0.12642408239225045</v>
      </c>
      <c r="L18" s="22">
        <f t="shared" si="11"/>
        <v>41123.827171862351</v>
      </c>
      <c r="M18" s="5">
        <f>scrimecost*Meta!O15</f>
        <v>9967.7989999999991</v>
      </c>
      <c r="N18" s="5">
        <f>L18-Grade10!L18</f>
        <v>294.91169126236491</v>
      </c>
      <c r="O18" s="5">
        <f>Grade10!M18-M18</f>
        <v>207.36599999999999</v>
      </c>
      <c r="P18" s="22">
        <f t="shared" si="12"/>
        <v>70.518252687961237</v>
      </c>
      <c r="Q18" s="22"/>
      <c r="R18" s="22"/>
      <c r="S18" s="22">
        <f t="shared" si="6"/>
        <v>462.05347981538648</v>
      </c>
      <c r="T18" s="22">
        <f t="shared" si="7"/>
        <v>545.87292783020246</v>
      </c>
    </row>
    <row r="19" spans="1:20" x14ac:dyDescent="0.2">
      <c r="A19" s="5">
        <v>28</v>
      </c>
      <c r="B19" s="1">
        <f t="shared" si="8"/>
        <v>1.312086657801266</v>
      </c>
      <c r="C19" s="5">
        <f t="shared" si="9"/>
        <v>28014.926506231586</v>
      </c>
      <c r="D19" s="5">
        <f t="shared" si="0"/>
        <v>27083.807018264219</v>
      </c>
      <c r="E19" s="5">
        <f t="shared" si="1"/>
        <v>17583.807018264219</v>
      </c>
      <c r="F19" s="5">
        <f t="shared" si="2"/>
        <v>6042.8629914632675</v>
      </c>
      <c r="G19" s="5">
        <f t="shared" si="3"/>
        <v>21040.944026800949</v>
      </c>
      <c r="H19" s="22">
        <f t="shared" si="10"/>
        <v>12886.989134251104</v>
      </c>
      <c r="I19" s="5">
        <f t="shared" si="4"/>
        <v>32961.40897598322</v>
      </c>
      <c r="J19" s="26">
        <f t="shared" si="5"/>
        <v>0.12879494537798944</v>
      </c>
      <c r="L19" s="22">
        <f t="shared" si="11"/>
        <v>42151.92285115891</v>
      </c>
      <c r="M19" s="5">
        <f>scrimecost*Meta!O16</f>
        <v>9967.7989999999991</v>
      </c>
      <c r="N19" s="5">
        <f>L19-Grade10!L19</f>
        <v>302.28448354392458</v>
      </c>
      <c r="O19" s="5">
        <f>Grade10!M19-M19</f>
        <v>207.36599999999999</v>
      </c>
      <c r="P19" s="22">
        <f t="shared" si="12"/>
        <v>71.897727607153485</v>
      </c>
      <c r="Q19" s="22"/>
      <c r="R19" s="22"/>
      <c r="S19" s="22">
        <f t="shared" si="6"/>
        <v>468.41021671643114</v>
      </c>
      <c r="T19" s="22">
        <f t="shared" si="7"/>
        <v>561.83323434656779</v>
      </c>
    </row>
    <row r="20" spans="1:20" x14ac:dyDescent="0.2">
      <c r="A20" s="5">
        <v>29</v>
      </c>
      <c r="B20" s="1">
        <f t="shared" si="8"/>
        <v>1.3448888242462975</v>
      </c>
      <c r="C20" s="5">
        <f t="shared" si="9"/>
        <v>28715.299668887372</v>
      </c>
      <c r="D20" s="5">
        <f t="shared" si="0"/>
        <v>27731.65219372082</v>
      </c>
      <c r="E20" s="5">
        <f t="shared" si="1"/>
        <v>18231.65219372082</v>
      </c>
      <c r="F20" s="5">
        <f t="shared" si="2"/>
        <v>6254.3844412498474</v>
      </c>
      <c r="G20" s="5">
        <f t="shared" si="3"/>
        <v>21477.267752470972</v>
      </c>
      <c r="H20" s="22">
        <f t="shared" si="10"/>
        <v>13209.16386260738</v>
      </c>
      <c r="I20" s="5">
        <f t="shared" si="4"/>
        <v>33695.744325382795</v>
      </c>
      <c r="J20" s="26">
        <f t="shared" si="5"/>
        <v>0.13110798243724692</v>
      </c>
      <c r="L20" s="22">
        <f t="shared" si="11"/>
        <v>43205.720922437875</v>
      </c>
      <c r="M20" s="5">
        <f>scrimecost*Meta!O17</f>
        <v>9967.7989999999991</v>
      </c>
      <c r="N20" s="5">
        <f>L20-Grade10!L20</f>
        <v>309.84159563251887</v>
      </c>
      <c r="O20" s="5">
        <f>Grade10!M20-M20</f>
        <v>207.36599999999999</v>
      </c>
      <c r="P20" s="22">
        <f t="shared" si="12"/>
        <v>73.311689399325516</v>
      </c>
      <c r="Q20" s="22"/>
      <c r="R20" s="22"/>
      <c r="S20" s="22">
        <f t="shared" si="6"/>
        <v>474.92587203999898</v>
      </c>
      <c r="T20" s="22">
        <f t="shared" si="7"/>
        <v>578.34721804925891</v>
      </c>
    </row>
    <row r="21" spans="1:20" x14ac:dyDescent="0.2">
      <c r="A21" s="5">
        <v>30</v>
      </c>
      <c r="B21" s="1">
        <f t="shared" si="8"/>
        <v>1.3785110448524549</v>
      </c>
      <c r="C21" s="5">
        <f t="shared" si="9"/>
        <v>29433.182160609555</v>
      </c>
      <c r="D21" s="5">
        <f t="shared" si="0"/>
        <v>28395.69349856384</v>
      </c>
      <c r="E21" s="5">
        <f t="shared" si="1"/>
        <v>18895.69349856384</v>
      </c>
      <c r="F21" s="5">
        <f t="shared" si="2"/>
        <v>6471.1939272810941</v>
      </c>
      <c r="G21" s="5">
        <f t="shared" si="3"/>
        <v>21924.499571282744</v>
      </c>
      <c r="H21" s="22">
        <f t="shared" si="10"/>
        <v>13539.392959172565</v>
      </c>
      <c r="I21" s="5">
        <f t="shared" si="4"/>
        <v>34448.438058517364</v>
      </c>
      <c r="J21" s="26">
        <f t="shared" si="5"/>
        <v>0.1333646039584738</v>
      </c>
      <c r="L21" s="22">
        <f t="shared" si="11"/>
        <v>44285.863945498822</v>
      </c>
      <c r="M21" s="5">
        <f>scrimecost*Meta!O18</f>
        <v>8212.5249999999996</v>
      </c>
      <c r="N21" s="5">
        <f>L21-Grade10!L21</f>
        <v>317.58763552334131</v>
      </c>
      <c r="O21" s="5">
        <f>Grade10!M21-M21</f>
        <v>170.85000000000036</v>
      </c>
      <c r="P21" s="22">
        <f t="shared" si="12"/>
        <v>74.761000236301896</v>
      </c>
      <c r="Q21" s="22"/>
      <c r="R21" s="22"/>
      <c r="S21" s="22">
        <f t="shared" si="6"/>
        <v>447.53499074666553</v>
      </c>
      <c r="T21" s="22">
        <f t="shared" si="7"/>
        <v>553.3138919613674</v>
      </c>
    </row>
    <row r="22" spans="1:20" x14ac:dyDescent="0.2">
      <c r="A22" s="5">
        <v>31</v>
      </c>
      <c r="B22" s="1">
        <f t="shared" si="8"/>
        <v>1.4129738209737661</v>
      </c>
      <c r="C22" s="5">
        <f t="shared" si="9"/>
        <v>30169.01171462479</v>
      </c>
      <c r="D22" s="5">
        <f t="shared" si="0"/>
        <v>29076.335836027931</v>
      </c>
      <c r="E22" s="5">
        <f t="shared" si="1"/>
        <v>19576.335836027931</v>
      </c>
      <c r="F22" s="5">
        <f t="shared" si="2"/>
        <v>6693.423650463119</v>
      </c>
      <c r="G22" s="5">
        <f t="shared" si="3"/>
        <v>22382.912185564812</v>
      </c>
      <c r="H22" s="22">
        <f t="shared" si="10"/>
        <v>13877.877783151878</v>
      </c>
      <c r="I22" s="5">
        <f t="shared" si="4"/>
        <v>35219.949134980299</v>
      </c>
      <c r="J22" s="26">
        <f t="shared" si="5"/>
        <v>0.13556618593040237</v>
      </c>
      <c r="L22" s="22">
        <f t="shared" si="11"/>
        <v>45393.010544136283</v>
      </c>
      <c r="M22" s="5">
        <f>scrimecost*Meta!O19</f>
        <v>8212.5249999999996</v>
      </c>
      <c r="N22" s="5">
        <f>L22-Grade10!L22</f>
        <v>325.52732641140756</v>
      </c>
      <c r="O22" s="5">
        <f>Grade10!M22-M22</f>
        <v>170.85000000000036</v>
      </c>
      <c r="P22" s="22">
        <f t="shared" si="12"/>
        <v>76.246543844202634</v>
      </c>
      <c r="Q22" s="22"/>
      <c r="R22" s="22"/>
      <c r="S22" s="22">
        <f t="shared" si="6"/>
        <v>454.38050112097994</v>
      </c>
      <c r="T22" s="22">
        <f t="shared" si="7"/>
        <v>570.35600623386779</v>
      </c>
    </row>
    <row r="23" spans="1:20" x14ac:dyDescent="0.2">
      <c r="A23" s="5">
        <v>32</v>
      </c>
      <c r="B23" s="1">
        <f t="shared" si="8"/>
        <v>1.4482981664981105</v>
      </c>
      <c r="C23" s="5">
        <f t="shared" si="9"/>
        <v>30923.237007490414</v>
      </c>
      <c r="D23" s="5">
        <f t="shared" si="0"/>
        <v>29773.994231928635</v>
      </c>
      <c r="E23" s="5">
        <f t="shared" si="1"/>
        <v>20273.994231928635</v>
      </c>
      <c r="F23" s="5">
        <f t="shared" si="2"/>
        <v>6921.209116724699</v>
      </c>
      <c r="G23" s="5">
        <f t="shared" si="3"/>
        <v>22852.785115203937</v>
      </c>
      <c r="H23" s="22">
        <f t="shared" si="10"/>
        <v>14224.824727730676</v>
      </c>
      <c r="I23" s="5">
        <f t="shared" si="4"/>
        <v>36010.747988354815</v>
      </c>
      <c r="J23" s="26">
        <f t="shared" si="5"/>
        <v>0.13771407078106448</v>
      </c>
      <c r="L23" s="22">
        <f t="shared" si="11"/>
        <v>46527.835807739699</v>
      </c>
      <c r="M23" s="5">
        <f>scrimecost*Meta!O20</f>
        <v>8212.5249999999996</v>
      </c>
      <c r="N23" s="5">
        <f>L23-Grade10!L23</f>
        <v>333.66550957170693</v>
      </c>
      <c r="O23" s="5">
        <f>Grade10!M23-M23</f>
        <v>170.85000000000036</v>
      </c>
      <c r="P23" s="22">
        <f t="shared" si="12"/>
        <v>77.769226042300943</v>
      </c>
      <c r="Q23" s="22"/>
      <c r="R23" s="22"/>
      <c r="S23" s="22">
        <f t="shared" si="6"/>
        <v>461.39714925467388</v>
      </c>
      <c r="T23" s="22">
        <f t="shared" si="7"/>
        <v>588.00767611742162</v>
      </c>
    </row>
    <row r="24" spans="1:20" x14ac:dyDescent="0.2">
      <c r="A24" s="5">
        <v>33</v>
      </c>
      <c r="B24" s="1">
        <f t="shared" si="8"/>
        <v>1.4845056206605631</v>
      </c>
      <c r="C24" s="5">
        <f t="shared" si="9"/>
        <v>31696.31793267767</v>
      </c>
      <c r="D24" s="5">
        <f t="shared" si="0"/>
        <v>30489.094087726848</v>
      </c>
      <c r="E24" s="5">
        <f t="shared" si="1"/>
        <v>20989.094087726848</v>
      </c>
      <c r="F24" s="5">
        <f t="shared" si="2"/>
        <v>7154.6892196428162</v>
      </c>
      <c r="G24" s="5">
        <f t="shared" si="3"/>
        <v>23334.404868084031</v>
      </c>
      <c r="H24" s="22">
        <f t="shared" si="10"/>
        <v>14580.445345923943</v>
      </c>
      <c r="I24" s="5">
        <f t="shared" si="4"/>
        <v>36821.316813063677</v>
      </c>
      <c r="J24" s="26">
        <f t="shared" si="5"/>
        <v>0.13980956819634457</v>
      </c>
      <c r="L24" s="22">
        <f t="shared" si="11"/>
        <v>47691.031702933185</v>
      </c>
      <c r="M24" s="5">
        <f>scrimecost*Meta!O21</f>
        <v>8212.5249999999996</v>
      </c>
      <c r="N24" s="5">
        <f>L24-Grade10!L24</f>
        <v>342.00714731100015</v>
      </c>
      <c r="O24" s="5">
        <f>Grade10!M24-M24</f>
        <v>170.85000000000036</v>
      </c>
      <c r="P24" s="22">
        <f t="shared" si="12"/>
        <v>79.329975295351673</v>
      </c>
      <c r="Q24" s="22"/>
      <c r="R24" s="22"/>
      <c r="S24" s="22">
        <f t="shared" si="6"/>
        <v>468.58921359170074</v>
      </c>
      <c r="T24" s="22">
        <f t="shared" si="7"/>
        <v>606.2924102279726</v>
      </c>
    </row>
    <row r="25" spans="1:20" x14ac:dyDescent="0.2">
      <c r="A25" s="5">
        <v>34</v>
      </c>
      <c r="B25" s="1">
        <f t="shared" si="8"/>
        <v>1.521618261177077</v>
      </c>
      <c r="C25" s="5">
        <f t="shared" si="9"/>
        <v>32488.725880994611</v>
      </c>
      <c r="D25" s="5">
        <f t="shared" si="0"/>
        <v>31222.071439920015</v>
      </c>
      <c r="E25" s="5">
        <f t="shared" si="1"/>
        <v>21722.071439920015</v>
      </c>
      <c r="F25" s="5">
        <f t="shared" si="2"/>
        <v>7394.0063251338852</v>
      </c>
      <c r="G25" s="5">
        <f t="shared" si="3"/>
        <v>23828.065114786128</v>
      </c>
      <c r="H25" s="22">
        <f t="shared" si="10"/>
        <v>14944.956479572038</v>
      </c>
      <c r="I25" s="5">
        <f t="shared" si="4"/>
        <v>37652.149858390265</v>
      </c>
      <c r="J25" s="26">
        <f t="shared" si="5"/>
        <v>0.14185395591856903</v>
      </c>
      <c r="L25" s="22">
        <f t="shared" si="11"/>
        <v>48883.307495506509</v>
      </c>
      <c r="M25" s="5">
        <f>scrimecost*Meta!O22</f>
        <v>8212.5249999999996</v>
      </c>
      <c r="N25" s="5">
        <f>L25-Grade10!L25</f>
        <v>350.55732599376643</v>
      </c>
      <c r="O25" s="5">
        <f>Grade10!M25-M25</f>
        <v>170.85000000000036</v>
      </c>
      <c r="P25" s="22">
        <f t="shared" si="12"/>
        <v>80.929743279728683</v>
      </c>
      <c r="Q25" s="22"/>
      <c r="R25" s="22"/>
      <c r="S25" s="22">
        <f t="shared" si="6"/>
        <v>475.96107953714693</v>
      </c>
      <c r="T25" s="22">
        <f t="shared" si="7"/>
        <v>625.23465344772637</v>
      </c>
    </row>
    <row r="26" spans="1:20" x14ac:dyDescent="0.2">
      <c r="A26" s="5">
        <v>35</v>
      </c>
      <c r="B26" s="1">
        <f t="shared" si="8"/>
        <v>1.559658717706504</v>
      </c>
      <c r="C26" s="5">
        <f t="shared" si="9"/>
        <v>33300.944028019476</v>
      </c>
      <c r="D26" s="5">
        <f t="shared" si="0"/>
        <v>31973.373225918018</v>
      </c>
      <c r="E26" s="5">
        <f t="shared" si="1"/>
        <v>22473.373225918018</v>
      </c>
      <c r="F26" s="5">
        <f t="shared" si="2"/>
        <v>7639.3063582622326</v>
      </c>
      <c r="G26" s="5">
        <f t="shared" si="3"/>
        <v>24334.066867655783</v>
      </c>
      <c r="H26" s="22">
        <f t="shared" si="10"/>
        <v>15318.58039156134</v>
      </c>
      <c r="I26" s="5">
        <f t="shared" si="4"/>
        <v>38503.753729850025</v>
      </c>
      <c r="J26" s="26">
        <f t="shared" si="5"/>
        <v>0.1438484805256173</v>
      </c>
      <c r="L26" s="22">
        <f t="shared" si="11"/>
        <v>50105.390182894174</v>
      </c>
      <c r="M26" s="5">
        <f>scrimecost*Meta!O23</f>
        <v>6207.1980000000003</v>
      </c>
      <c r="N26" s="5">
        <f>L26-Grade10!L26</f>
        <v>359.3212591436095</v>
      </c>
      <c r="O26" s="5">
        <f>Grade10!M26-M26</f>
        <v>129.13199999999961</v>
      </c>
      <c r="P26" s="22">
        <f t="shared" si="12"/>
        <v>82.569505463715117</v>
      </c>
      <c r="Q26" s="22"/>
      <c r="R26" s="22"/>
      <c r="S26" s="22">
        <f t="shared" si="6"/>
        <v>444.59434813123374</v>
      </c>
      <c r="T26" s="22">
        <f t="shared" si="7"/>
        <v>592.94893421041968</v>
      </c>
    </row>
    <row r="27" spans="1:20" x14ac:dyDescent="0.2">
      <c r="A27" s="5">
        <v>36</v>
      </c>
      <c r="B27" s="1">
        <f t="shared" si="8"/>
        <v>1.5986501856491666</v>
      </c>
      <c r="C27" s="5">
        <f t="shared" si="9"/>
        <v>34133.467628719969</v>
      </c>
      <c r="D27" s="5">
        <f t="shared" si="0"/>
        <v>32743.457556565972</v>
      </c>
      <c r="E27" s="5">
        <f t="shared" si="1"/>
        <v>23243.457556565972</v>
      </c>
      <c r="F27" s="5">
        <f t="shared" si="2"/>
        <v>7890.7388922187902</v>
      </c>
      <c r="G27" s="5">
        <f t="shared" si="3"/>
        <v>24852.718664347183</v>
      </c>
      <c r="H27" s="22">
        <f t="shared" si="10"/>
        <v>15701.544901350375</v>
      </c>
      <c r="I27" s="5">
        <f t="shared" si="4"/>
        <v>39376.647698096276</v>
      </c>
      <c r="J27" s="26">
        <f t="shared" si="5"/>
        <v>0.14579435819103026</v>
      </c>
      <c r="L27" s="22">
        <f t="shared" si="11"/>
        <v>51358.024937466529</v>
      </c>
      <c r="M27" s="5">
        <f>scrimecost*Meta!O24</f>
        <v>6207.1980000000003</v>
      </c>
      <c r="N27" s="5">
        <f>L27-Grade10!L27</f>
        <v>368.30429062221083</v>
      </c>
      <c r="O27" s="5">
        <f>Grade10!M27-M27</f>
        <v>129.13199999999961</v>
      </c>
      <c r="P27" s="22">
        <f t="shared" si="12"/>
        <v>84.250261702301231</v>
      </c>
      <c r="Q27" s="22"/>
      <c r="R27" s="22"/>
      <c r="S27" s="22">
        <f t="shared" si="6"/>
        <v>452.33941479018193</v>
      </c>
      <c r="T27" s="22">
        <f t="shared" si="7"/>
        <v>612.49076189848449</v>
      </c>
    </row>
    <row r="28" spans="1:20" x14ac:dyDescent="0.2">
      <c r="A28" s="5">
        <v>37</v>
      </c>
      <c r="B28" s="1">
        <f t="shared" si="8"/>
        <v>1.6386164402903955</v>
      </c>
      <c r="C28" s="5">
        <f t="shared" si="9"/>
        <v>34986.804319437957</v>
      </c>
      <c r="D28" s="5">
        <f t="shared" si="0"/>
        <v>33532.793995480111</v>
      </c>
      <c r="E28" s="5">
        <f t="shared" si="1"/>
        <v>24032.793995480111</v>
      </c>
      <c r="F28" s="5">
        <f t="shared" si="2"/>
        <v>8148.4572395242558</v>
      </c>
      <c r="G28" s="5">
        <f t="shared" si="3"/>
        <v>25384.336755955854</v>
      </c>
      <c r="H28" s="22">
        <f t="shared" si="10"/>
        <v>16094.083523884132</v>
      </c>
      <c r="I28" s="5">
        <f t="shared" si="4"/>
        <v>40271.364015548679</v>
      </c>
      <c r="J28" s="26">
        <f t="shared" si="5"/>
        <v>0.1476927754255794</v>
      </c>
      <c r="L28" s="22">
        <f t="shared" si="11"/>
        <v>52641.975560903185</v>
      </c>
      <c r="M28" s="5">
        <f>scrimecost*Meta!O25</f>
        <v>6207.1980000000003</v>
      </c>
      <c r="N28" s="5">
        <f>L28-Grade10!L28</f>
        <v>377.51189788776537</v>
      </c>
      <c r="O28" s="5">
        <f>Grade10!M28-M28</f>
        <v>129.13199999999961</v>
      </c>
      <c r="P28" s="22">
        <f t="shared" si="12"/>
        <v>85.973036846851954</v>
      </c>
      <c r="Q28" s="22"/>
      <c r="R28" s="22"/>
      <c r="S28" s="22">
        <f t="shared" si="6"/>
        <v>460.27810811559567</v>
      </c>
      <c r="T28" s="22">
        <f t="shared" si="7"/>
        <v>632.7573313425396</v>
      </c>
    </row>
    <row r="29" spans="1:20" x14ac:dyDescent="0.2">
      <c r="A29" s="5">
        <v>38</v>
      </c>
      <c r="B29" s="1">
        <f t="shared" si="8"/>
        <v>1.6795818512976552</v>
      </c>
      <c r="C29" s="5">
        <f t="shared" si="9"/>
        <v>35861.474427423906</v>
      </c>
      <c r="D29" s="5">
        <f t="shared" si="0"/>
        <v>34341.863845367116</v>
      </c>
      <c r="E29" s="5">
        <f t="shared" si="1"/>
        <v>24841.863845367116</v>
      </c>
      <c r="F29" s="5">
        <f t="shared" si="2"/>
        <v>8412.6185455123632</v>
      </c>
      <c r="G29" s="5">
        <f t="shared" si="3"/>
        <v>25929.245299854752</v>
      </c>
      <c r="H29" s="22">
        <f t="shared" si="10"/>
        <v>16496.435611981233</v>
      </c>
      <c r="I29" s="5">
        <f t="shared" si="4"/>
        <v>41188.448240937396</v>
      </c>
      <c r="J29" s="26">
        <f t="shared" si="5"/>
        <v>0.14954488980074943</v>
      </c>
      <c r="L29" s="22">
        <f t="shared" si="11"/>
        <v>53958.024949925762</v>
      </c>
      <c r="M29" s="5">
        <f>scrimecost*Meta!O26</f>
        <v>6207.1980000000003</v>
      </c>
      <c r="N29" s="5">
        <f>L29-Grade10!L29</f>
        <v>386.94969533495168</v>
      </c>
      <c r="O29" s="5">
        <f>Grade10!M29-M29</f>
        <v>129.13199999999961</v>
      </c>
      <c r="P29" s="22">
        <f t="shared" si="12"/>
        <v>87.7388813700165</v>
      </c>
      <c r="Q29" s="22"/>
      <c r="R29" s="22"/>
      <c r="S29" s="22">
        <f t="shared" si="6"/>
        <v>468.41526877413986</v>
      </c>
      <c r="T29" s="22">
        <f t="shared" si="7"/>
        <v>653.7770409104096</v>
      </c>
    </row>
    <row r="30" spans="1:20" x14ac:dyDescent="0.2">
      <c r="A30" s="5">
        <v>39</v>
      </c>
      <c r="B30" s="1">
        <f t="shared" si="8"/>
        <v>1.7215713975800966</v>
      </c>
      <c r="C30" s="5">
        <f t="shared" si="9"/>
        <v>36758.011288109497</v>
      </c>
      <c r="D30" s="5">
        <f t="shared" si="0"/>
        <v>35171.160441501284</v>
      </c>
      <c r="E30" s="5">
        <f t="shared" si="1"/>
        <v>25671.160441501284</v>
      </c>
      <c r="F30" s="5">
        <f t="shared" si="2"/>
        <v>8683.3838841501693</v>
      </c>
      <c r="G30" s="5">
        <f t="shared" si="3"/>
        <v>26487.776557351113</v>
      </c>
      <c r="H30" s="22">
        <f t="shared" si="10"/>
        <v>16908.846502280761</v>
      </c>
      <c r="I30" s="5">
        <f t="shared" si="4"/>
        <v>42128.459571960819</v>
      </c>
      <c r="J30" s="26">
        <f t="shared" si="5"/>
        <v>0.15135183065457369</v>
      </c>
      <c r="L30" s="22">
        <f t="shared" si="11"/>
        <v>55306.975573673903</v>
      </c>
      <c r="M30" s="5">
        <f>scrimecost*Meta!O27</f>
        <v>6207.1980000000003</v>
      </c>
      <c r="N30" s="5">
        <f>L30-Grade10!L30</f>
        <v>396.62343771832093</v>
      </c>
      <c r="O30" s="5">
        <f>Grade10!M30-M30</f>
        <v>129.13199999999961</v>
      </c>
      <c r="P30" s="22">
        <f t="shared" si="12"/>
        <v>89.548872006260098</v>
      </c>
      <c r="Q30" s="22"/>
      <c r="R30" s="22"/>
      <c r="S30" s="22">
        <f t="shared" si="6"/>
        <v>476.75585844914986</v>
      </c>
      <c r="T30" s="22">
        <f t="shared" si="7"/>
        <v>675.57942717918365</v>
      </c>
    </row>
    <row r="31" spans="1:20" x14ac:dyDescent="0.2">
      <c r="A31" s="5">
        <v>40</v>
      </c>
      <c r="B31" s="1">
        <f t="shared" si="8"/>
        <v>1.7646106825195991</v>
      </c>
      <c r="C31" s="5">
        <f t="shared" si="9"/>
        <v>37676.96157031224</v>
      </c>
      <c r="D31" s="5">
        <f t="shared" si="0"/>
        <v>36021.189452538827</v>
      </c>
      <c r="E31" s="5">
        <f t="shared" si="1"/>
        <v>26521.189452538827</v>
      </c>
      <c r="F31" s="5">
        <f t="shared" si="2"/>
        <v>8960.9183562539274</v>
      </c>
      <c r="G31" s="5">
        <f t="shared" si="3"/>
        <v>27060.271096284901</v>
      </c>
      <c r="H31" s="22">
        <f t="shared" si="10"/>
        <v>17331.567664837785</v>
      </c>
      <c r="I31" s="5">
        <f t="shared" si="4"/>
        <v>43091.971186259849</v>
      </c>
      <c r="J31" s="26">
        <f t="shared" si="5"/>
        <v>0.15311469978025607</v>
      </c>
      <c r="L31" s="22">
        <f t="shared" si="11"/>
        <v>56689.649963015756</v>
      </c>
      <c r="M31" s="5">
        <f>scrimecost*Meta!O28</f>
        <v>5545.2929999999997</v>
      </c>
      <c r="N31" s="5">
        <f>L31-Grade10!L31</f>
        <v>406.53902366129478</v>
      </c>
      <c r="O31" s="5">
        <f>Grade10!M31-M31</f>
        <v>115.36200000000008</v>
      </c>
      <c r="P31" s="22">
        <f t="shared" si="12"/>
        <v>91.404112408409858</v>
      </c>
      <c r="Q31" s="22"/>
      <c r="R31" s="22"/>
      <c r="S31" s="22">
        <f t="shared" si="6"/>
        <v>472.45755286604964</v>
      </c>
      <c r="T31" s="22">
        <f t="shared" si="7"/>
        <v>679.71198737357804</v>
      </c>
    </row>
    <row r="32" spans="1:20" x14ac:dyDescent="0.2">
      <c r="A32" s="5">
        <v>41</v>
      </c>
      <c r="B32" s="1">
        <f t="shared" si="8"/>
        <v>1.8087259495825889</v>
      </c>
      <c r="C32" s="5">
        <f t="shared" si="9"/>
        <v>38618.885609570047</v>
      </c>
      <c r="D32" s="5">
        <f t="shared" si="0"/>
        <v>36892.469188852294</v>
      </c>
      <c r="E32" s="5">
        <f t="shared" si="1"/>
        <v>27392.469188852294</v>
      </c>
      <c r="F32" s="5">
        <f t="shared" si="2"/>
        <v>9245.3911901602733</v>
      </c>
      <c r="G32" s="5">
        <f t="shared" si="3"/>
        <v>27647.077998692021</v>
      </c>
      <c r="H32" s="22">
        <f t="shared" si="10"/>
        <v>17764.856856458726</v>
      </c>
      <c r="I32" s="5">
        <f t="shared" si="4"/>
        <v>44079.570590916344</v>
      </c>
      <c r="J32" s="26">
        <f t="shared" si="5"/>
        <v>0.15483457209799487</v>
      </c>
      <c r="L32" s="22">
        <f t="shared" si="11"/>
        <v>58106.891212091148</v>
      </c>
      <c r="M32" s="5">
        <f>scrimecost*Meta!O29</f>
        <v>5545.2929999999997</v>
      </c>
      <c r="N32" s="5">
        <f>L32-Grade10!L32</f>
        <v>416.70249925283133</v>
      </c>
      <c r="O32" s="5">
        <f>Grade10!M32-M32</f>
        <v>115.36200000000008</v>
      </c>
      <c r="P32" s="22">
        <f t="shared" si="12"/>
        <v>93.305733820613312</v>
      </c>
      <c r="Q32" s="22"/>
      <c r="R32" s="22"/>
      <c r="S32" s="22">
        <f t="shared" si="6"/>
        <v>481.22038489336347</v>
      </c>
      <c r="T32" s="22">
        <f t="shared" si="7"/>
        <v>702.89087403841484</v>
      </c>
    </row>
    <row r="33" spans="1:20" x14ac:dyDescent="0.2">
      <c r="A33" s="5">
        <v>42</v>
      </c>
      <c r="B33" s="1">
        <f t="shared" si="8"/>
        <v>1.8539440983221533</v>
      </c>
      <c r="C33" s="5">
        <f t="shared" si="9"/>
        <v>39584.357749809293</v>
      </c>
      <c r="D33" s="5">
        <f t="shared" si="0"/>
        <v>37785.530918573597</v>
      </c>
      <c r="E33" s="5">
        <f t="shared" si="1"/>
        <v>28285.530918573597</v>
      </c>
      <c r="F33" s="5">
        <f t="shared" si="2"/>
        <v>9536.9758449142792</v>
      </c>
      <c r="G33" s="5">
        <f t="shared" si="3"/>
        <v>28248.555073659318</v>
      </c>
      <c r="H33" s="22">
        <f t="shared" si="10"/>
        <v>18208.978277870192</v>
      </c>
      <c r="I33" s="5">
        <f t="shared" si="4"/>
        <v>45091.859980689245</v>
      </c>
      <c r="J33" s="26">
        <f t="shared" si="5"/>
        <v>0.15651249631042297</v>
      </c>
      <c r="L33" s="22">
        <f t="shared" si="11"/>
        <v>59559.563492393412</v>
      </c>
      <c r="M33" s="5">
        <f>scrimecost*Meta!O30</f>
        <v>5545.2929999999997</v>
      </c>
      <c r="N33" s="5">
        <f>L33-Grade10!L33</f>
        <v>427.12006173413829</v>
      </c>
      <c r="O33" s="5">
        <f>Grade10!M33-M33</f>
        <v>115.36200000000008</v>
      </c>
      <c r="P33" s="22">
        <f t="shared" si="12"/>
        <v>95.254895768121841</v>
      </c>
      <c r="Q33" s="22"/>
      <c r="R33" s="22"/>
      <c r="S33" s="22">
        <f t="shared" si="6"/>
        <v>490.20228772134772</v>
      </c>
      <c r="T33" s="22">
        <f t="shared" si="7"/>
        <v>726.94403597534006</v>
      </c>
    </row>
    <row r="34" spans="1:20" x14ac:dyDescent="0.2">
      <c r="A34" s="5">
        <v>43</v>
      </c>
      <c r="B34" s="1">
        <f t="shared" si="8"/>
        <v>1.9002927007802071</v>
      </c>
      <c r="C34" s="5">
        <f t="shared" si="9"/>
        <v>40573.966693554517</v>
      </c>
      <c r="D34" s="5">
        <f t="shared" si="0"/>
        <v>38700.919191537927</v>
      </c>
      <c r="E34" s="5">
        <f t="shared" si="1"/>
        <v>29200.919191537927</v>
      </c>
      <c r="F34" s="5">
        <f t="shared" si="2"/>
        <v>9835.8501160371325</v>
      </c>
      <c r="G34" s="5">
        <f t="shared" si="3"/>
        <v>28865.069075500796</v>
      </c>
      <c r="H34" s="22">
        <f t="shared" si="10"/>
        <v>18664.202734816947</v>
      </c>
      <c r="I34" s="5">
        <f t="shared" si="4"/>
        <v>46129.456605206477</v>
      </c>
      <c r="J34" s="26">
        <f t="shared" si="5"/>
        <v>0.15814949554206012</v>
      </c>
      <c r="L34" s="22">
        <f t="shared" si="11"/>
        <v>61048.552579703239</v>
      </c>
      <c r="M34" s="5">
        <f>scrimecost*Meta!O31</f>
        <v>5545.2929999999997</v>
      </c>
      <c r="N34" s="5">
        <f>L34-Grade10!L34</f>
        <v>437.7980632774852</v>
      </c>
      <c r="O34" s="5">
        <f>Grade10!M34-M34</f>
        <v>115.36200000000008</v>
      </c>
      <c r="P34" s="22">
        <f t="shared" si="12"/>
        <v>97.252786764318088</v>
      </c>
      <c r="Q34" s="22"/>
      <c r="R34" s="22"/>
      <c r="S34" s="22">
        <f t="shared" si="6"/>
        <v>499.4087381200365</v>
      </c>
      <c r="T34" s="22">
        <f t="shared" si="7"/>
        <v>751.90597606196081</v>
      </c>
    </row>
    <row r="35" spans="1:20" x14ac:dyDescent="0.2">
      <c r="A35" s="5">
        <v>44</v>
      </c>
      <c r="B35" s="1">
        <f t="shared" si="8"/>
        <v>1.9478000182997122</v>
      </c>
      <c r="C35" s="5">
        <f t="shared" si="9"/>
        <v>41588.315860893381</v>
      </c>
      <c r="D35" s="5">
        <f t="shared" si="0"/>
        <v>39639.19217132638</v>
      </c>
      <c r="E35" s="5">
        <f t="shared" si="1"/>
        <v>30139.19217132638</v>
      </c>
      <c r="F35" s="5">
        <f t="shared" si="2"/>
        <v>10142.196243938062</v>
      </c>
      <c r="G35" s="5">
        <f t="shared" si="3"/>
        <v>29496.995927388318</v>
      </c>
      <c r="H35" s="22">
        <f t="shared" si="10"/>
        <v>19130.807803187367</v>
      </c>
      <c r="I35" s="5">
        <f t="shared" si="4"/>
        <v>47192.99314533663</v>
      </c>
      <c r="J35" s="26">
        <f t="shared" si="5"/>
        <v>0.15974656796316961</v>
      </c>
      <c r="L35" s="22">
        <f t="shared" si="11"/>
        <v>62574.766394195824</v>
      </c>
      <c r="M35" s="5">
        <f>scrimecost*Meta!O32</f>
        <v>5545.2929999999997</v>
      </c>
      <c r="N35" s="5">
        <f>L35-Grade10!L35</f>
        <v>448.74301485943579</v>
      </c>
      <c r="O35" s="5">
        <f>Grade10!M35-M35</f>
        <v>115.36200000000008</v>
      </c>
      <c r="P35" s="22">
        <f t="shared" si="12"/>
        <v>99.300625035419287</v>
      </c>
      <c r="Q35" s="22"/>
      <c r="R35" s="22"/>
      <c r="S35" s="22">
        <f t="shared" si="6"/>
        <v>508.84534977870641</v>
      </c>
      <c r="T35" s="22">
        <f t="shared" si="7"/>
        <v>777.81258393860003</v>
      </c>
    </row>
    <row r="36" spans="1:20" x14ac:dyDescent="0.2">
      <c r="A36" s="5">
        <v>45</v>
      </c>
      <c r="B36" s="1">
        <f t="shared" si="8"/>
        <v>1.9964950187572048</v>
      </c>
      <c r="C36" s="5">
        <f t="shared" si="9"/>
        <v>42628.023757415707</v>
      </c>
      <c r="D36" s="5">
        <f t="shared" si="0"/>
        <v>40600.921975609534</v>
      </c>
      <c r="E36" s="5">
        <f t="shared" si="1"/>
        <v>31100.921975609534</v>
      </c>
      <c r="F36" s="5">
        <f t="shared" si="2"/>
        <v>10456.201025036513</v>
      </c>
      <c r="G36" s="5">
        <f t="shared" si="3"/>
        <v>30144.720950573021</v>
      </c>
      <c r="H36" s="22">
        <f t="shared" si="10"/>
        <v>19609.07799826705</v>
      </c>
      <c r="I36" s="5">
        <f t="shared" si="4"/>
        <v>48283.118098970044</v>
      </c>
      <c r="J36" s="26">
        <f t="shared" si="5"/>
        <v>0.16130468739839834</v>
      </c>
      <c r="L36" s="22">
        <f t="shared" si="11"/>
        <v>64139.135554050714</v>
      </c>
      <c r="M36" s="5">
        <f>scrimecost*Meta!O33</f>
        <v>4701.9769999999999</v>
      </c>
      <c r="N36" s="5">
        <f>L36-Grade10!L36</f>
        <v>459.96159023090149</v>
      </c>
      <c r="O36" s="5">
        <f>Grade10!M36-M36</f>
        <v>97.818000000000211</v>
      </c>
      <c r="P36" s="22">
        <f t="shared" si="12"/>
        <v>101.39965926329796</v>
      </c>
      <c r="Q36" s="22"/>
      <c r="R36" s="22"/>
      <c r="S36" s="22">
        <f t="shared" si="6"/>
        <v>502.14932472881998</v>
      </c>
      <c r="T36" s="22">
        <f t="shared" si="7"/>
        <v>779.29841646224145</v>
      </c>
    </row>
    <row r="37" spans="1:20" x14ac:dyDescent="0.2">
      <c r="A37" s="5">
        <v>46</v>
      </c>
      <c r="B37" s="1">
        <f t="shared" ref="B37:B56" si="13">(1+experiencepremium)^(A37-startage)</f>
        <v>2.0464073942261352</v>
      </c>
      <c r="C37" s="5">
        <f t="shared" ref="C37:C56" si="14">pretaxincome*B37/expnorm</f>
        <v>43693.724351351113</v>
      </c>
      <c r="D37" s="5">
        <f t="shared" ref="D37:D56" si="15">IF(A37&lt;startage,1,0)*(C37*(1-initialunempprob))+IF(A37=startage,1,0)*(C37*(1-unempprob))+IF(A37&gt;startage,1,0)*(C37*(1-unempprob)+unempprob*300*52)</f>
        <v>41586.695024999783</v>
      </c>
      <c r="E37" s="5">
        <f t="shared" si="1"/>
        <v>32086.695024999783</v>
      </c>
      <c r="F37" s="5">
        <f t="shared" si="2"/>
        <v>10778.055925662429</v>
      </c>
      <c r="G37" s="5">
        <f t="shared" si="3"/>
        <v>30808.639099337353</v>
      </c>
      <c r="H37" s="22">
        <f t="shared" ref="H37:H56" si="16">benefits*B37/expnorm</f>
        <v>20099.304948223729</v>
      </c>
      <c r="I37" s="5">
        <f t="shared" ref="I37:I56" si="17">G37+IF(A37&lt;startage,1,0)*(H37*(1-initialunempprob))+IF(A37&gt;=startage,1,0)*(H37*(1-unempprob))</f>
        <v>49400.4961764443</v>
      </c>
      <c r="J37" s="26">
        <f t="shared" si="5"/>
        <v>0.16282480392057275</v>
      </c>
      <c r="L37" s="22">
        <f t="shared" ref="L37:L56" si="18">(sincome+sbenefits)*(1-sunemp)*B37/expnorm</f>
        <v>65742.613942901982</v>
      </c>
      <c r="M37" s="5">
        <f>scrimecost*Meta!O34</f>
        <v>4701.9769999999999</v>
      </c>
      <c r="N37" s="5">
        <f>L37-Grade10!L37</f>
        <v>471.46062998669368</v>
      </c>
      <c r="O37" s="5">
        <f>Grade10!M37-M37</f>
        <v>97.818000000000211</v>
      </c>
      <c r="P37" s="22">
        <f t="shared" si="12"/>
        <v>103.55116934687365</v>
      </c>
      <c r="Q37" s="22"/>
      <c r="R37" s="22"/>
      <c r="S37" s="22">
        <f t="shared" si="6"/>
        <v>512.06366485271371</v>
      </c>
      <c r="T37" s="22">
        <f t="shared" si="7"/>
        <v>806.81994645014549</v>
      </c>
    </row>
    <row r="38" spans="1:20" x14ac:dyDescent="0.2">
      <c r="A38" s="5">
        <v>47</v>
      </c>
      <c r="B38" s="1">
        <f t="shared" si="13"/>
        <v>2.097567579081788</v>
      </c>
      <c r="C38" s="5">
        <f t="shared" si="14"/>
        <v>44786.067460134873</v>
      </c>
      <c r="D38" s="5">
        <f t="shared" si="15"/>
        <v>42597.112400624763</v>
      </c>
      <c r="E38" s="5">
        <f t="shared" si="1"/>
        <v>33097.112400624763</v>
      </c>
      <c r="F38" s="5">
        <f t="shared" si="2"/>
        <v>11107.957198803986</v>
      </c>
      <c r="G38" s="5">
        <f t="shared" si="3"/>
        <v>31489.155201820777</v>
      </c>
      <c r="H38" s="22">
        <f t="shared" si="16"/>
        <v>20601.787571929315</v>
      </c>
      <c r="I38" s="5">
        <f t="shared" si="17"/>
        <v>50545.808705855394</v>
      </c>
      <c r="J38" s="26">
        <f t="shared" si="5"/>
        <v>0.16430784443001117</v>
      </c>
      <c r="L38" s="22">
        <f t="shared" si="18"/>
        <v>67386.179291474517</v>
      </c>
      <c r="M38" s="5">
        <f>scrimecost*Meta!O35</f>
        <v>4701.9769999999999</v>
      </c>
      <c r="N38" s="5">
        <f>L38-Grade10!L38</f>
        <v>483.24714573632809</v>
      </c>
      <c r="O38" s="5">
        <f>Grade10!M38-M38</f>
        <v>97.818000000000211</v>
      </c>
      <c r="P38" s="22">
        <f t="shared" si="12"/>
        <v>105.75646718253871</v>
      </c>
      <c r="Q38" s="22"/>
      <c r="R38" s="22"/>
      <c r="S38" s="22">
        <f t="shared" si="6"/>
        <v>522.22586347966853</v>
      </c>
      <c r="T38" s="22">
        <f t="shared" si="7"/>
        <v>835.39678293236</v>
      </c>
    </row>
    <row r="39" spans="1:20" x14ac:dyDescent="0.2">
      <c r="A39" s="5">
        <v>48</v>
      </c>
      <c r="B39" s="1">
        <f t="shared" si="13"/>
        <v>2.1500067685588333</v>
      </c>
      <c r="C39" s="5">
        <f t="shared" si="14"/>
        <v>45905.719146638257</v>
      </c>
      <c r="D39" s="5">
        <f t="shared" si="15"/>
        <v>43632.790210640393</v>
      </c>
      <c r="E39" s="5">
        <f t="shared" si="1"/>
        <v>34132.790210640393</v>
      </c>
      <c r="F39" s="5">
        <f t="shared" si="2"/>
        <v>11446.106003774088</v>
      </c>
      <c r="G39" s="5">
        <f t="shared" si="3"/>
        <v>32186.684206866303</v>
      </c>
      <c r="H39" s="22">
        <f t="shared" si="16"/>
        <v>21116.832261227555</v>
      </c>
      <c r="I39" s="5">
        <f t="shared" si="17"/>
        <v>51719.754048501796</v>
      </c>
      <c r="J39" s="26">
        <f t="shared" ref="J39:J56" si="19">(F39-(IF(A39&gt;startage,1,0)*(unempprob*300*52)))/(IF(A39&lt;startage,1,0)*((C39+H39)*(1-initialunempprob))+IF(A39&gt;=startage,1,0)*((C39+H39)*(1-unempprob)))</f>
        <v>0.16575471321970714</v>
      </c>
      <c r="L39" s="22">
        <f t="shared" si="18"/>
        <v>69070.833773761406</v>
      </c>
      <c r="M39" s="5">
        <f>scrimecost*Meta!O36</f>
        <v>4701.9769999999999</v>
      </c>
      <c r="N39" s="5">
        <f>L39-Grade10!L39</f>
        <v>495.32832437977777</v>
      </c>
      <c r="O39" s="5">
        <f>Grade10!M39-M39</f>
        <v>97.818000000000211</v>
      </c>
      <c r="P39" s="22">
        <f t="shared" si="12"/>
        <v>108.01689746409541</v>
      </c>
      <c r="Q39" s="22"/>
      <c r="R39" s="22"/>
      <c r="S39" s="22">
        <f t="shared" ref="S39:S69" si="20">IF(A39&lt;startage,1,0)*(N39-Q39-R39)+IF(A39&gt;=startage,1,0)*completionprob*(N39*spart+O39+P39)</f>
        <v>532.64211707234836</v>
      </c>
      <c r="T39" s="22">
        <f t="shared" ref="T39:T69" si="21">S39/sreturn^(A39-startage+1)</f>
        <v>865.07085672152675</v>
      </c>
    </row>
    <row r="40" spans="1:20" x14ac:dyDescent="0.2">
      <c r="A40" s="5">
        <v>49</v>
      </c>
      <c r="B40" s="1">
        <f t="shared" si="13"/>
        <v>2.2037569377728037</v>
      </c>
      <c r="C40" s="5">
        <f t="shared" si="14"/>
        <v>47053.3621253042</v>
      </c>
      <c r="D40" s="5">
        <f t="shared" si="15"/>
        <v>44694.359965906384</v>
      </c>
      <c r="E40" s="5">
        <f t="shared" si="1"/>
        <v>35194.359965906384</v>
      </c>
      <c r="F40" s="5">
        <f t="shared" si="2"/>
        <v>11862.144525459073</v>
      </c>
      <c r="G40" s="5">
        <f t="shared" si="3"/>
        <v>32832.215440447311</v>
      </c>
      <c r="H40" s="22">
        <f t="shared" si="16"/>
        <v>21644.75306775824</v>
      </c>
      <c r="I40" s="5">
        <f t="shared" si="17"/>
        <v>52853.61202812368</v>
      </c>
      <c r="J40" s="26">
        <f t="shared" si="19"/>
        <v>0.16825898542010895</v>
      </c>
      <c r="L40" s="22">
        <f t="shared" si="18"/>
        <v>70797.604618105412</v>
      </c>
      <c r="M40" s="5">
        <f>scrimecost*Meta!O37</f>
        <v>4701.9769999999999</v>
      </c>
      <c r="N40" s="5">
        <f>L40-Grade10!L40</f>
        <v>507.71153248925111</v>
      </c>
      <c r="O40" s="5">
        <f>Grade10!M40-M40</f>
        <v>97.818000000000211</v>
      </c>
      <c r="P40" s="22">
        <f t="shared" ref="P40:P56" si="22">(spart-initialspart)*(L40*J40+nptrans)</f>
        <v>110.79799873929871</v>
      </c>
      <c r="Q40" s="22"/>
      <c r="R40" s="22"/>
      <c r="S40" s="22">
        <f t="shared" si="20"/>
        <v>543.7518385055572</v>
      </c>
      <c r="T40" s="22">
        <f t="shared" si="21"/>
        <v>896.59986945492585</v>
      </c>
    </row>
    <row r="41" spans="1:20" x14ac:dyDescent="0.2">
      <c r="A41" s="5">
        <v>50</v>
      </c>
      <c r="B41" s="1">
        <f t="shared" si="13"/>
        <v>2.2588508612171236</v>
      </c>
      <c r="C41" s="5">
        <f t="shared" si="14"/>
        <v>48229.69617843681</v>
      </c>
      <c r="D41" s="5">
        <f t="shared" si="15"/>
        <v>45782.468965054053</v>
      </c>
      <c r="E41" s="5">
        <f t="shared" si="1"/>
        <v>36282.468965054053</v>
      </c>
      <c r="F41" s="5">
        <f t="shared" si="2"/>
        <v>12326.223013595554</v>
      </c>
      <c r="G41" s="5">
        <f t="shared" si="3"/>
        <v>33456.245951458499</v>
      </c>
      <c r="H41" s="22">
        <f t="shared" si="16"/>
        <v>22185.871894452193</v>
      </c>
      <c r="I41" s="5">
        <f t="shared" si="17"/>
        <v>53978.177453826778</v>
      </c>
      <c r="J41" s="26">
        <f t="shared" si="19"/>
        <v>0.17128004454689746</v>
      </c>
      <c r="L41" s="22">
        <f t="shared" si="18"/>
        <v>72567.544733558054</v>
      </c>
      <c r="M41" s="5">
        <f>scrimecost*Meta!O38</f>
        <v>3402.6819999999998</v>
      </c>
      <c r="N41" s="5">
        <f>L41-Grade10!L41</f>
        <v>520.40432080149185</v>
      </c>
      <c r="O41" s="5">
        <f>Grade10!M41-M41</f>
        <v>70.788000000000011</v>
      </c>
      <c r="P41" s="22">
        <f t="shared" si="22"/>
        <v>113.90023376773688</v>
      </c>
      <c r="Q41" s="22"/>
      <c r="R41" s="22"/>
      <c r="S41" s="22">
        <f t="shared" si="20"/>
        <v>530.15506157914115</v>
      </c>
      <c r="T41" s="22">
        <f t="shared" si="21"/>
        <v>887.52909821812386</v>
      </c>
    </row>
    <row r="42" spans="1:20" x14ac:dyDescent="0.2">
      <c r="A42" s="5">
        <v>51</v>
      </c>
      <c r="B42" s="1">
        <f t="shared" si="13"/>
        <v>2.3153221327475517</v>
      </c>
      <c r="C42" s="5">
        <f t="shared" si="14"/>
        <v>49435.438582897725</v>
      </c>
      <c r="D42" s="5">
        <f t="shared" si="15"/>
        <v>46897.780689180399</v>
      </c>
      <c r="E42" s="5">
        <f t="shared" si="1"/>
        <v>37397.780689180399</v>
      </c>
      <c r="F42" s="5">
        <f t="shared" si="2"/>
        <v>12801.90346393544</v>
      </c>
      <c r="G42" s="5">
        <f t="shared" si="3"/>
        <v>34095.877225244956</v>
      </c>
      <c r="H42" s="22">
        <f t="shared" si="16"/>
        <v>22740.518691813497</v>
      </c>
      <c r="I42" s="5">
        <f t="shared" si="17"/>
        <v>55130.857015172442</v>
      </c>
      <c r="J42" s="26">
        <f t="shared" si="19"/>
        <v>0.17422741930473976</v>
      </c>
      <c r="L42" s="22">
        <f t="shared" si="18"/>
        <v>74381.733351897012</v>
      </c>
      <c r="M42" s="5">
        <f>scrimecost*Meta!O39</f>
        <v>3402.6819999999998</v>
      </c>
      <c r="N42" s="5">
        <f>L42-Grade10!L42</f>
        <v>533.41442882153206</v>
      </c>
      <c r="O42" s="5">
        <f>Grade10!M42-M42</f>
        <v>70.788000000000011</v>
      </c>
      <c r="P42" s="22">
        <f t="shared" si="22"/>
        <v>117.08002467188592</v>
      </c>
      <c r="Q42" s="22"/>
      <c r="R42" s="22"/>
      <c r="S42" s="22">
        <f t="shared" si="20"/>
        <v>542.06782997956032</v>
      </c>
      <c r="T42" s="22">
        <f t="shared" si="21"/>
        <v>921.32971426560164</v>
      </c>
    </row>
    <row r="43" spans="1:20" x14ac:dyDescent="0.2">
      <c r="A43" s="5">
        <v>52</v>
      </c>
      <c r="B43" s="1">
        <f t="shared" si="13"/>
        <v>2.3732051860662402</v>
      </c>
      <c r="C43" s="5">
        <f t="shared" si="14"/>
        <v>50671.324547470162</v>
      </c>
      <c r="D43" s="5">
        <f t="shared" si="15"/>
        <v>48040.975206409901</v>
      </c>
      <c r="E43" s="5">
        <f t="shared" si="1"/>
        <v>38540.975206409901</v>
      </c>
      <c r="F43" s="5">
        <f t="shared" si="2"/>
        <v>13289.475925533821</v>
      </c>
      <c r="G43" s="5">
        <f t="shared" si="3"/>
        <v>34751.49928087608</v>
      </c>
      <c r="H43" s="22">
        <f t="shared" si="16"/>
        <v>23309.03165910883</v>
      </c>
      <c r="I43" s="5">
        <f t="shared" si="17"/>
        <v>56312.353565551748</v>
      </c>
      <c r="J43" s="26">
        <f t="shared" si="19"/>
        <v>0.17710290687336649</v>
      </c>
      <c r="L43" s="22">
        <f t="shared" si="18"/>
        <v>76241.276685694422</v>
      </c>
      <c r="M43" s="5">
        <f>scrimecost*Meta!O40</f>
        <v>3402.6819999999998</v>
      </c>
      <c r="N43" s="5">
        <f>L43-Grade10!L43</f>
        <v>546.74978954205289</v>
      </c>
      <c r="O43" s="5">
        <f>Grade10!M43-M43</f>
        <v>70.788000000000011</v>
      </c>
      <c r="P43" s="22">
        <f t="shared" si="22"/>
        <v>120.33931034863875</v>
      </c>
      <c r="Q43" s="22"/>
      <c r="R43" s="22"/>
      <c r="S43" s="22">
        <f t="shared" si="20"/>
        <v>554.2784175899759</v>
      </c>
      <c r="T43" s="22">
        <f t="shared" si="21"/>
        <v>956.46959297949581</v>
      </c>
    </row>
    <row r="44" spans="1:20" x14ac:dyDescent="0.2">
      <c r="A44" s="5">
        <v>53</v>
      </c>
      <c r="B44" s="1">
        <f t="shared" si="13"/>
        <v>2.4325353157178964</v>
      </c>
      <c r="C44" s="5">
        <f t="shared" si="14"/>
        <v>51938.107661156922</v>
      </c>
      <c r="D44" s="5">
        <f t="shared" si="15"/>
        <v>49212.749586570157</v>
      </c>
      <c r="E44" s="5">
        <f t="shared" si="1"/>
        <v>39712.749586570157</v>
      </c>
      <c r="F44" s="5">
        <f t="shared" si="2"/>
        <v>13789.237698672172</v>
      </c>
      <c r="G44" s="5">
        <f t="shared" si="3"/>
        <v>35423.511887897985</v>
      </c>
      <c r="H44" s="22">
        <f t="shared" si="16"/>
        <v>23891.757450586556</v>
      </c>
      <c r="I44" s="5">
        <f t="shared" si="17"/>
        <v>57523.387529690546</v>
      </c>
      <c r="J44" s="26">
        <f t="shared" si="19"/>
        <v>0.17990826059885598</v>
      </c>
      <c r="L44" s="22">
        <f t="shared" si="18"/>
        <v>78147.308602836783</v>
      </c>
      <c r="M44" s="5">
        <f>scrimecost*Meta!O41</f>
        <v>3402.6819999999998</v>
      </c>
      <c r="N44" s="5">
        <f>L44-Grade10!L44</f>
        <v>560.41853428063041</v>
      </c>
      <c r="O44" s="5">
        <f>Grade10!M44-M44</f>
        <v>70.788000000000011</v>
      </c>
      <c r="P44" s="22">
        <f t="shared" si="22"/>
        <v>123.6800781673104</v>
      </c>
      <c r="Q44" s="22"/>
      <c r="R44" s="22"/>
      <c r="S44" s="22">
        <f t="shared" si="20"/>
        <v>566.7942698906819</v>
      </c>
      <c r="T44" s="22">
        <f t="shared" si="21"/>
        <v>993.00264684643287</v>
      </c>
    </row>
    <row r="45" spans="1:20" x14ac:dyDescent="0.2">
      <c r="A45" s="5">
        <v>54</v>
      </c>
      <c r="B45" s="1">
        <f t="shared" si="13"/>
        <v>2.4933486986108435</v>
      </c>
      <c r="C45" s="5">
        <f t="shared" si="14"/>
        <v>53236.560352685839</v>
      </c>
      <c r="D45" s="5">
        <f t="shared" si="15"/>
        <v>50413.818326234403</v>
      </c>
      <c r="E45" s="5">
        <f t="shared" si="1"/>
        <v>40913.818326234403</v>
      </c>
      <c r="F45" s="5">
        <f t="shared" si="2"/>
        <v>14301.493516138973</v>
      </c>
      <c r="G45" s="5">
        <f t="shared" si="3"/>
        <v>36112.32481009543</v>
      </c>
      <c r="H45" s="22">
        <f t="shared" si="16"/>
        <v>24489.051386851217</v>
      </c>
      <c r="I45" s="5">
        <f t="shared" si="17"/>
        <v>58764.697342932806</v>
      </c>
      <c r="J45" s="26">
        <f t="shared" si="19"/>
        <v>0.18264519106274815</v>
      </c>
      <c r="L45" s="22">
        <f t="shared" si="18"/>
        <v>80100.991317907698</v>
      </c>
      <c r="M45" s="5">
        <f>scrimecost*Meta!O42</f>
        <v>3402.6819999999998</v>
      </c>
      <c r="N45" s="5">
        <f>L45-Grade10!L45</f>
        <v>574.42899763764581</v>
      </c>
      <c r="O45" s="5">
        <f>Grade10!M45-M45</f>
        <v>70.788000000000011</v>
      </c>
      <c r="P45" s="22">
        <f t="shared" si="22"/>
        <v>127.10436518144883</v>
      </c>
      <c r="Q45" s="22"/>
      <c r="R45" s="22"/>
      <c r="S45" s="22">
        <f t="shared" si="20"/>
        <v>579.6230184988874</v>
      </c>
      <c r="T45" s="22">
        <f t="shared" si="21"/>
        <v>1030.9849718991497</v>
      </c>
    </row>
    <row r="46" spans="1:20" x14ac:dyDescent="0.2">
      <c r="A46" s="5">
        <v>55</v>
      </c>
      <c r="B46" s="1">
        <f t="shared" si="13"/>
        <v>2.555682416076114</v>
      </c>
      <c r="C46" s="5">
        <f t="shared" si="14"/>
        <v>54567.474361502973</v>
      </c>
      <c r="D46" s="5">
        <f t="shared" si="15"/>
        <v>51644.91378439025</v>
      </c>
      <c r="E46" s="5">
        <f t="shared" si="1"/>
        <v>42144.91378439025</v>
      </c>
      <c r="F46" s="5">
        <f t="shared" si="2"/>
        <v>14826.55572904244</v>
      </c>
      <c r="G46" s="5">
        <f t="shared" si="3"/>
        <v>36818.35805534781</v>
      </c>
      <c r="H46" s="22">
        <f t="shared" si="16"/>
        <v>25101.27767152249</v>
      </c>
      <c r="I46" s="5">
        <f t="shared" si="17"/>
        <v>60037.039901506112</v>
      </c>
      <c r="J46" s="26">
        <f t="shared" si="19"/>
        <v>0.18531536712508193</v>
      </c>
      <c r="L46" s="22">
        <f t="shared" si="18"/>
        <v>82103.51610085537</v>
      </c>
      <c r="M46" s="5">
        <f>scrimecost*Meta!O43</f>
        <v>2034.7449999999999</v>
      </c>
      <c r="N46" s="5">
        <f>L46-Grade10!L46</f>
        <v>588.78972257857095</v>
      </c>
      <c r="O46" s="5">
        <f>Grade10!M46-M46</f>
        <v>42.329999999999927</v>
      </c>
      <c r="P46" s="22">
        <f t="shared" si="22"/>
        <v>130.61425937094066</v>
      </c>
      <c r="Q46" s="22"/>
      <c r="R46" s="22"/>
      <c r="S46" s="22">
        <f t="shared" si="20"/>
        <v>566.22117182228715</v>
      </c>
      <c r="T46" s="22">
        <f t="shared" si="21"/>
        <v>1022.5264960310615</v>
      </c>
    </row>
    <row r="47" spans="1:20" x14ac:dyDescent="0.2">
      <c r="A47" s="5">
        <v>56</v>
      </c>
      <c r="B47" s="1">
        <f t="shared" si="13"/>
        <v>2.6195744764780171</v>
      </c>
      <c r="C47" s="5">
        <f t="shared" si="14"/>
        <v>55931.661220540554</v>
      </c>
      <c r="D47" s="5">
        <f t="shared" si="15"/>
        <v>52906.786629000017</v>
      </c>
      <c r="E47" s="5">
        <f t="shared" si="1"/>
        <v>43406.786629000017</v>
      </c>
      <c r="F47" s="5">
        <f t="shared" si="2"/>
        <v>15364.744497268508</v>
      </c>
      <c r="G47" s="5">
        <f t="shared" si="3"/>
        <v>37542.042131731505</v>
      </c>
      <c r="H47" s="22">
        <f t="shared" si="16"/>
        <v>25728.809613310557</v>
      </c>
      <c r="I47" s="5">
        <f t="shared" si="17"/>
        <v>61341.191024043772</v>
      </c>
      <c r="J47" s="26">
        <f t="shared" si="19"/>
        <v>0.18792041694199307</v>
      </c>
      <c r="L47" s="22">
        <f t="shared" si="18"/>
        <v>84156.104003376764</v>
      </c>
      <c r="M47" s="5">
        <f>scrimecost*Meta!O44</f>
        <v>2034.7449999999999</v>
      </c>
      <c r="N47" s="5">
        <f>L47-Grade10!L47</f>
        <v>603.50946564304468</v>
      </c>
      <c r="O47" s="5">
        <f>Grade10!M47-M47</f>
        <v>42.329999999999927</v>
      </c>
      <c r="P47" s="22">
        <f t="shared" si="22"/>
        <v>134.21190091516988</v>
      </c>
      <c r="Q47" s="22"/>
      <c r="R47" s="22"/>
      <c r="S47" s="22">
        <f t="shared" si="20"/>
        <v>579.69937582878947</v>
      </c>
      <c r="T47" s="22">
        <f t="shared" si="21"/>
        <v>1062.8526372196184</v>
      </c>
    </row>
    <row r="48" spans="1:20" x14ac:dyDescent="0.2">
      <c r="A48" s="5">
        <v>57</v>
      </c>
      <c r="B48" s="1">
        <f t="shared" si="13"/>
        <v>2.6850638383899672</v>
      </c>
      <c r="C48" s="5">
        <f t="shared" si="14"/>
        <v>57329.952751054057</v>
      </c>
      <c r="D48" s="5">
        <f t="shared" si="15"/>
        <v>54200.206294725009</v>
      </c>
      <c r="E48" s="5">
        <f t="shared" si="1"/>
        <v>44700.206294725009</v>
      </c>
      <c r="F48" s="5">
        <f t="shared" si="2"/>
        <v>15916.387984700217</v>
      </c>
      <c r="G48" s="5">
        <f t="shared" si="3"/>
        <v>38283.818310024792</v>
      </c>
      <c r="H48" s="22">
        <f t="shared" si="16"/>
        <v>26372.029853643318</v>
      </c>
      <c r="I48" s="5">
        <f t="shared" si="17"/>
        <v>62677.94592464486</v>
      </c>
      <c r="J48" s="26">
        <f t="shared" si="19"/>
        <v>0.19046192895849165</v>
      </c>
      <c r="L48" s="22">
        <f t="shared" si="18"/>
        <v>86260.006603461166</v>
      </c>
      <c r="M48" s="5">
        <f>scrimecost*Meta!O45</f>
        <v>2034.7449999999999</v>
      </c>
      <c r="N48" s="5">
        <f>L48-Grade10!L48</f>
        <v>618.59720228411607</v>
      </c>
      <c r="O48" s="5">
        <f>Grade10!M48-M48</f>
        <v>42.329999999999927</v>
      </c>
      <c r="P48" s="22">
        <f t="shared" si="22"/>
        <v>137.89948349800477</v>
      </c>
      <c r="Q48" s="22"/>
      <c r="R48" s="22"/>
      <c r="S48" s="22">
        <f t="shared" si="20"/>
        <v>593.51453493544466</v>
      </c>
      <c r="T48" s="22">
        <f t="shared" si="21"/>
        <v>1104.7991625767681</v>
      </c>
    </row>
    <row r="49" spans="1:20" x14ac:dyDescent="0.2">
      <c r="A49" s="5">
        <v>58</v>
      </c>
      <c r="B49" s="1">
        <f t="shared" si="13"/>
        <v>2.7521904343497163</v>
      </c>
      <c r="C49" s="5">
        <f t="shared" si="14"/>
        <v>58763.201569830402</v>
      </c>
      <c r="D49" s="5">
        <f t="shared" si="15"/>
        <v>55525.961452093128</v>
      </c>
      <c r="E49" s="5">
        <f t="shared" si="1"/>
        <v>46025.961452093128</v>
      </c>
      <c r="F49" s="5">
        <f t="shared" si="2"/>
        <v>16481.822559317719</v>
      </c>
      <c r="G49" s="5">
        <f t="shared" si="3"/>
        <v>39044.138892775409</v>
      </c>
      <c r="H49" s="22">
        <f t="shared" si="16"/>
        <v>27031.330599984401</v>
      </c>
      <c r="I49" s="5">
        <f t="shared" si="17"/>
        <v>64048.11969776098</v>
      </c>
      <c r="J49" s="26">
        <f t="shared" si="19"/>
        <v>0.19294145287702683</v>
      </c>
      <c r="L49" s="22">
        <f t="shared" si="18"/>
        <v>88416.506768547697</v>
      </c>
      <c r="M49" s="5">
        <f>scrimecost*Meta!O46</f>
        <v>2034.7449999999999</v>
      </c>
      <c r="N49" s="5">
        <f>L49-Grade10!L49</f>
        <v>634.06213234121969</v>
      </c>
      <c r="O49" s="5">
        <f>Grade10!M49-M49</f>
        <v>42.329999999999927</v>
      </c>
      <c r="P49" s="22">
        <f t="shared" si="22"/>
        <v>141.67925564541054</v>
      </c>
      <c r="Q49" s="22"/>
      <c r="R49" s="22"/>
      <c r="S49" s="22">
        <f t="shared" si="20"/>
        <v>607.6750730197698</v>
      </c>
      <c r="T49" s="22">
        <f t="shared" si="21"/>
        <v>1148.4316547565602</v>
      </c>
    </row>
    <row r="50" spans="1:20" x14ac:dyDescent="0.2">
      <c r="A50" s="5">
        <v>59</v>
      </c>
      <c r="B50" s="1">
        <f t="shared" si="13"/>
        <v>2.8209951952084591</v>
      </c>
      <c r="C50" s="5">
        <f t="shared" si="14"/>
        <v>60232.281609076163</v>
      </c>
      <c r="D50" s="5">
        <f t="shared" si="15"/>
        <v>56884.860488395454</v>
      </c>
      <c r="E50" s="5">
        <f t="shared" si="1"/>
        <v>47384.860488395454</v>
      </c>
      <c r="F50" s="5">
        <f t="shared" si="2"/>
        <v>17061.39299830066</v>
      </c>
      <c r="G50" s="5">
        <f t="shared" si="3"/>
        <v>39823.467490094794</v>
      </c>
      <c r="H50" s="22">
        <f t="shared" si="16"/>
        <v>27707.11386498401</v>
      </c>
      <c r="I50" s="5">
        <f t="shared" si="17"/>
        <v>65452.547815205005</v>
      </c>
      <c r="J50" s="26">
        <f t="shared" si="19"/>
        <v>0.19536050060242699</v>
      </c>
      <c r="L50" s="22">
        <f t="shared" si="18"/>
        <v>90626.919437761389</v>
      </c>
      <c r="M50" s="5">
        <f>scrimecost*Meta!O47</f>
        <v>2034.7449999999999</v>
      </c>
      <c r="N50" s="5">
        <f>L50-Grade10!L50</f>
        <v>649.91368564973527</v>
      </c>
      <c r="O50" s="5">
        <f>Grade10!M50-M50</f>
        <v>42.329999999999927</v>
      </c>
      <c r="P50" s="22">
        <f t="shared" si="22"/>
        <v>145.55352209650144</v>
      </c>
      <c r="Q50" s="22"/>
      <c r="R50" s="22"/>
      <c r="S50" s="22">
        <f t="shared" si="20"/>
        <v>622.18962455619248</v>
      </c>
      <c r="T50" s="22">
        <f t="shared" si="21"/>
        <v>1193.818358072336</v>
      </c>
    </row>
    <row r="51" spans="1:20" x14ac:dyDescent="0.2">
      <c r="A51" s="5">
        <v>60</v>
      </c>
      <c r="B51" s="1">
        <f t="shared" si="13"/>
        <v>2.8915200750886707</v>
      </c>
      <c r="C51" s="5">
        <f t="shared" si="14"/>
        <v>61738.088649303078</v>
      </c>
      <c r="D51" s="5">
        <f t="shared" si="15"/>
        <v>58277.732000605349</v>
      </c>
      <c r="E51" s="5">
        <f t="shared" si="1"/>
        <v>48777.732000605349</v>
      </c>
      <c r="F51" s="5">
        <f t="shared" si="2"/>
        <v>17655.452698258181</v>
      </c>
      <c r="G51" s="5">
        <f t="shared" si="3"/>
        <v>40622.279302347168</v>
      </c>
      <c r="H51" s="22">
        <f t="shared" si="16"/>
        <v>28399.79171160861</v>
      </c>
      <c r="I51" s="5">
        <f t="shared" si="17"/>
        <v>66892.086635585132</v>
      </c>
      <c r="J51" s="26">
        <f t="shared" si="19"/>
        <v>0.19772054716379309</v>
      </c>
      <c r="L51" s="22">
        <f t="shared" si="18"/>
        <v>92892.592423705428</v>
      </c>
      <c r="M51" s="5">
        <f>scrimecost*Meta!O48</f>
        <v>1117.884</v>
      </c>
      <c r="N51" s="5">
        <f>L51-Grade10!L51</f>
        <v>666.16152779101685</v>
      </c>
      <c r="O51" s="5">
        <f>Grade10!M51-M51</f>
        <v>23.256000000000085</v>
      </c>
      <c r="P51" s="22">
        <f t="shared" si="22"/>
        <v>149.52464520886966</v>
      </c>
      <c r="Q51" s="22"/>
      <c r="R51" s="22"/>
      <c r="S51" s="22">
        <f t="shared" si="20"/>
        <v>619.27099788106227</v>
      </c>
      <c r="T51" s="22">
        <f t="shared" si="21"/>
        <v>1206.3629349692294</v>
      </c>
    </row>
    <row r="52" spans="1:20" x14ac:dyDescent="0.2">
      <c r="A52" s="5">
        <v>61</v>
      </c>
      <c r="B52" s="1">
        <f t="shared" si="13"/>
        <v>2.9638080769658868</v>
      </c>
      <c r="C52" s="5">
        <f t="shared" si="14"/>
        <v>63281.540865535637</v>
      </c>
      <c r="D52" s="5">
        <f t="shared" si="15"/>
        <v>59705.425300620467</v>
      </c>
      <c r="E52" s="5">
        <f t="shared" si="1"/>
        <v>50205.425300620467</v>
      </c>
      <c r="F52" s="5">
        <f t="shared" si="2"/>
        <v>18264.363890714631</v>
      </c>
      <c r="G52" s="5">
        <f t="shared" si="3"/>
        <v>41441.061409905837</v>
      </c>
      <c r="H52" s="22">
        <f t="shared" si="16"/>
        <v>29109.78650439882</v>
      </c>
      <c r="I52" s="5">
        <f t="shared" si="17"/>
        <v>68367.613926474747</v>
      </c>
      <c r="J52" s="26">
        <f t="shared" si="19"/>
        <v>0.20002303161390633</v>
      </c>
      <c r="L52" s="22">
        <f t="shared" si="18"/>
        <v>95214.907234298036</v>
      </c>
      <c r="M52" s="5">
        <f>scrimecost*Meta!O49</f>
        <v>1117.884</v>
      </c>
      <c r="N52" s="5">
        <f>L52-Grade10!L52</f>
        <v>682.81556598575844</v>
      </c>
      <c r="O52" s="5">
        <f>Grade10!M52-M52</f>
        <v>23.256000000000085</v>
      </c>
      <c r="P52" s="22">
        <f t="shared" si="22"/>
        <v>153.59504639904708</v>
      </c>
      <c r="Q52" s="22"/>
      <c r="R52" s="22"/>
      <c r="S52" s="22">
        <f t="shared" si="20"/>
        <v>634.52034858900424</v>
      </c>
      <c r="T52" s="22">
        <f t="shared" si="21"/>
        <v>1254.9445983693568</v>
      </c>
    </row>
    <row r="53" spans="1:20" x14ac:dyDescent="0.2">
      <c r="A53" s="5">
        <v>62</v>
      </c>
      <c r="B53" s="1">
        <f t="shared" si="13"/>
        <v>3.0379032788900342</v>
      </c>
      <c r="C53" s="5">
        <f t="shared" si="14"/>
        <v>64863.579387174032</v>
      </c>
      <c r="D53" s="5">
        <f t="shared" si="15"/>
        <v>61168.810933135981</v>
      </c>
      <c r="E53" s="5">
        <f t="shared" si="1"/>
        <v>51668.810933135981</v>
      </c>
      <c r="F53" s="5">
        <f t="shared" si="2"/>
        <v>18888.497862982498</v>
      </c>
      <c r="G53" s="5">
        <f t="shared" si="3"/>
        <v>42280.313070153483</v>
      </c>
      <c r="H53" s="22">
        <f t="shared" si="16"/>
        <v>29837.53116700879</v>
      </c>
      <c r="I53" s="5">
        <f t="shared" si="17"/>
        <v>69880.029399636609</v>
      </c>
      <c r="J53" s="26">
        <f t="shared" si="19"/>
        <v>0.20226935790669973</v>
      </c>
      <c r="L53" s="22">
        <f t="shared" si="18"/>
        <v>97595.279915155494</v>
      </c>
      <c r="M53" s="5">
        <f>scrimecost*Meta!O50</f>
        <v>1117.884</v>
      </c>
      <c r="N53" s="5">
        <f>L53-Grade10!L53</f>
        <v>699.88595513541077</v>
      </c>
      <c r="O53" s="5">
        <f>Grade10!M53-M53</f>
        <v>23.256000000000085</v>
      </c>
      <c r="P53" s="22">
        <f t="shared" si="22"/>
        <v>157.76720761897892</v>
      </c>
      <c r="Q53" s="22"/>
      <c r="R53" s="22"/>
      <c r="S53" s="22">
        <f t="shared" si="20"/>
        <v>650.15093306467361</v>
      </c>
      <c r="T53" s="22">
        <f t="shared" si="21"/>
        <v>1305.4941953165371</v>
      </c>
    </row>
    <row r="54" spans="1:20" x14ac:dyDescent="0.2">
      <c r="A54" s="5">
        <v>63</v>
      </c>
      <c r="B54" s="1">
        <f t="shared" si="13"/>
        <v>3.1138508608622844</v>
      </c>
      <c r="C54" s="5">
        <f t="shared" si="14"/>
        <v>66485.16887185337</v>
      </c>
      <c r="D54" s="5">
        <f t="shared" si="15"/>
        <v>62668.781206464373</v>
      </c>
      <c r="E54" s="5">
        <f t="shared" si="1"/>
        <v>53168.781206464373</v>
      </c>
      <c r="F54" s="5">
        <f t="shared" si="2"/>
        <v>19528.235184557056</v>
      </c>
      <c r="G54" s="5">
        <f t="shared" si="3"/>
        <v>43140.546021907314</v>
      </c>
      <c r="H54" s="22">
        <f t="shared" si="16"/>
        <v>30583.469446184004</v>
      </c>
      <c r="I54" s="5">
        <f t="shared" si="17"/>
        <v>71430.25525962752</v>
      </c>
      <c r="J54" s="26">
        <f t="shared" si="19"/>
        <v>0.20446089575332738</v>
      </c>
      <c r="L54" s="22">
        <f t="shared" si="18"/>
        <v>100035.16191303436</v>
      </c>
      <c r="M54" s="5">
        <f>scrimecost*Meta!O51</f>
        <v>1117.884</v>
      </c>
      <c r="N54" s="5">
        <f>L54-Grade10!L54</f>
        <v>717.38310401377385</v>
      </c>
      <c r="O54" s="5">
        <f>Grade10!M54-M54</f>
        <v>23.256000000000085</v>
      </c>
      <c r="P54" s="22">
        <f t="shared" si="22"/>
        <v>162.04367286940899</v>
      </c>
      <c r="Q54" s="22"/>
      <c r="R54" s="22"/>
      <c r="S54" s="22">
        <f t="shared" si="20"/>
        <v>666.17228215221382</v>
      </c>
      <c r="T54" s="22">
        <f t="shared" si="21"/>
        <v>1358.0916195132604</v>
      </c>
    </row>
    <row r="55" spans="1:20" x14ac:dyDescent="0.2">
      <c r="A55" s="5">
        <v>64</v>
      </c>
      <c r="B55" s="1">
        <f t="shared" si="13"/>
        <v>3.1916971323838421</v>
      </c>
      <c r="C55" s="5">
        <f t="shared" si="14"/>
        <v>68147.298093649719</v>
      </c>
      <c r="D55" s="5">
        <f t="shared" si="15"/>
        <v>64206.250736625996</v>
      </c>
      <c r="E55" s="5">
        <f t="shared" si="1"/>
        <v>54706.250736625996</v>
      </c>
      <c r="F55" s="5">
        <f t="shared" si="2"/>
        <v>20183.965939170987</v>
      </c>
      <c r="G55" s="5">
        <f t="shared" si="3"/>
        <v>44022.28479745501</v>
      </c>
      <c r="H55" s="22">
        <f t="shared" si="16"/>
        <v>31348.056182338612</v>
      </c>
      <c r="I55" s="5">
        <f t="shared" si="17"/>
        <v>73019.236766118236</v>
      </c>
      <c r="J55" s="26">
        <f t="shared" si="19"/>
        <v>0.20659898145735442</v>
      </c>
      <c r="L55" s="22">
        <f t="shared" si="18"/>
        <v>102536.04096086023</v>
      </c>
      <c r="M55" s="5">
        <f>scrimecost*Meta!O52</f>
        <v>1117.884</v>
      </c>
      <c r="N55" s="5">
        <f>L55-Grade10!L55</f>
        <v>735.31768161413493</v>
      </c>
      <c r="O55" s="5">
        <f>Grade10!M55-M55</f>
        <v>23.256000000000085</v>
      </c>
      <c r="P55" s="22">
        <f t="shared" si="22"/>
        <v>166.42704975109993</v>
      </c>
      <c r="Q55" s="22"/>
      <c r="R55" s="22"/>
      <c r="S55" s="22">
        <f t="shared" si="20"/>
        <v>682.59416496696952</v>
      </c>
      <c r="T55" s="22">
        <f t="shared" si="21"/>
        <v>1412.820010882831</v>
      </c>
    </row>
    <row r="56" spans="1:20" x14ac:dyDescent="0.2">
      <c r="A56" s="5">
        <v>65</v>
      </c>
      <c r="B56" s="1">
        <f t="shared" si="13"/>
        <v>3.2714895606934378</v>
      </c>
      <c r="C56" s="5">
        <f t="shared" si="14"/>
        <v>69850.98054599094</v>
      </c>
      <c r="D56" s="5">
        <f t="shared" si="15"/>
        <v>65782.157005041619</v>
      </c>
      <c r="E56" s="5">
        <f t="shared" si="1"/>
        <v>56282.157005041619</v>
      </c>
      <c r="F56" s="5">
        <f t="shared" si="2"/>
        <v>20856.089962650251</v>
      </c>
      <c r="G56" s="5">
        <f t="shared" si="3"/>
        <v>44926.067042391369</v>
      </c>
      <c r="H56" s="22">
        <f t="shared" si="16"/>
        <v>32131.757586897071</v>
      </c>
      <c r="I56" s="5">
        <f t="shared" si="17"/>
        <v>74647.942810271168</v>
      </c>
      <c r="J56" s="26">
        <f t="shared" si="19"/>
        <v>0.20868491872957584</v>
      </c>
      <c r="L56" s="22">
        <f t="shared" si="18"/>
        <v>105099.44198488173</v>
      </c>
      <c r="M56" s="5">
        <f>scrimecost*Meta!O53</f>
        <v>353.01599999999996</v>
      </c>
      <c r="N56" s="5">
        <f>L56-Grade10!L56</f>
        <v>753.70062365449849</v>
      </c>
      <c r="O56" s="5">
        <f>Grade10!M56-M56</f>
        <v>7.3439999999999941</v>
      </c>
      <c r="P56" s="22">
        <f t="shared" si="22"/>
        <v>170.92001105483305</v>
      </c>
      <c r="Q56" s="22"/>
      <c r="R56" s="22"/>
      <c r="S56" s="22">
        <f t="shared" si="20"/>
        <v>684.58069885208909</v>
      </c>
      <c r="T56" s="22">
        <f t="shared" si="21"/>
        <v>1438.5689160610641</v>
      </c>
    </row>
    <row r="57" spans="1:20" x14ac:dyDescent="0.2">
      <c r="A57" s="5">
        <v>66</v>
      </c>
      <c r="C57" s="5"/>
      <c r="H57" s="21"/>
      <c r="I57" s="5"/>
      <c r="M57" s="5">
        <f>scrimecost*Meta!O54</f>
        <v>353.01599999999996</v>
      </c>
      <c r="N57" s="5">
        <f>L57-Grade10!L57</f>
        <v>0</v>
      </c>
      <c r="O57" s="5">
        <f>Grade10!M57-M57</f>
        <v>7.3439999999999941</v>
      </c>
      <c r="Q57" s="22"/>
      <c r="R57" s="22"/>
      <c r="S57" s="22">
        <f t="shared" si="20"/>
        <v>6.8519519999999945</v>
      </c>
      <c r="T57" s="22">
        <f t="shared" si="21"/>
        <v>14.618475663881922</v>
      </c>
    </row>
    <row r="58" spans="1:20" x14ac:dyDescent="0.2">
      <c r="A58" s="5">
        <v>67</v>
      </c>
      <c r="C58" s="5"/>
      <c r="H58" s="21"/>
      <c r="I58" s="5"/>
      <c r="M58" s="5">
        <f>scrimecost*Meta!O55</f>
        <v>353.01599999999996</v>
      </c>
      <c r="N58" s="5">
        <f>L58-Grade10!L58</f>
        <v>0</v>
      </c>
      <c r="O58" s="5">
        <f>Grade10!M58-M58</f>
        <v>7.3439999999999941</v>
      </c>
      <c r="Q58" s="22"/>
      <c r="R58" s="22"/>
      <c r="S58" s="22">
        <f t="shared" si="20"/>
        <v>6.8519519999999945</v>
      </c>
      <c r="T58" s="22">
        <f t="shared" si="21"/>
        <v>14.841706692034935</v>
      </c>
    </row>
    <row r="59" spans="1:20" x14ac:dyDescent="0.2">
      <c r="A59" s="5">
        <v>68</v>
      </c>
      <c r="H59" s="21"/>
      <c r="I59" s="5"/>
      <c r="M59" s="5">
        <f>scrimecost*Meta!O56</f>
        <v>353.01599999999996</v>
      </c>
      <c r="N59" s="5">
        <f>L59-Grade10!L59</f>
        <v>0</v>
      </c>
      <c r="O59" s="5">
        <f>Grade10!M59-M59</f>
        <v>7.3439999999999941</v>
      </c>
      <c r="Q59" s="22"/>
      <c r="R59" s="22"/>
      <c r="S59" s="22">
        <f t="shared" si="20"/>
        <v>6.8519519999999945</v>
      </c>
      <c r="T59" s="22">
        <f t="shared" si="21"/>
        <v>15.068346563426877</v>
      </c>
    </row>
    <row r="60" spans="1:20" x14ac:dyDescent="0.2">
      <c r="A60" s="5">
        <v>69</v>
      </c>
      <c r="H60" s="21"/>
      <c r="I60" s="5"/>
      <c r="M60" s="5">
        <f>scrimecost*Meta!O57</f>
        <v>353.01599999999996</v>
      </c>
      <c r="N60" s="5">
        <f>L60-Grade10!L60</f>
        <v>0</v>
      </c>
      <c r="O60" s="5">
        <f>Grade10!M60-M60</f>
        <v>7.3439999999999941</v>
      </c>
      <c r="Q60" s="22"/>
      <c r="R60" s="22"/>
      <c r="S60" s="22">
        <f t="shared" si="20"/>
        <v>6.8519519999999945</v>
      </c>
      <c r="T60" s="22">
        <f t="shared" si="21"/>
        <v>15.298447332704109</v>
      </c>
    </row>
    <row r="61" spans="1:20" x14ac:dyDescent="0.2">
      <c r="A61" s="5">
        <v>70</v>
      </c>
      <c r="H61" s="21"/>
      <c r="I61" s="5"/>
      <c r="M61" s="5">
        <f>scrimecost*Meta!O58</f>
        <v>353.01599999999996</v>
      </c>
      <c r="N61" s="5">
        <f>L61-Grade10!L61</f>
        <v>0</v>
      </c>
      <c r="O61" s="5">
        <f>Grade10!M61-M61</f>
        <v>7.3439999999999941</v>
      </c>
      <c r="Q61" s="22"/>
      <c r="R61" s="22"/>
      <c r="S61" s="22">
        <f t="shared" si="20"/>
        <v>6.8519519999999945</v>
      </c>
      <c r="T61" s="22">
        <f t="shared" si="21"/>
        <v>15.532061849412027</v>
      </c>
    </row>
    <row r="62" spans="1:20" x14ac:dyDescent="0.2">
      <c r="A62" s="5">
        <v>71</v>
      </c>
      <c r="H62" s="21"/>
      <c r="I62" s="5"/>
      <c r="M62" s="5">
        <f>scrimecost*Meta!O59</f>
        <v>353.01599999999996</v>
      </c>
      <c r="N62" s="5">
        <f>L62-Grade10!L62</f>
        <v>0</v>
      </c>
      <c r="O62" s="5">
        <f>Grade10!M62-M62</f>
        <v>7.3439999999999941</v>
      </c>
      <c r="Q62" s="22"/>
      <c r="R62" s="22"/>
      <c r="S62" s="22">
        <f t="shared" si="20"/>
        <v>6.8519519999999945</v>
      </c>
      <c r="T62" s="22">
        <f t="shared" si="21"/>
        <v>15.769243770133555</v>
      </c>
    </row>
    <row r="63" spans="1:20" x14ac:dyDescent="0.2">
      <c r="A63" s="5">
        <v>72</v>
      </c>
      <c r="H63" s="21"/>
      <c r="M63" s="5">
        <f>scrimecost*Meta!O60</f>
        <v>353.01599999999996</v>
      </c>
      <c r="N63" s="5">
        <f>L63-Grade10!L63</f>
        <v>0</v>
      </c>
      <c r="O63" s="5">
        <f>Grade10!M63-M63</f>
        <v>7.3439999999999941</v>
      </c>
      <c r="Q63" s="22"/>
      <c r="R63" s="22"/>
      <c r="S63" s="22">
        <f t="shared" si="20"/>
        <v>6.8519519999999945</v>
      </c>
      <c r="T63" s="22">
        <f t="shared" si="21"/>
        <v>16.010047570812979</v>
      </c>
    </row>
    <row r="64" spans="1:20" x14ac:dyDescent="0.2">
      <c r="A64" s="5">
        <v>73</v>
      </c>
      <c r="H64" s="21"/>
      <c r="M64" s="5">
        <f>scrimecost*Meta!O61</f>
        <v>353.01599999999996</v>
      </c>
      <c r="N64" s="5">
        <f>L64-Grade10!L64</f>
        <v>0</v>
      </c>
      <c r="O64" s="5">
        <f>Grade10!M64-M64</f>
        <v>7.3439999999999941</v>
      </c>
      <c r="Q64" s="22"/>
      <c r="R64" s="22"/>
      <c r="S64" s="22">
        <f t="shared" si="20"/>
        <v>6.8519519999999945</v>
      </c>
      <c r="T64" s="22">
        <f t="shared" si="21"/>
        <v>16.254528559267982</v>
      </c>
    </row>
    <row r="65" spans="1:20" x14ac:dyDescent="0.2">
      <c r="A65" s="5">
        <v>74</v>
      </c>
      <c r="H65" s="21"/>
      <c r="M65" s="5">
        <f>scrimecost*Meta!O62</f>
        <v>353.01599999999996</v>
      </c>
      <c r="N65" s="5">
        <f>L65-Grade10!L65</f>
        <v>0</v>
      </c>
      <c r="O65" s="5">
        <f>Grade10!M65-M65</f>
        <v>7.3439999999999941</v>
      </c>
      <c r="Q65" s="22"/>
      <c r="R65" s="22"/>
      <c r="S65" s="22">
        <f t="shared" si="20"/>
        <v>6.8519519999999945</v>
      </c>
      <c r="T65" s="22">
        <f t="shared" si="21"/>
        <v>16.502742887892744</v>
      </c>
    </row>
    <row r="66" spans="1:20" x14ac:dyDescent="0.2">
      <c r="A66" s="5">
        <v>75</v>
      </c>
      <c r="H66" s="21"/>
      <c r="M66" s="5">
        <f>scrimecost*Meta!O63</f>
        <v>353.01599999999996</v>
      </c>
      <c r="N66" s="5">
        <f>L66-Grade10!L66</f>
        <v>0</v>
      </c>
      <c r="O66" s="5">
        <f>Grade10!M66-M66</f>
        <v>7.3439999999999941</v>
      </c>
      <c r="Q66" s="22"/>
      <c r="R66" s="22"/>
      <c r="S66" s="22">
        <f t="shared" si="20"/>
        <v>6.8519519999999945</v>
      </c>
      <c r="T66" s="22">
        <f t="shared" si="21"/>
        <v>16.754747566555036</v>
      </c>
    </row>
    <row r="67" spans="1:20" x14ac:dyDescent="0.2">
      <c r="A67" s="5">
        <v>76</v>
      </c>
      <c r="H67" s="21"/>
      <c r="M67" s="5">
        <f>scrimecost*Meta!O64</f>
        <v>353.01599999999996</v>
      </c>
      <c r="N67" s="5">
        <f>L67-Grade10!L67</f>
        <v>0</v>
      </c>
      <c r="O67" s="5">
        <f>Grade10!M67-M67</f>
        <v>7.3439999999999941</v>
      </c>
      <c r="Q67" s="22"/>
      <c r="R67" s="22"/>
      <c r="S67" s="22">
        <f t="shared" si="20"/>
        <v>6.8519519999999945</v>
      </c>
      <c r="T67" s="22">
        <f t="shared" si="21"/>
        <v>17.010600475690236</v>
      </c>
    </row>
    <row r="68" spans="1:20" x14ac:dyDescent="0.2">
      <c r="A68" s="5">
        <v>77</v>
      </c>
      <c r="H68" s="21"/>
      <c r="M68" s="5">
        <f>scrimecost*Meta!O65</f>
        <v>353.01599999999996</v>
      </c>
      <c r="N68" s="5">
        <f>L68-Grade10!L68</f>
        <v>0</v>
      </c>
      <c r="O68" s="5">
        <f>Grade10!M68-M68</f>
        <v>7.3439999999999941</v>
      </c>
      <c r="Q68" s="22"/>
      <c r="R68" s="22"/>
      <c r="S68" s="22">
        <f t="shared" si="20"/>
        <v>6.8519519999999945</v>
      </c>
      <c r="T68" s="22">
        <f t="shared" si="21"/>
        <v>17.270360379595299</v>
      </c>
    </row>
    <row r="69" spans="1:20" x14ac:dyDescent="0.2">
      <c r="A69" s="5">
        <v>78</v>
      </c>
      <c r="H69" s="21"/>
      <c r="M69" s="5">
        <f>scrimecost*Meta!O66</f>
        <v>353.01599999999996</v>
      </c>
      <c r="N69" s="5">
        <f>L69-Grade10!L69</f>
        <v>0</v>
      </c>
      <c r="O69" s="5">
        <f>Grade10!M69-M69</f>
        <v>7.3439999999999941</v>
      </c>
      <c r="Q69" s="22"/>
      <c r="R69" s="22"/>
      <c r="S69" s="22">
        <f t="shared" si="20"/>
        <v>6.8519519999999945</v>
      </c>
      <c r="T69" s="22">
        <f t="shared" si="21"/>
        <v>17.534086939925761</v>
      </c>
    </row>
    <row r="70" spans="1:20" x14ac:dyDescent="0.2">
      <c r="A70" s="5">
        <v>79</v>
      </c>
      <c r="H70" s="21"/>
      <c r="M70" s="5"/>
      <c r="Q70" s="22"/>
      <c r="R70" s="22"/>
      <c r="S70" s="22">
        <f>SUM(T5:T69)</f>
        <v>8.2323481365165208E-11</v>
      </c>
    </row>
    <row r="71" spans="1:20" x14ac:dyDescent="0.2">
      <c r="A71" s="5">
        <v>80</v>
      </c>
      <c r="H71" s="21"/>
      <c r="M71" s="5"/>
      <c r="Q71" s="22"/>
      <c r="R71" s="22"/>
    </row>
    <row r="72" spans="1:20" x14ac:dyDescent="0.2">
      <c r="A72" s="5">
        <v>81</v>
      </c>
      <c r="H72" s="21"/>
      <c r="M72" s="5"/>
      <c r="Q72" s="22"/>
      <c r="R72" s="22"/>
    </row>
    <row r="73" spans="1:20" x14ac:dyDescent="0.2">
      <c r="A73" s="5">
        <v>82</v>
      </c>
      <c r="H73" s="21"/>
      <c r="M73" s="5"/>
    </row>
    <row r="74" spans="1:20" x14ac:dyDescent="0.2">
      <c r="A74" s="5">
        <v>83</v>
      </c>
      <c r="H74" s="21"/>
      <c r="M74" s="5"/>
    </row>
    <row r="75" spans="1:20" x14ac:dyDescent="0.2">
      <c r="A75" s="5">
        <v>84</v>
      </c>
      <c r="H75" s="21"/>
      <c r="M75" s="5"/>
    </row>
    <row r="76" spans="1:20" x14ac:dyDescent="0.2">
      <c r="A76" s="5">
        <v>85</v>
      </c>
      <c r="H76" s="21"/>
    </row>
    <row r="77" spans="1:20" x14ac:dyDescent="0.2">
      <c r="A77" s="5">
        <v>86</v>
      </c>
      <c r="H77" s="21"/>
    </row>
    <row r="78" spans="1:20" x14ac:dyDescent="0.2">
      <c r="A78" s="5">
        <v>87</v>
      </c>
      <c r="H78" s="21"/>
    </row>
    <row r="79" spans="1:20" x14ac:dyDescent="0.2">
      <c r="A79" s="5">
        <v>88</v>
      </c>
      <c r="H79" s="21"/>
    </row>
    <row r="80" spans="1:20" x14ac:dyDescent="0.2">
      <c r="A80" s="5">
        <v>89</v>
      </c>
      <c r="H80" s="21"/>
    </row>
    <row r="81" spans="1:8" x14ac:dyDescent="0.2">
      <c r="A81" s="5">
        <v>90</v>
      </c>
      <c r="H81" s="21"/>
    </row>
  </sheetData>
  <pageMargins left="0.75" right="0.75" top="1" bottom="1" header="0.5" footer="0.5"/>
  <pageSetup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1"/>
  <sheetViews>
    <sheetView workbookViewId="0">
      <selection activeCell="P9" sqref="P9"/>
    </sheetView>
  </sheetViews>
  <sheetFormatPr defaultRowHeight="12.75" x14ac:dyDescent="0.2"/>
  <cols>
    <col min="1" max="1" width="13.7109375" style="5" customWidth="1"/>
    <col min="2" max="7" width="13.7109375" style="1" customWidth="1"/>
    <col min="8" max="8" width="9.5703125" style="1" customWidth="1"/>
    <col min="9" max="9" width="9.140625" style="1"/>
    <col min="10" max="11" width="9.28515625" style="1" customWidth="1"/>
    <col min="12" max="12" width="9.140625" style="1"/>
    <col min="13" max="13" width="9.5703125" style="1" customWidth="1"/>
    <col min="14" max="14" width="9.28515625" style="1" customWidth="1"/>
    <col min="15" max="17" width="9.140625" style="1"/>
    <col min="18" max="18" width="9.5703125" style="1" bestFit="1" customWidth="1"/>
    <col min="19" max="19" width="10.140625" style="1" bestFit="1" customWidth="1"/>
    <col min="20" max="16384" width="9.140625" style="1"/>
  </cols>
  <sheetData>
    <row r="1" spans="1:20" x14ac:dyDescent="0.2">
      <c r="B1" s="1" t="s">
        <v>11</v>
      </c>
      <c r="C1" s="27" t="s">
        <v>35</v>
      </c>
      <c r="D1" s="27" t="s">
        <v>36</v>
      </c>
      <c r="E1" s="6" t="s">
        <v>9</v>
      </c>
      <c r="F1" s="6" t="s">
        <v>49</v>
      </c>
      <c r="G1" s="1" t="s">
        <v>4</v>
      </c>
      <c r="H1" s="1" t="s">
        <v>8</v>
      </c>
      <c r="J1" s="1" t="s">
        <v>56</v>
      </c>
      <c r="K1" s="1" t="s">
        <v>20</v>
      </c>
      <c r="N1" s="1" t="s">
        <v>43</v>
      </c>
      <c r="O1" s="1" t="s">
        <v>44</v>
      </c>
      <c r="P1" s="1" t="s">
        <v>45</v>
      </c>
      <c r="Q1" s="1" t="s">
        <v>46</v>
      </c>
      <c r="R1" s="1" t="s">
        <v>53</v>
      </c>
      <c r="T1" s="12" t="s">
        <v>57</v>
      </c>
    </row>
    <row r="2" spans="1:20" x14ac:dyDescent="0.2">
      <c r="B2" s="5">
        <f>Meta!A6+6</f>
        <v>18</v>
      </c>
      <c r="C2" s="7">
        <f>Meta!B6</f>
        <v>46038</v>
      </c>
      <c r="D2" s="7">
        <f>Meta!C6</f>
        <v>21177</v>
      </c>
      <c r="E2" s="1">
        <f>Meta!D6</f>
        <v>6.6000000000000003E-2</v>
      </c>
      <c r="F2" s="1">
        <f>Meta!F6</f>
        <v>0.74199999999999999</v>
      </c>
      <c r="G2" s="1">
        <f>Meta!I6</f>
        <v>1.8929079672445346</v>
      </c>
      <c r="H2" s="1">
        <f>Meta!E6</f>
        <v>0.93300000000000005</v>
      </c>
      <c r="I2" s="13"/>
      <c r="J2" s="1">
        <f>Meta!X5</f>
        <v>0.73699999999999999</v>
      </c>
      <c r="K2" s="1">
        <f>Meta!D5</f>
        <v>7.4999999999999997E-2</v>
      </c>
      <c r="L2" s="29"/>
      <c r="N2" s="22">
        <f>Meta!T6</f>
        <v>46038</v>
      </c>
      <c r="O2" s="22">
        <f>Meta!U6</f>
        <v>21177</v>
      </c>
      <c r="P2" s="1">
        <f>Meta!V6</f>
        <v>6.6000000000000003E-2</v>
      </c>
      <c r="Q2" s="1">
        <f>Meta!X6</f>
        <v>0.74199999999999999</v>
      </c>
      <c r="R2" s="22">
        <f>Meta!W6</f>
        <v>4803</v>
      </c>
      <c r="T2" s="12">
        <f>IRR(S5:S69)+1</f>
        <v>0.98249122358520469</v>
      </c>
    </row>
    <row r="3" spans="1:20" ht="14.25" x14ac:dyDescent="0.2">
      <c r="C3" s="3"/>
      <c r="G3" s="4"/>
      <c r="L3" s="1" t="s">
        <v>10</v>
      </c>
    </row>
    <row r="4" spans="1:20" x14ac:dyDescent="0.2">
      <c r="A4" s="7" t="s">
        <v>0</v>
      </c>
      <c r="B4" s="2" t="s">
        <v>1</v>
      </c>
      <c r="C4" s="1" t="s">
        <v>37</v>
      </c>
      <c r="D4" s="1" t="s">
        <v>2</v>
      </c>
      <c r="E4" t="s">
        <v>12</v>
      </c>
      <c r="F4" t="s">
        <v>19</v>
      </c>
      <c r="G4" t="s">
        <v>18</v>
      </c>
      <c r="H4" t="s">
        <v>38</v>
      </c>
      <c r="I4" t="s">
        <v>6</v>
      </c>
      <c r="J4" s="1" t="s">
        <v>47</v>
      </c>
      <c r="L4" s="1" t="s">
        <v>48</v>
      </c>
      <c r="M4" s="1" t="s">
        <v>54</v>
      </c>
      <c r="N4" s="1" t="s">
        <v>59</v>
      </c>
      <c r="O4" s="1" t="s">
        <v>58</v>
      </c>
      <c r="P4" s="1" t="s">
        <v>55</v>
      </c>
      <c r="Q4" s="1" t="s">
        <v>17</v>
      </c>
      <c r="R4" s="1" t="s">
        <v>7</v>
      </c>
      <c r="S4" s="5" t="s">
        <v>14</v>
      </c>
      <c r="T4" s="5" t="s">
        <v>15</v>
      </c>
    </row>
    <row r="5" spans="1:20" x14ac:dyDescent="0.2">
      <c r="A5" s="5">
        <v>14</v>
      </c>
      <c r="C5" s="5"/>
      <c r="D5" s="5"/>
      <c r="E5" s="5"/>
      <c r="F5" s="5"/>
      <c r="G5" s="5"/>
      <c r="H5" s="22"/>
      <c r="I5" s="5"/>
      <c r="J5" s="26"/>
      <c r="L5" s="22"/>
      <c r="M5" s="5"/>
      <c r="N5" s="5"/>
      <c r="O5" s="5"/>
      <c r="P5" s="22"/>
      <c r="Q5" s="22"/>
      <c r="R5" s="22"/>
      <c r="S5" s="22"/>
      <c r="T5" s="22"/>
    </row>
    <row r="6" spans="1:20" x14ac:dyDescent="0.2">
      <c r="A6" s="5">
        <v>15</v>
      </c>
      <c r="C6" s="5"/>
      <c r="D6" s="5"/>
      <c r="E6" s="5"/>
      <c r="F6" s="5"/>
      <c r="G6" s="5"/>
      <c r="H6" s="22"/>
      <c r="I6" s="5"/>
      <c r="J6" s="26"/>
      <c r="L6" s="22"/>
      <c r="M6" s="5"/>
      <c r="N6" s="5"/>
      <c r="O6" s="5"/>
      <c r="P6" s="22"/>
      <c r="Q6" s="22"/>
      <c r="R6" s="22"/>
      <c r="S6" s="22"/>
      <c r="T6" s="22"/>
    </row>
    <row r="7" spans="1:20" x14ac:dyDescent="0.2">
      <c r="A7" s="5">
        <v>16</v>
      </c>
      <c r="C7" s="5"/>
      <c r="D7" s="5"/>
      <c r="E7" s="5"/>
      <c r="F7" s="5"/>
      <c r="G7" s="5"/>
      <c r="H7" s="22"/>
      <c r="I7" s="5"/>
      <c r="J7" s="26"/>
      <c r="L7" s="22"/>
      <c r="M7" s="5"/>
      <c r="N7" s="5"/>
      <c r="O7" s="5"/>
      <c r="P7" s="22"/>
      <c r="Q7" s="22"/>
      <c r="R7" s="22"/>
      <c r="S7" s="22"/>
      <c r="T7" s="22"/>
    </row>
    <row r="8" spans="1:20" x14ac:dyDescent="0.2">
      <c r="A8" s="5">
        <v>17</v>
      </c>
      <c r="B8" s="1">
        <v>1</v>
      </c>
      <c r="C8" s="5">
        <f>0.1*Grade11!C8</f>
        <v>2135.1430059640802</v>
      </c>
      <c r="D8" s="5">
        <f t="shared" ref="D8:D36" si="0">IF(A8&lt;startage,1,0)*(C8*(1-initialunempprob))+IF(A8=startage,1,0)*(C8*(1-unempprob))+IF(A8&gt;startage,1,0)*(C8*(1-unempprob)+unempprob*300*52)</f>
        <v>1975.0072805167742</v>
      </c>
      <c r="E8" s="5">
        <f t="shared" ref="E8:E56" si="1">IF(D8-9500&gt;0,1,0)*(D8-9500)</f>
        <v>0</v>
      </c>
      <c r="F8" s="5">
        <f t="shared" ref="F8:F56" si="2">IF(E8&lt;=8500,1,0)*(0.1*E8+0.1*E8+0.0765*D8)+IF(AND(E8&gt;8500,E8&lt;=34500),1,0)*(850+0.15*(E8-8500)+0.1*E8+0.0765*D8)+IF(AND(E8&gt;34500,E8&lt;=83600),1,0)*(4750+0.25*(E8-34500)+0.1*E8+0.0765*D8)+IF(AND(E8&gt;83600,E8&lt;=174400,D8&lt;=106800),1,0)*(17025+0.28*(E8-83600)+0.1*E8+0.0765*D8)+IF(AND(E8&gt;83600,E8&lt;=174400,D8&gt;106800),1,0)*(17025+0.28*(E8-83600)+0.1*E8+8170.2+0.0145*(D8-106800))+IF(AND(E8&gt;174400,E8&lt;=379150),1,0)*(42449+0.33*(E8-174400)+0.1*E8+8170.2+0.0145*(D8-106800))+IF(E8&gt;379150,1,0)*(110016.5+0.35*(E8-379150)+0.1*E8+8170.2+0.0145*(D8-106800))</f>
        <v>151.08805695953322</v>
      </c>
      <c r="G8" s="5">
        <f t="shared" ref="G8:G56" si="3">D8-F8</f>
        <v>1823.9192235572409</v>
      </c>
      <c r="H8" s="22">
        <f>0.1*Grade11!H8</f>
        <v>982.17515265695374</v>
      </c>
      <c r="I8" s="5">
        <f t="shared" ref="I8:I36" si="4">G8+IF(A8&lt;startage,1,0)*(H8*(1-initialunempprob))+IF(A8&gt;=startage,1,0)*(H8*(1-unempprob))</f>
        <v>2732.4312397649232</v>
      </c>
      <c r="J8" s="26">
        <f t="shared" ref="J8:J39" si="5">(F8-(IF(A8&gt;startage,1,0)*(unempprob*300*52)))/(IF(A8&lt;startage,1,0)*((C8+H8)*(1-initialunempprob))+IF(A8&gt;=startage,1,0)*((C8+H8)*(1-unempprob)))</f>
        <v>5.2397102780328955E-2</v>
      </c>
      <c r="L8" s="22">
        <f>0.1*Grade11!L8</f>
        <v>3212.5868059503896</v>
      </c>
      <c r="M8" s="5">
        <f>scrimecost*Meta!O5</f>
        <v>12165.999</v>
      </c>
      <c r="N8" s="5">
        <f>L8-Grade11!L8</f>
        <v>-28913.281253553505</v>
      </c>
      <c r="O8" s="5"/>
      <c r="P8" s="22"/>
      <c r="Q8" s="22">
        <f>0.05*feel*Grade11!G8</f>
        <v>225.42343647992669</v>
      </c>
      <c r="R8" s="22">
        <f>hstuition</f>
        <v>11298</v>
      </c>
      <c r="S8" s="22">
        <f t="shared" ref="S8:S39" si="6">IF(A8&lt;startage,1,0)*(N8-Q8-R8)+IF(A8&gt;=startage,1,0)*completionprob*(N8*spart+O8+P8)</f>
        <v>-40436.704690033432</v>
      </c>
      <c r="T8" s="22">
        <f t="shared" ref="T8:T39" si="7">S8/sreturn^(A8-startage+1)</f>
        <v>-40436.704690033432</v>
      </c>
    </row>
    <row r="9" spans="1:20" x14ac:dyDescent="0.2">
      <c r="A9" s="5">
        <v>18</v>
      </c>
      <c r="B9" s="1">
        <f t="shared" ref="B9:B36" si="8">(1+experiencepremium)^(A9-startage)</f>
        <v>1</v>
      </c>
      <c r="C9" s="5">
        <f t="shared" ref="C9:C36" si="9">pretaxincome*B9/expnorm</f>
        <v>24321.309221925105</v>
      </c>
      <c r="D9" s="5">
        <f t="shared" si="0"/>
        <v>22716.102813278045</v>
      </c>
      <c r="E9" s="5">
        <f t="shared" si="1"/>
        <v>13216.102813278045</v>
      </c>
      <c r="F9" s="5">
        <f t="shared" si="2"/>
        <v>4616.8075685352815</v>
      </c>
      <c r="G9" s="5">
        <f t="shared" si="3"/>
        <v>18099.295244742763</v>
      </c>
      <c r="H9" s="22">
        <f t="shared" ref="H9:H36" si="10">benefits*B9/expnorm</f>
        <v>11187.548663988617</v>
      </c>
      <c r="I9" s="5">
        <f t="shared" si="4"/>
        <v>28548.46569690813</v>
      </c>
      <c r="J9" s="26">
        <f t="shared" si="5"/>
        <v>0.13920607653625963</v>
      </c>
      <c r="L9" s="22">
        <f t="shared" ref="L9:L36" si="11">(sincome+sbenefits)*(1-sunemp)*B9/expnorm</f>
        <v>33165.273265443415</v>
      </c>
      <c r="M9" s="5">
        <f>scrimecost*Meta!O6</f>
        <v>15412.827000000001</v>
      </c>
      <c r="N9" s="5">
        <f>L9-Grade11!L9</f>
        <v>236.25850445192191</v>
      </c>
      <c r="O9" s="5">
        <f>Grade11!M9-M9</f>
        <v>320.89999999999964</v>
      </c>
      <c r="P9" s="22">
        <f t="shared" ref="P9:P56" si="12">(spart-initialspart)*(L9*J9+nptrans)</f>
        <v>55.854037842676455</v>
      </c>
      <c r="Q9" s="22"/>
      <c r="R9" s="22"/>
      <c r="S9" s="22">
        <f t="shared" si="6"/>
        <v>515.06997232022002</v>
      </c>
      <c r="T9" s="22">
        <f t="shared" si="7"/>
        <v>524.24892961453668</v>
      </c>
    </row>
    <row r="10" spans="1:20" x14ac:dyDescent="0.2">
      <c r="A10" s="5">
        <v>19</v>
      </c>
      <c r="B10" s="1">
        <f t="shared" si="8"/>
        <v>1.0249999999999999</v>
      </c>
      <c r="C10" s="5">
        <f t="shared" si="9"/>
        <v>24929.341952473231</v>
      </c>
      <c r="D10" s="5">
        <f t="shared" si="0"/>
        <v>24313.605383609996</v>
      </c>
      <c r="E10" s="5">
        <f t="shared" si="1"/>
        <v>14813.605383609996</v>
      </c>
      <c r="F10" s="5">
        <f t="shared" si="2"/>
        <v>5138.3921577486635</v>
      </c>
      <c r="G10" s="5">
        <f t="shared" si="3"/>
        <v>19175.213225861335</v>
      </c>
      <c r="H10" s="22">
        <f t="shared" si="10"/>
        <v>11467.237380588331</v>
      </c>
      <c r="I10" s="5">
        <f t="shared" si="4"/>
        <v>29885.612939330837</v>
      </c>
      <c r="J10" s="26">
        <f t="shared" si="5"/>
        <v>0.12086671750880719</v>
      </c>
      <c r="L10" s="22">
        <f t="shared" si="11"/>
        <v>33994.405097079492</v>
      </c>
      <c r="M10" s="5">
        <f>scrimecost*Meta!O7</f>
        <v>16354.214999999998</v>
      </c>
      <c r="N10" s="5">
        <f>L10-Grade11!L10</f>
        <v>242.16496706321777</v>
      </c>
      <c r="O10" s="5">
        <f>Grade11!M10-M10</f>
        <v>340.50000000000182</v>
      </c>
      <c r="P10" s="22">
        <f t="shared" si="12"/>
        <v>53.313960788743366</v>
      </c>
      <c r="Q10" s="22"/>
      <c r="R10" s="22"/>
      <c r="S10" s="22">
        <f t="shared" si="6"/>
        <v>535.075841804226</v>
      </c>
      <c r="T10" s="22">
        <f t="shared" si="7"/>
        <v>554.31672727345244</v>
      </c>
    </row>
    <row r="11" spans="1:20" x14ac:dyDescent="0.2">
      <c r="A11" s="5">
        <v>20</v>
      </c>
      <c r="B11" s="1">
        <f t="shared" si="8"/>
        <v>1.0506249999999999</v>
      </c>
      <c r="C11" s="5">
        <f t="shared" si="9"/>
        <v>25552.575501285057</v>
      </c>
      <c r="D11" s="5">
        <f t="shared" si="0"/>
        <v>24895.70551820024</v>
      </c>
      <c r="E11" s="5">
        <f t="shared" si="1"/>
        <v>15395.70551820024</v>
      </c>
      <c r="F11" s="5">
        <f t="shared" si="2"/>
        <v>5328.4478516923782</v>
      </c>
      <c r="G11" s="5">
        <f t="shared" si="3"/>
        <v>19567.257666507863</v>
      </c>
      <c r="H11" s="22">
        <f t="shared" si="10"/>
        <v>11753.918315103039</v>
      </c>
      <c r="I11" s="5">
        <f t="shared" si="4"/>
        <v>30545.417372814103</v>
      </c>
      <c r="J11" s="26">
        <f t="shared" si="5"/>
        <v>0.12337318132537162</v>
      </c>
      <c r="L11" s="22">
        <f t="shared" si="11"/>
        <v>34844.265224506482</v>
      </c>
      <c r="M11" s="5">
        <f>scrimecost*Meta!O8</f>
        <v>15696.204</v>
      </c>
      <c r="N11" s="5">
        <f>L11-Grade11!L11</f>
        <v>248.21909123980004</v>
      </c>
      <c r="O11" s="5">
        <f>Grade11!M11-M11</f>
        <v>326.79999999999927</v>
      </c>
      <c r="P11" s="22">
        <f t="shared" si="12"/>
        <v>54.264239258461942</v>
      </c>
      <c r="Q11" s="22"/>
      <c r="R11" s="22"/>
      <c r="S11" s="22">
        <f t="shared" si="6"/>
        <v>527.37153702618048</v>
      </c>
      <c r="T11" s="22">
        <f t="shared" si="7"/>
        <v>556.07151386376529</v>
      </c>
    </row>
    <row r="12" spans="1:20" x14ac:dyDescent="0.2">
      <c r="A12" s="5">
        <v>21</v>
      </c>
      <c r="B12" s="1">
        <f t="shared" si="8"/>
        <v>1.0768906249999999</v>
      </c>
      <c r="C12" s="5">
        <f t="shared" si="9"/>
        <v>26191.389888817186</v>
      </c>
      <c r="D12" s="5">
        <f t="shared" si="0"/>
        <v>25492.358156155249</v>
      </c>
      <c r="E12" s="5">
        <f t="shared" si="1"/>
        <v>15992.358156155249</v>
      </c>
      <c r="F12" s="5">
        <f t="shared" si="2"/>
        <v>5523.2549379846887</v>
      </c>
      <c r="G12" s="5">
        <f t="shared" si="3"/>
        <v>19969.10321817056</v>
      </c>
      <c r="H12" s="22">
        <f t="shared" si="10"/>
        <v>12047.766272980614</v>
      </c>
      <c r="I12" s="5">
        <f t="shared" si="4"/>
        <v>31221.71691713445</v>
      </c>
      <c r="J12" s="26">
        <f t="shared" si="5"/>
        <v>0.12581851187811743</v>
      </c>
      <c r="L12" s="22">
        <f t="shared" si="11"/>
        <v>35715.371855119149</v>
      </c>
      <c r="M12" s="5">
        <f>scrimecost*Meta!O9</f>
        <v>14461.833000000001</v>
      </c>
      <c r="N12" s="5">
        <f>L12-Grade11!L12</f>
        <v>254.42456852080795</v>
      </c>
      <c r="O12" s="5">
        <f>Grade11!M12-M12</f>
        <v>301.10000000000036</v>
      </c>
      <c r="P12" s="22">
        <f t="shared" si="12"/>
        <v>55.238274689923507</v>
      </c>
      <c r="Q12" s="22"/>
      <c r="R12" s="22"/>
      <c r="S12" s="22">
        <f t="shared" si="6"/>
        <v>508.59817712869511</v>
      </c>
      <c r="T12" s="22">
        <f t="shared" si="7"/>
        <v>545.83336723473451</v>
      </c>
    </row>
    <row r="13" spans="1:20" x14ac:dyDescent="0.2">
      <c r="A13" s="5">
        <v>22</v>
      </c>
      <c r="B13" s="1">
        <f t="shared" si="8"/>
        <v>1.1038128906249998</v>
      </c>
      <c r="C13" s="5">
        <f t="shared" si="9"/>
        <v>26846.174636037613</v>
      </c>
      <c r="D13" s="5">
        <f t="shared" si="0"/>
        <v>26103.927110059129</v>
      </c>
      <c r="E13" s="5">
        <f t="shared" si="1"/>
        <v>16603.927110059129</v>
      </c>
      <c r="F13" s="5">
        <f t="shared" si="2"/>
        <v>5722.9322014343052</v>
      </c>
      <c r="G13" s="5">
        <f t="shared" si="3"/>
        <v>20380.994908624823</v>
      </c>
      <c r="H13" s="22">
        <f t="shared" si="10"/>
        <v>12348.960429805129</v>
      </c>
      <c r="I13" s="5">
        <f t="shared" si="4"/>
        <v>31914.923950062814</v>
      </c>
      <c r="J13" s="26">
        <f t="shared" si="5"/>
        <v>0.12820420022225965</v>
      </c>
      <c r="L13" s="22">
        <f t="shared" si="11"/>
        <v>36608.256151497117</v>
      </c>
      <c r="M13" s="5">
        <f>scrimecost*Meta!O10</f>
        <v>13189.038</v>
      </c>
      <c r="N13" s="5">
        <f>L13-Grade11!L13</f>
        <v>260.78518273381633</v>
      </c>
      <c r="O13" s="5">
        <f>Grade11!M13-M13</f>
        <v>274.60000000000036</v>
      </c>
      <c r="P13" s="22">
        <f t="shared" si="12"/>
        <v>56.236661007171577</v>
      </c>
      <c r="Q13" s="22"/>
      <c r="R13" s="22"/>
      <c r="S13" s="22">
        <f t="shared" si="6"/>
        <v>489.20853573375427</v>
      </c>
      <c r="T13" s="22">
        <f t="shared" si="7"/>
        <v>534.38053209414704</v>
      </c>
    </row>
    <row r="14" spans="1:20" x14ac:dyDescent="0.2">
      <c r="A14" s="5">
        <v>23</v>
      </c>
      <c r="B14" s="1">
        <f t="shared" si="8"/>
        <v>1.1314082128906247</v>
      </c>
      <c r="C14" s="5">
        <f t="shared" si="9"/>
        <v>27517.329001938549</v>
      </c>
      <c r="D14" s="5">
        <f t="shared" si="0"/>
        <v>26730.785287810602</v>
      </c>
      <c r="E14" s="5">
        <f t="shared" si="1"/>
        <v>17230.785287810602</v>
      </c>
      <c r="F14" s="5">
        <f t="shared" si="2"/>
        <v>5927.6013964701615</v>
      </c>
      <c r="G14" s="5">
        <f t="shared" si="3"/>
        <v>20803.183891340443</v>
      </c>
      <c r="H14" s="22">
        <f t="shared" si="10"/>
        <v>12657.684440550256</v>
      </c>
      <c r="I14" s="5">
        <f t="shared" si="4"/>
        <v>32625.461158814382</v>
      </c>
      <c r="J14" s="26">
        <f t="shared" si="5"/>
        <v>0.13053170104581302</v>
      </c>
      <c r="L14" s="22">
        <f t="shared" si="11"/>
        <v>37523.462555284539</v>
      </c>
      <c r="M14" s="5">
        <f>scrimecost*Meta!O11</f>
        <v>12295.68</v>
      </c>
      <c r="N14" s="5">
        <f>L14-Grade11!L14</f>
        <v>267.3048123021581</v>
      </c>
      <c r="O14" s="5">
        <f>Grade11!M14-M14</f>
        <v>256</v>
      </c>
      <c r="P14" s="22">
        <f t="shared" si="12"/>
        <v>57.260006982350859</v>
      </c>
      <c r="Q14" s="22"/>
      <c r="R14" s="22"/>
      <c r="S14" s="22">
        <f t="shared" si="6"/>
        <v>477.32296580394524</v>
      </c>
      <c r="T14" s="22">
        <f t="shared" si="7"/>
        <v>530.68920418384414</v>
      </c>
    </row>
    <row r="15" spans="1:20" x14ac:dyDescent="0.2">
      <c r="A15" s="5">
        <v>24</v>
      </c>
      <c r="B15" s="1">
        <f t="shared" si="8"/>
        <v>1.1596934182128902</v>
      </c>
      <c r="C15" s="5">
        <f t="shared" si="9"/>
        <v>28205.262226987012</v>
      </c>
      <c r="D15" s="5">
        <f t="shared" si="0"/>
        <v>27373.314920005865</v>
      </c>
      <c r="E15" s="5">
        <f t="shared" si="1"/>
        <v>17873.314920005865</v>
      </c>
      <c r="F15" s="5">
        <f t="shared" si="2"/>
        <v>6137.3873213819152</v>
      </c>
      <c r="G15" s="5">
        <f t="shared" si="3"/>
        <v>21235.927598623952</v>
      </c>
      <c r="H15" s="22">
        <f t="shared" si="10"/>
        <v>12974.12655156401</v>
      </c>
      <c r="I15" s="5">
        <f t="shared" si="4"/>
        <v>33353.76179778474</v>
      </c>
      <c r="J15" s="26">
        <f t="shared" si="5"/>
        <v>0.13280243355659685</v>
      </c>
      <c r="L15" s="22">
        <f t="shared" si="11"/>
        <v>38461.549119166659</v>
      </c>
      <c r="M15" s="5">
        <f>scrimecost*Meta!O12</f>
        <v>11728.926000000001</v>
      </c>
      <c r="N15" s="5">
        <f>L15-Grade11!L15</f>
        <v>273.98743260971969</v>
      </c>
      <c r="O15" s="5">
        <f>Grade11!M15-M15</f>
        <v>244.19999999999891</v>
      </c>
      <c r="P15" s="22">
        <f t="shared" si="12"/>
        <v>58.308936606909633</v>
      </c>
      <c r="Q15" s="22"/>
      <c r="R15" s="22"/>
      <c r="S15" s="22">
        <f t="shared" si="6"/>
        <v>471.91850162589816</v>
      </c>
      <c r="T15" s="22">
        <f t="shared" si="7"/>
        <v>534.0307281968843</v>
      </c>
    </row>
    <row r="16" spans="1:20" x14ac:dyDescent="0.2">
      <c r="A16" s="5">
        <v>25</v>
      </c>
      <c r="B16" s="1">
        <f t="shared" si="8"/>
        <v>1.1886857536682125</v>
      </c>
      <c r="C16" s="5">
        <f t="shared" si="9"/>
        <v>28910.393782661689</v>
      </c>
      <c r="D16" s="5">
        <f t="shared" si="0"/>
        <v>28031.907793006016</v>
      </c>
      <c r="E16" s="5">
        <f t="shared" si="1"/>
        <v>18531.907793006016</v>
      </c>
      <c r="F16" s="5">
        <f t="shared" si="2"/>
        <v>6352.4178944164642</v>
      </c>
      <c r="G16" s="5">
        <f t="shared" si="3"/>
        <v>21679.489898589552</v>
      </c>
      <c r="H16" s="22">
        <f t="shared" si="10"/>
        <v>13298.479715353113</v>
      </c>
      <c r="I16" s="5">
        <f t="shared" si="4"/>
        <v>34100.269952729359</v>
      </c>
      <c r="J16" s="26">
        <f t="shared" si="5"/>
        <v>0.13501778234760545</v>
      </c>
      <c r="L16" s="22">
        <f t="shared" si="11"/>
        <v>39423.087847145827</v>
      </c>
      <c r="M16" s="5">
        <f>scrimecost*Meta!O13</f>
        <v>9764.4989999999998</v>
      </c>
      <c r="N16" s="5">
        <f>L16-Grade11!L16</f>
        <v>280.83711842496996</v>
      </c>
      <c r="O16" s="5">
        <f>Grade11!M16-M16</f>
        <v>203.29999999999927</v>
      </c>
      <c r="P16" s="22">
        <f t="shared" si="12"/>
        <v>59.38408947208238</v>
      </c>
      <c r="Q16" s="22"/>
      <c r="R16" s="22"/>
      <c r="S16" s="22">
        <f t="shared" si="6"/>
        <v>439.50386084340096</v>
      </c>
      <c r="T16" s="22">
        <f t="shared" si="7"/>
        <v>506.21295773820287</v>
      </c>
    </row>
    <row r="17" spans="1:20" x14ac:dyDescent="0.2">
      <c r="A17" s="5">
        <v>26</v>
      </c>
      <c r="B17" s="1">
        <f t="shared" si="8"/>
        <v>1.2184028975099177</v>
      </c>
      <c r="C17" s="5">
        <f t="shared" si="9"/>
        <v>29633.153627228228</v>
      </c>
      <c r="D17" s="5">
        <f t="shared" si="0"/>
        <v>28706.965487831163</v>
      </c>
      <c r="E17" s="5">
        <f t="shared" si="1"/>
        <v>19206.965487831163</v>
      </c>
      <c r="F17" s="5">
        <f t="shared" si="2"/>
        <v>6572.8242317768745</v>
      </c>
      <c r="G17" s="5">
        <f t="shared" si="3"/>
        <v>22134.141256054289</v>
      </c>
      <c r="H17" s="22">
        <f t="shared" si="10"/>
        <v>13630.941708236938</v>
      </c>
      <c r="I17" s="5">
        <f t="shared" si="4"/>
        <v>34865.440811547589</v>
      </c>
      <c r="J17" s="26">
        <f t="shared" si="5"/>
        <v>0.13717909824127236</v>
      </c>
      <c r="L17" s="22">
        <f t="shared" si="11"/>
        <v>40408.665043324458</v>
      </c>
      <c r="M17" s="5">
        <f>scrimecost*Meta!O14</f>
        <v>9764.4989999999998</v>
      </c>
      <c r="N17" s="5">
        <f>L17-Grade11!L17</f>
        <v>287.85804638558329</v>
      </c>
      <c r="O17" s="5">
        <f>Grade11!M17-M17</f>
        <v>203.29999999999927</v>
      </c>
      <c r="P17" s="22">
        <f t="shared" si="12"/>
        <v>60.486121158884423</v>
      </c>
      <c r="Q17" s="22"/>
      <c r="R17" s="22"/>
      <c r="S17" s="22">
        <f t="shared" si="6"/>
        <v>445.39254654132844</v>
      </c>
      <c r="T17" s="22">
        <f t="shared" si="7"/>
        <v>522.13743179260018</v>
      </c>
    </row>
    <row r="18" spans="1:20" x14ac:dyDescent="0.2">
      <c r="A18" s="5">
        <v>27</v>
      </c>
      <c r="B18" s="1">
        <f t="shared" si="8"/>
        <v>1.2488629699476654</v>
      </c>
      <c r="C18" s="5">
        <f t="shared" si="9"/>
        <v>30373.982467908929</v>
      </c>
      <c r="D18" s="5">
        <f t="shared" si="0"/>
        <v>29398.899625026937</v>
      </c>
      <c r="E18" s="5">
        <f t="shared" si="1"/>
        <v>19898.899625026937</v>
      </c>
      <c r="F18" s="5">
        <f t="shared" si="2"/>
        <v>6798.7407275712949</v>
      </c>
      <c r="G18" s="5">
        <f t="shared" si="3"/>
        <v>22600.158897455643</v>
      </c>
      <c r="H18" s="22">
        <f t="shared" si="10"/>
        <v>13971.71525094286</v>
      </c>
      <c r="I18" s="5">
        <f t="shared" si="4"/>
        <v>35649.740941836273</v>
      </c>
      <c r="J18" s="26">
        <f t="shared" si="5"/>
        <v>0.13928769911314248</v>
      </c>
      <c r="L18" s="22">
        <f t="shared" si="11"/>
        <v>41418.881669407572</v>
      </c>
      <c r="M18" s="5">
        <f>scrimecost*Meta!O15</f>
        <v>9764.4989999999998</v>
      </c>
      <c r="N18" s="5">
        <f>L18-Grade11!L18</f>
        <v>295.05449754522124</v>
      </c>
      <c r="O18" s="5">
        <f>Grade11!M18-M18</f>
        <v>203.29999999999927</v>
      </c>
      <c r="P18" s="22">
        <f t="shared" si="12"/>
        <v>61.615703637856534</v>
      </c>
      <c r="Q18" s="22"/>
      <c r="R18" s="22"/>
      <c r="S18" s="22">
        <f t="shared" si="6"/>
        <v>451.42844938171049</v>
      </c>
      <c r="T18" s="22">
        <f t="shared" si="7"/>
        <v>538.64437544157715</v>
      </c>
    </row>
    <row r="19" spans="1:20" x14ac:dyDescent="0.2">
      <c r="A19" s="5">
        <v>28</v>
      </c>
      <c r="B19" s="1">
        <f t="shared" si="8"/>
        <v>1.2800845441963571</v>
      </c>
      <c r="C19" s="5">
        <f t="shared" si="9"/>
        <v>31133.332029606652</v>
      </c>
      <c r="D19" s="5">
        <f t="shared" si="0"/>
        <v>30108.13211565261</v>
      </c>
      <c r="E19" s="5">
        <f t="shared" si="1"/>
        <v>20608.13211565261</v>
      </c>
      <c r="F19" s="5">
        <f t="shared" si="2"/>
        <v>7030.3051357605773</v>
      </c>
      <c r="G19" s="5">
        <f t="shared" si="3"/>
        <v>23077.826979892034</v>
      </c>
      <c r="H19" s="22">
        <f t="shared" si="10"/>
        <v>14321.008132216431</v>
      </c>
      <c r="I19" s="5">
        <f t="shared" si="4"/>
        <v>36453.648575382176</v>
      </c>
      <c r="J19" s="26">
        <f t="shared" si="5"/>
        <v>0.14134487069545484</v>
      </c>
      <c r="L19" s="22">
        <f t="shared" si="11"/>
        <v>42454.353711142758</v>
      </c>
      <c r="M19" s="5">
        <f>scrimecost*Meta!O16</f>
        <v>9764.4989999999998</v>
      </c>
      <c r="N19" s="5">
        <f>L19-Grade11!L19</f>
        <v>302.43085998384777</v>
      </c>
      <c r="O19" s="5">
        <f>Grade11!M19-M19</f>
        <v>203.29999999999927</v>
      </c>
      <c r="P19" s="22">
        <f t="shared" si="12"/>
        <v>62.773525678802947</v>
      </c>
      <c r="Q19" s="22"/>
      <c r="R19" s="22"/>
      <c r="S19" s="22">
        <f t="shared" si="6"/>
        <v>457.61524979310059</v>
      </c>
      <c r="T19" s="22">
        <f t="shared" si="7"/>
        <v>555.75709166108857</v>
      </c>
    </row>
    <row r="20" spans="1:20" x14ac:dyDescent="0.2">
      <c r="A20" s="5">
        <v>29</v>
      </c>
      <c r="B20" s="1">
        <f t="shared" si="8"/>
        <v>1.312086657801266</v>
      </c>
      <c r="C20" s="5">
        <f t="shared" si="9"/>
        <v>31911.665330346819</v>
      </c>
      <c r="D20" s="5">
        <f t="shared" si="0"/>
        <v>30835.095418543926</v>
      </c>
      <c r="E20" s="5">
        <f t="shared" si="1"/>
        <v>21335.095418543926</v>
      </c>
      <c r="F20" s="5">
        <f t="shared" si="2"/>
        <v>7267.6586541545912</v>
      </c>
      <c r="G20" s="5">
        <f t="shared" si="3"/>
        <v>23567.436764389335</v>
      </c>
      <c r="H20" s="22">
        <f t="shared" si="10"/>
        <v>14679.033335521843</v>
      </c>
      <c r="I20" s="5">
        <f t="shared" si="4"/>
        <v>37277.653899766738</v>
      </c>
      <c r="J20" s="26">
        <f t="shared" si="5"/>
        <v>0.14335186736112543</v>
      </c>
      <c r="L20" s="22">
        <f t="shared" si="11"/>
        <v>43515.71255392133</v>
      </c>
      <c r="M20" s="5">
        <f>scrimecost*Meta!O17</f>
        <v>9764.4989999999998</v>
      </c>
      <c r="N20" s="5">
        <f>L20-Grade11!L20</f>
        <v>309.99163148345542</v>
      </c>
      <c r="O20" s="5">
        <f>Grade11!M20-M20</f>
        <v>203.29999999999927</v>
      </c>
      <c r="P20" s="22">
        <f t="shared" si="12"/>
        <v>63.960293270773008</v>
      </c>
      <c r="Q20" s="22"/>
      <c r="R20" s="22"/>
      <c r="S20" s="22">
        <f t="shared" si="6"/>
        <v>463.956720214786</v>
      </c>
      <c r="T20" s="22">
        <f t="shared" si="7"/>
        <v>573.49985783115574</v>
      </c>
    </row>
    <row r="21" spans="1:20" x14ac:dyDescent="0.2">
      <c r="A21" s="5">
        <v>30</v>
      </c>
      <c r="B21" s="1">
        <f t="shared" si="8"/>
        <v>1.3448888242462975</v>
      </c>
      <c r="C21" s="5">
        <f t="shared" si="9"/>
        <v>32709.456963605488</v>
      </c>
      <c r="D21" s="5">
        <f t="shared" si="0"/>
        <v>31580.232804007523</v>
      </c>
      <c r="E21" s="5">
        <f t="shared" si="1"/>
        <v>22080.232804007523</v>
      </c>
      <c r="F21" s="5">
        <f t="shared" si="2"/>
        <v>7510.9460105084563</v>
      </c>
      <c r="G21" s="5">
        <f t="shared" si="3"/>
        <v>24069.286793499065</v>
      </c>
      <c r="H21" s="22">
        <f t="shared" si="10"/>
        <v>15046.009168909886</v>
      </c>
      <c r="I21" s="5">
        <f t="shared" si="4"/>
        <v>38122.259357260897</v>
      </c>
      <c r="J21" s="26">
        <f t="shared" si="5"/>
        <v>0.14530991288860895</v>
      </c>
      <c r="L21" s="22">
        <f t="shared" si="11"/>
        <v>44603.605367769356</v>
      </c>
      <c r="M21" s="5">
        <f>scrimecost*Meta!O18</f>
        <v>8045.0250000000005</v>
      </c>
      <c r="N21" s="5">
        <f>L21-Grade11!L21</f>
        <v>317.7414222705338</v>
      </c>
      <c r="O21" s="5">
        <f>Grade11!M21-M21</f>
        <v>167.49999999999909</v>
      </c>
      <c r="P21" s="22">
        <f t="shared" si="12"/>
        <v>65.176730052542339</v>
      </c>
      <c r="Q21" s="22"/>
      <c r="R21" s="22"/>
      <c r="S21" s="22">
        <f t="shared" si="6"/>
        <v>437.05532739699999</v>
      </c>
      <c r="T21" s="22">
        <f t="shared" si="7"/>
        <v>549.87450453022188</v>
      </c>
    </row>
    <row r="22" spans="1:20" x14ac:dyDescent="0.2">
      <c r="A22" s="5">
        <v>31</v>
      </c>
      <c r="B22" s="1">
        <f t="shared" si="8"/>
        <v>1.3785110448524549</v>
      </c>
      <c r="C22" s="5">
        <f t="shared" si="9"/>
        <v>33527.193387695617</v>
      </c>
      <c r="D22" s="5">
        <f t="shared" si="0"/>
        <v>32343.998624107702</v>
      </c>
      <c r="E22" s="5">
        <f t="shared" si="1"/>
        <v>22843.998624107702</v>
      </c>
      <c r="F22" s="5">
        <f t="shared" si="2"/>
        <v>7760.3155507711654</v>
      </c>
      <c r="G22" s="5">
        <f t="shared" si="3"/>
        <v>24583.683073336535</v>
      </c>
      <c r="H22" s="22">
        <f t="shared" si="10"/>
        <v>15422.159398132633</v>
      </c>
      <c r="I22" s="5">
        <f t="shared" si="4"/>
        <v>38987.979951192414</v>
      </c>
      <c r="J22" s="26">
        <f t="shared" si="5"/>
        <v>0.14722020120810503</v>
      </c>
      <c r="L22" s="22">
        <f t="shared" si="11"/>
        <v>45718.695501963586</v>
      </c>
      <c r="M22" s="5">
        <f>scrimecost*Meta!O19</f>
        <v>8045.0250000000005</v>
      </c>
      <c r="N22" s="5">
        <f>L22-Grade11!L22</f>
        <v>325.68495782730315</v>
      </c>
      <c r="O22" s="5">
        <f>Grade11!M22-M22</f>
        <v>167.49999999999909</v>
      </c>
      <c r="P22" s="22">
        <f t="shared" si="12"/>
        <v>66.423577753855881</v>
      </c>
      <c r="Q22" s="22"/>
      <c r="R22" s="22"/>
      <c r="S22" s="22">
        <f t="shared" si="6"/>
        <v>443.71783475877908</v>
      </c>
      <c r="T22" s="22">
        <f t="shared" si="7"/>
        <v>568.2054183357227</v>
      </c>
    </row>
    <row r="23" spans="1:20" x14ac:dyDescent="0.2">
      <c r="A23" s="5">
        <v>32</v>
      </c>
      <c r="B23" s="1">
        <f t="shared" si="8"/>
        <v>1.4129738209737661</v>
      </c>
      <c r="C23" s="5">
        <f t="shared" si="9"/>
        <v>34365.373222388007</v>
      </c>
      <c r="D23" s="5">
        <f t="shared" si="0"/>
        <v>33126.858589710399</v>
      </c>
      <c r="E23" s="5">
        <f t="shared" si="1"/>
        <v>23626.858589710399</v>
      </c>
      <c r="F23" s="5">
        <f t="shared" si="2"/>
        <v>8015.9193295404457</v>
      </c>
      <c r="G23" s="5">
        <f t="shared" si="3"/>
        <v>25110.939260169951</v>
      </c>
      <c r="H23" s="22">
        <f t="shared" si="10"/>
        <v>15807.713383085946</v>
      </c>
      <c r="I23" s="5">
        <f t="shared" si="4"/>
        <v>39875.343559972222</v>
      </c>
      <c r="J23" s="26">
        <f t="shared" si="5"/>
        <v>0.14908389712956469</v>
      </c>
      <c r="L23" s="22">
        <f t="shared" si="11"/>
        <v>46861.662889512671</v>
      </c>
      <c r="M23" s="5">
        <f>scrimecost*Meta!O20</f>
        <v>8045.0250000000005</v>
      </c>
      <c r="N23" s="5">
        <f>L23-Grade11!L23</f>
        <v>333.82708177297172</v>
      </c>
      <c r="O23" s="5">
        <f>Grade11!M23-M23</f>
        <v>167.49999999999909</v>
      </c>
      <c r="P23" s="22">
        <f t="shared" si="12"/>
        <v>67.701596647702289</v>
      </c>
      <c r="Q23" s="22"/>
      <c r="R23" s="22"/>
      <c r="S23" s="22">
        <f t="shared" si="6"/>
        <v>450.54690480458891</v>
      </c>
      <c r="T23" s="22">
        <f t="shared" si="7"/>
        <v>587.23213938449248</v>
      </c>
    </row>
    <row r="24" spans="1:20" x14ac:dyDescent="0.2">
      <c r="A24" s="5">
        <v>33</v>
      </c>
      <c r="B24" s="1">
        <f t="shared" si="8"/>
        <v>1.4482981664981105</v>
      </c>
      <c r="C24" s="5">
        <f t="shared" si="9"/>
        <v>35224.507552947711</v>
      </c>
      <c r="D24" s="5">
        <f t="shared" si="0"/>
        <v>33929.290054453159</v>
      </c>
      <c r="E24" s="5">
        <f t="shared" si="1"/>
        <v>24429.290054453159</v>
      </c>
      <c r="F24" s="5">
        <f t="shared" si="2"/>
        <v>8277.9132027789565</v>
      </c>
      <c r="G24" s="5">
        <f t="shared" si="3"/>
        <v>25651.376851674202</v>
      </c>
      <c r="H24" s="22">
        <f t="shared" si="10"/>
        <v>16202.9062176631</v>
      </c>
      <c r="I24" s="5">
        <f t="shared" si="4"/>
        <v>40784.891258971533</v>
      </c>
      <c r="J24" s="26">
        <f t="shared" si="5"/>
        <v>0.15090213705293987</v>
      </c>
      <c r="L24" s="22">
        <f t="shared" si="11"/>
        <v>48033.204461750494</v>
      </c>
      <c r="M24" s="5">
        <f>scrimecost*Meta!O21</f>
        <v>8045.0250000000005</v>
      </c>
      <c r="N24" s="5">
        <f>L24-Grade11!L24</f>
        <v>342.17275881730893</v>
      </c>
      <c r="O24" s="5">
        <f>Grade11!M24-M24</f>
        <v>167.49999999999909</v>
      </c>
      <c r="P24" s="22">
        <f t="shared" si="12"/>
        <v>69.011566013894836</v>
      </c>
      <c r="Q24" s="22"/>
      <c r="R24" s="22"/>
      <c r="S24" s="22">
        <f t="shared" si="6"/>
        <v>457.54670160156257</v>
      </c>
      <c r="T24" s="22">
        <f t="shared" si="7"/>
        <v>606.98303866046683</v>
      </c>
    </row>
    <row r="25" spans="1:20" x14ac:dyDescent="0.2">
      <c r="A25" s="5">
        <v>34</v>
      </c>
      <c r="B25" s="1">
        <f t="shared" si="8"/>
        <v>1.4845056206605631</v>
      </c>
      <c r="C25" s="5">
        <f t="shared" si="9"/>
        <v>36105.120241771401</v>
      </c>
      <c r="D25" s="5">
        <f t="shared" si="0"/>
        <v>34751.782305814486</v>
      </c>
      <c r="E25" s="5">
        <f t="shared" si="1"/>
        <v>25251.782305814486</v>
      </c>
      <c r="F25" s="5">
        <f t="shared" si="2"/>
        <v>8546.4569228484288</v>
      </c>
      <c r="G25" s="5">
        <f t="shared" si="3"/>
        <v>26205.325382966057</v>
      </c>
      <c r="H25" s="22">
        <f t="shared" si="10"/>
        <v>16607.978873104676</v>
      </c>
      <c r="I25" s="5">
        <f t="shared" si="4"/>
        <v>41717.177650445825</v>
      </c>
      <c r="J25" s="26">
        <f t="shared" si="5"/>
        <v>0.1526760296611108</v>
      </c>
      <c r="L25" s="22">
        <f t="shared" si="11"/>
        <v>49234.034573294251</v>
      </c>
      <c r="M25" s="5">
        <f>scrimecost*Meta!O22</f>
        <v>8045.0250000000005</v>
      </c>
      <c r="N25" s="5">
        <f>L25-Grade11!L25</f>
        <v>350.72707778774202</v>
      </c>
      <c r="O25" s="5">
        <f>Grade11!M25-M25</f>
        <v>167.49999999999909</v>
      </c>
      <c r="P25" s="22">
        <f t="shared" si="12"/>
        <v>70.354284614242189</v>
      </c>
      <c r="Q25" s="22"/>
      <c r="R25" s="22"/>
      <c r="S25" s="22">
        <f t="shared" si="6"/>
        <v>464.72149331845191</v>
      </c>
      <c r="T25" s="22">
        <f t="shared" si="7"/>
        <v>627.48768375363557</v>
      </c>
    </row>
    <row r="26" spans="1:20" x14ac:dyDescent="0.2">
      <c r="A26" s="5">
        <v>35</v>
      </c>
      <c r="B26" s="1">
        <f t="shared" si="8"/>
        <v>1.521618261177077</v>
      </c>
      <c r="C26" s="5">
        <f t="shared" si="9"/>
        <v>37007.748247815682</v>
      </c>
      <c r="D26" s="5">
        <f t="shared" si="0"/>
        <v>35594.836863459845</v>
      </c>
      <c r="E26" s="5">
        <f t="shared" si="1"/>
        <v>26094.836863459845</v>
      </c>
      <c r="F26" s="5">
        <f t="shared" si="2"/>
        <v>8821.7142359196387</v>
      </c>
      <c r="G26" s="5">
        <f t="shared" si="3"/>
        <v>26773.122627540208</v>
      </c>
      <c r="H26" s="22">
        <f t="shared" si="10"/>
        <v>17023.17834493229</v>
      </c>
      <c r="I26" s="5">
        <f t="shared" si="4"/>
        <v>42672.771201706964</v>
      </c>
      <c r="J26" s="26">
        <f t="shared" si="5"/>
        <v>0.15440665659591174</v>
      </c>
      <c r="L26" s="22">
        <f t="shared" si="11"/>
        <v>50464.88543762661</v>
      </c>
      <c r="M26" s="5">
        <f>scrimecost*Meta!O23</f>
        <v>6080.598</v>
      </c>
      <c r="N26" s="5">
        <f>L26-Grade11!L26</f>
        <v>359.49525473243557</v>
      </c>
      <c r="O26" s="5">
        <f>Grade11!M26-M26</f>
        <v>126.60000000000036</v>
      </c>
      <c r="P26" s="22">
        <f t="shared" si="12"/>
        <v>71.730571179598257</v>
      </c>
      <c r="Q26" s="22"/>
      <c r="R26" s="22"/>
      <c r="S26" s="22">
        <f t="shared" si="6"/>
        <v>433.91595482826443</v>
      </c>
      <c r="T26" s="22">
        <f t="shared" si="7"/>
        <v>596.33374619359665</v>
      </c>
    </row>
    <row r="27" spans="1:20" x14ac:dyDescent="0.2">
      <c r="A27" s="5">
        <v>36</v>
      </c>
      <c r="B27" s="1">
        <f t="shared" si="8"/>
        <v>1.559658717706504</v>
      </c>
      <c r="C27" s="5">
        <f t="shared" si="9"/>
        <v>37932.941954011076</v>
      </c>
      <c r="D27" s="5">
        <f t="shared" si="0"/>
        <v>36458.967785046341</v>
      </c>
      <c r="E27" s="5">
        <f t="shared" si="1"/>
        <v>26958.967785046341</v>
      </c>
      <c r="F27" s="5">
        <f t="shared" si="2"/>
        <v>9103.8529818176303</v>
      </c>
      <c r="G27" s="5">
        <f t="shared" si="3"/>
        <v>27355.114803228709</v>
      </c>
      <c r="H27" s="22">
        <f t="shared" si="10"/>
        <v>17448.757803555596</v>
      </c>
      <c r="I27" s="5">
        <f t="shared" si="4"/>
        <v>43652.254591749632</v>
      </c>
      <c r="J27" s="26">
        <f t="shared" si="5"/>
        <v>0.15609507311766876</v>
      </c>
      <c r="L27" s="22">
        <f t="shared" si="11"/>
        <v>51726.507573567273</v>
      </c>
      <c r="M27" s="5">
        <f>scrimecost*Meta!O24</f>
        <v>6080.598</v>
      </c>
      <c r="N27" s="5">
        <f>L27-Grade11!L27</f>
        <v>368.48263610074355</v>
      </c>
      <c r="O27" s="5">
        <f>Grade11!M27-M27</f>
        <v>126.60000000000036</v>
      </c>
      <c r="P27" s="22">
        <f t="shared" si="12"/>
        <v>73.141264909088221</v>
      </c>
      <c r="Q27" s="22"/>
      <c r="R27" s="22"/>
      <c r="S27" s="22">
        <f t="shared" si="6"/>
        <v>441.45397037581898</v>
      </c>
      <c r="T27" s="22">
        <f t="shared" si="7"/>
        <v>617.50505182362826</v>
      </c>
    </row>
    <row r="28" spans="1:20" x14ac:dyDescent="0.2">
      <c r="A28" s="5">
        <v>37</v>
      </c>
      <c r="B28" s="1">
        <f t="shared" si="8"/>
        <v>1.5986501856491666</v>
      </c>
      <c r="C28" s="5">
        <f t="shared" si="9"/>
        <v>38881.265502861359</v>
      </c>
      <c r="D28" s="5">
        <f t="shared" si="0"/>
        <v>37344.701979672507</v>
      </c>
      <c r="E28" s="5">
        <f t="shared" si="1"/>
        <v>27844.701979672507</v>
      </c>
      <c r="F28" s="5">
        <f t="shared" si="2"/>
        <v>9393.045196363073</v>
      </c>
      <c r="G28" s="5">
        <f t="shared" si="3"/>
        <v>27951.656783309434</v>
      </c>
      <c r="H28" s="22">
        <f t="shared" si="10"/>
        <v>17884.976748644487</v>
      </c>
      <c r="I28" s="5">
        <f t="shared" si="4"/>
        <v>44656.225066543382</v>
      </c>
      <c r="J28" s="26">
        <f t="shared" si="5"/>
        <v>0.15774230874865125</v>
      </c>
      <c r="L28" s="22">
        <f t="shared" si="11"/>
        <v>53019.670262906453</v>
      </c>
      <c r="M28" s="5">
        <f>scrimecost*Meta!O25</f>
        <v>6080.598</v>
      </c>
      <c r="N28" s="5">
        <f>L28-Grade11!L28</f>
        <v>377.69470200326759</v>
      </c>
      <c r="O28" s="5">
        <f>Grade11!M28-M28</f>
        <v>126.60000000000036</v>
      </c>
      <c r="P28" s="22">
        <f t="shared" si="12"/>
        <v>74.587225981815436</v>
      </c>
      <c r="Q28" s="22"/>
      <c r="R28" s="22"/>
      <c r="S28" s="22">
        <f t="shared" si="6"/>
        <v>449.18043631206825</v>
      </c>
      <c r="T28" s="22">
        <f t="shared" si="7"/>
        <v>639.50985408989288</v>
      </c>
    </row>
    <row r="29" spans="1:20" x14ac:dyDescent="0.2">
      <c r="A29" s="5">
        <v>38</v>
      </c>
      <c r="B29" s="1">
        <f t="shared" si="8"/>
        <v>1.6386164402903955</v>
      </c>
      <c r="C29" s="5">
        <f t="shared" si="9"/>
        <v>39853.297140432885</v>
      </c>
      <c r="D29" s="5">
        <f t="shared" si="0"/>
        <v>38252.579529164308</v>
      </c>
      <c r="E29" s="5">
        <f t="shared" si="1"/>
        <v>28752.579529164308</v>
      </c>
      <c r="F29" s="5">
        <f t="shared" si="2"/>
        <v>9689.4672162721472</v>
      </c>
      <c r="G29" s="5">
        <f t="shared" si="3"/>
        <v>28563.112312892161</v>
      </c>
      <c r="H29" s="22">
        <f t="shared" si="10"/>
        <v>18332.101167360597</v>
      </c>
      <c r="I29" s="5">
        <f t="shared" si="4"/>
        <v>45685.294803206954</v>
      </c>
      <c r="J29" s="26">
        <f t="shared" si="5"/>
        <v>0.15934936790082921</v>
      </c>
      <c r="L29" s="22">
        <f t="shared" si="11"/>
        <v>54345.162019479103</v>
      </c>
      <c r="M29" s="5">
        <f>scrimecost*Meta!O26</f>
        <v>6080.598</v>
      </c>
      <c r="N29" s="5">
        <f>L29-Grade11!L29</f>
        <v>387.13706955334055</v>
      </c>
      <c r="O29" s="5">
        <f>Grade11!M29-M29</f>
        <v>126.60000000000036</v>
      </c>
      <c r="P29" s="22">
        <f t="shared" si="12"/>
        <v>76.069336081360802</v>
      </c>
      <c r="Q29" s="22"/>
      <c r="R29" s="22"/>
      <c r="S29" s="22">
        <f t="shared" si="6"/>
        <v>457.10006389671389</v>
      </c>
      <c r="T29" s="22">
        <f t="shared" si="7"/>
        <v>662.38274496744555</v>
      </c>
    </row>
    <row r="30" spans="1:20" x14ac:dyDescent="0.2">
      <c r="A30" s="5">
        <v>39</v>
      </c>
      <c r="B30" s="1">
        <f t="shared" si="8"/>
        <v>1.6795818512976552</v>
      </c>
      <c r="C30" s="5">
        <f t="shared" si="9"/>
        <v>40849.629568943703</v>
      </c>
      <c r="D30" s="5">
        <f t="shared" si="0"/>
        <v>39183.154017393412</v>
      </c>
      <c r="E30" s="5">
        <f t="shared" si="1"/>
        <v>29683.154017393412</v>
      </c>
      <c r="F30" s="5">
        <f t="shared" si="2"/>
        <v>9993.2997866789483</v>
      </c>
      <c r="G30" s="5">
        <f t="shared" si="3"/>
        <v>29189.854230714463</v>
      </c>
      <c r="H30" s="22">
        <f t="shared" si="10"/>
        <v>18790.40369654461</v>
      </c>
      <c r="I30" s="5">
        <f t="shared" si="4"/>
        <v>46740.091283287125</v>
      </c>
      <c r="J30" s="26">
        <f t="shared" si="5"/>
        <v>0.16091723048831991</v>
      </c>
      <c r="L30" s="22">
        <f t="shared" si="11"/>
        <v>55703.791069966079</v>
      </c>
      <c r="M30" s="5">
        <f>scrimecost*Meta!O27</f>
        <v>6080.598</v>
      </c>
      <c r="N30" s="5">
        <f>L30-Grade11!L30</f>
        <v>396.81549629217625</v>
      </c>
      <c r="O30" s="5">
        <f>Grade11!M30-M30</f>
        <v>126.60000000000036</v>
      </c>
      <c r="P30" s="22">
        <f t="shared" si="12"/>
        <v>77.588498933394803</v>
      </c>
      <c r="Q30" s="22"/>
      <c r="R30" s="22"/>
      <c r="S30" s="22">
        <f t="shared" si="6"/>
        <v>465.21768217098327</v>
      </c>
      <c r="T30" s="22">
        <f t="shared" si="7"/>
        <v>686.15978689585063</v>
      </c>
    </row>
    <row r="31" spans="1:20" x14ac:dyDescent="0.2">
      <c r="A31" s="5">
        <v>40</v>
      </c>
      <c r="B31" s="1">
        <f t="shared" si="8"/>
        <v>1.7215713975800966</v>
      </c>
      <c r="C31" s="5">
        <f t="shared" si="9"/>
        <v>41870.870308167294</v>
      </c>
      <c r="D31" s="5">
        <f t="shared" si="0"/>
        <v>40136.992867828245</v>
      </c>
      <c r="E31" s="5">
        <f t="shared" si="1"/>
        <v>30636.992867828245</v>
      </c>
      <c r="F31" s="5">
        <f t="shared" si="2"/>
        <v>10304.728171345922</v>
      </c>
      <c r="G31" s="5">
        <f t="shared" si="3"/>
        <v>29832.264696482322</v>
      </c>
      <c r="H31" s="22">
        <f t="shared" si="10"/>
        <v>19260.163788958227</v>
      </c>
      <c r="I31" s="5">
        <f t="shared" si="4"/>
        <v>47821.257675369299</v>
      </c>
      <c r="J31" s="26">
        <f t="shared" si="5"/>
        <v>0.16244685252489621</v>
      </c>
      <c r="L31" s="22">
        <f t="shared" si="11"/>
        <v>57096.385846715231</v>
      </c>
      <c r="M31" s="5">
        <f>scrimecost*Meta!O28</f>
        <v>5432.1930000000002</v>
      </c>
      <c r="N31" s="5">
        <f>L31-Grade11!L31</f>
        <v>406.73588369947538</v>
      </c>
      <c r="O31" s="5">
        <f>Grade11!M31-M31</f>
        <v>113.09999999999945</v>
      </c>
      <c r="P31" s="22">
        <f t="shared" si="12"/>
        <v>79.145640856729671</v>
      </c>
      <c r="Q31" s="22"/>
      <c r="R31" s="22"/>
      <c r="S31" s="22">
        <f t="shared" si="6"/>
        <v>460.94274090210331</v>
      </c>
      <c r="T31" s="22">
        <f t="shared" si="7"/>
        <v>691.97013237039107</v>
      </c>
    </row>
    <row r="32" spans="1:20" x14ac:dyDescent="0.2">
      <c r="A32" s="5">
        <v>41</v>
      </c>
      <c r="B32" s="1">
        <f t="shared" si="8"/>
        <v>1.7646106825195991</v>
      </c>
      <c r="C32" s="5">
        <f t="shared" si="9"/>
        <v>42917.642065871478</v>
      </c>
      <c r="D32" s="5">
        <f t="shared" si="0"/>
        <v>41114.677689523953</v>
      </c>
      <c r="E32" s="5">
        <f t="shared" si="1"/>
        <v>31614.677689523953</v>
      </c>
      <c r="F32" s="5">
        <f t="shared" si="2"/>
        <v>10623.94226562957</v>
      </c>
      <c r="G32" s="5">
        <f t="shared" si="3"/>
        <v>30490.735423894381</v>
      </c>
      <c r="H32" s="22">
        <f t="shared" si="10"/>
        <v>19741.667883682181</v>
      </c>
      <c r="I32" s="5">
        <f t="shared" si="4"/>
        <v>48929.453227253536</v>
      </c>
      <c r="J32" s="26">
        <f t="shared" si="5"/>
        <v>0.16393916670692191</v>
      </c>
      <c r="L32" s="22">
        <f t="shared" si="11"/>
        <v>58523.79549288311</v>
      </c>
      <c r="M32" s="5">
        <f>scrimecost*Meta!O29</f>
        <v>5432.1930000000002</v>
      </c>
      <c r="N32" s="5">
        <f>L32-Grade11!L32</f>
        <v>416.90428079196136</v>
      </c>
      <c r="O32" s="5">
        <f>Grade11!M32-M32</f>
        <v>113.09999999999945</v>
      </c>
      <c r="P32" s="22">
        <f t="shared" si="12"/>
        <v>80.741711328147915</v>
      </c>
      <c r="Q32" s="22"/>
      <c r="R32" s="22"/>
      <c r="S32" s="22">
        <f t="shared" si="6"/>
        <v>469.4713136015053</v>
      </c>
      <c r="T32" s="22">
        <f t="shared" si="7"/>
        <v>717.33290054440965</v>
      </c>
    </row>
    <row r="33" spans="1:20" x14ac:dyDescent="0.2">
      <c r="A33" s="5">
        <v>42</v>
      </c>
      <c r="B33" s="1">
        <f t="shared" si="8"/>
        <v>1.8087259495825889</v>
      </c>
      <c r="C33" s="5">
        <f t="shared" si="9"/>
        <v>43990.583117518261</v>
      </c>
      <c r="D33" s="5">
        <f t="shared" si="0"/>
        <v>42116.804631762054</v>
      </c>
      <c r="E33" s="5">
        <f t="shared" si="1"/>
        <v>32616.804631762054</v>
      </c>
      <c r="F33" s="5">
        <f t="shared" si="2"/>
        <v>10951.13671227031</v>
      </c>
      <c r="G33" s="5">
        <f t="shared" si="3"/>
        <v>31165.667919491745</v>
      </c>
      <c r="H33" s="22">
        <f t="shared" si="10"/>
        <v>20235.209580774233</v>
      </c>
      <c r="I33" s="5">
        <f t="shared" si="4"/>
        <v>50065.353667934876</v>
      </c>
      <c r="J33" s="26">
        <f t="shared" si="5"/>
        <v>0.16539508298206895</v>
      </c>
      <c r="L33" s="22">
        <f t="shared" si="11"/>
        <v>59986.890380205186</v>
      </c>
      <c r="M33" s="5">
        <f>scrimecost*Meta!O30</f>
        <v>5432.1930000000002</v>
      </c>
      <c r="N33" s="5">
        <f>L33-Grade11!L33</f>
        <v>427.32688781177421</v>
      </c>
      <c r="O33" s="5">
        <f>Grade11!M33-M33</f>
        <v>113.09999999999945</v>
      </c>
      <c r="P33" s="22">
        <f t="shared" si="12"/>
        <v>82.377683561351617</v>
      </c>
      <c r="Q33" s="22"/>
      <c r="R33" s="22"/>
      <c r="S33" s="22">
        <f t="shared" si="6"/>
        <v>478.21310061840256</v>
      </c>
      <c r="T33" s="22">
        <f t="shared" si="7"/>
        <v>743.71147020079411</v>
      </c>
    </row>
    <row r="34" spans="1:20" x14ac:dyDescent="0.2">
      <c r="A34" s="5">
        <v>43</v>
      </c>
      <c r="B34" s="1">
        <f t="shared" si="8"/>
        <v>1.8539440983221533</v>
      </c>
      <c r="C34" s="5">
        <f t="shared" si="9"/>
        <v>45090.347695456214</v>
      </c>
      <c r="D34" s="5">
        <f t="shared" si="0"/>
        <v>43143.984747556096</v>
      </c>
      <c r="E34" s="5">
        <f t="shared" si="1"/>
        <v>33643.984747556096</v>
      </c>
      <c r="F34" s="5">
        <f t="shared" si="2"/>
        <v>11286.511020077065</v>
      </c>
      <c r="G34" s="5">
        <f t="shared" si="3"/>
        <v>31857.473727479031</v>
      </c>
      <c r="H34" s="22">
        <f t="shared" si="10"/>
        <v>20741.089820293586</v>
      </c>
      <c r="I34" s="5">
        <f t="shared" si="4"/>
        <v>51229.651619633238</v>
      </c>
      <c r="J34" s="26">
        <f t="shared" si="5"/>
        <v>0.16681548910416355</v>
      </c>
      <c r="L34" s="22">
        <f t="shared" si="11"/>
        <v>61486.562639710304</v>
      </c>
      <c r="M34" s="5">
        <f>scrimecost*Meta!O31</f>
        <v>5432.1930000000002</v>
      </c>
      <c r="N34" s="5">
        <f>L34-Grade11!L34</f>
        <v>438.01006000706548</v>
      </c>
      <c r="O34" s="5">
        <f>Grade11!M34-M34</f>
        <v>113.09999999999945</v>
      </c>
      <c r="P34" s="22">
        <f t="shared" si="12"/>
        <v>84.0545551003854</v>
      </c>
      <c r="Q34" s="22"/>
      <c r="R34" s="22"/>
      <c r="S34" s="22">
        <f t="shared" si="6"/>
        <v>487.17343231071038</v>
      </c>
      <c r="T34" s="22">
        <f t="shared" si="7"/>
        <v>771.14833800513452</v>
      </c>
    </row>
    <row r="35" spans="1:20" x14ac:dyDescent="0.2">
      <c r="A35" s="5">
        <v>44</v>
      </c>
      <c r="B35" s="1">
        <f t="shared" si="8"/>
        <v>1.9002927007802071</v>
      </c>
      <c r="C35" s="5">
        <f t="shared" si="9"/>
        <v>46217.606387842614</v>
      </c>
      <c r="D35" s="5">
        <f t="shared" si="0"/>
        <v>44196.844366245001</v>
      </c>
      <c r="E35" s="5">
        <f t="shared" si="1"/>
        <v>34696.844366245001</v>
      </c>
      <c r="F35" s="5">
        <f t="shared" si="2"/>
        <v>11649.954122203493</v>
      </c>
      <c r="G35" s="5">
        <f t="shared" si="3"/>
        <v>32546.890244041508</v>
      </c>
      <c r="H35" s="22">
        <f t="shared" si="10"/>
        <v>21259.617065800925</v>
      </c>
      <c r="I35" s="5">
        <f t="shared" si="4"/>
        <v>52403.372583499571</v>
      </c>
      <c r="J35" s="26">
        <f t="shared" si="5"/>
        <v>0.16851358492011309</v>
      </c>
      <c r="L35" s="22">
        <f t="shared" si="11"/>
        <v>63023.726705703055</v>
      </c>
      <c r="M35" s="5">
        <f>scrimecost*Meta!O32</f>
        <v>5432.1930000000002</v>
      </c>
      <c r="N35" s="5">
        <f>L35-Grade11!L35</f>
        <v>448.96031150723138</v>
      </c>
      <c r="O35" s="5">
        <f>Grade11!M35-M35</f>
        <v>113.09999999999945</v>
      </c>
      <c r="P35" s="22">
        <f t="shared" si="12"/>
        <v>85.871770611017524</v>
      </c>
      <c r="Q35" s="22"/>
      <c r="R35" s="22"/>
      <c r="S35" s="22">
        <f t="shared" si="6"/>
        <v>496.4496001921741</v>
      </c>
      <c r="T35" s="22">
        <f t="shared" si="7"/>
        <v>799.83575839671664</v>
      </c>
    </row>
    <row r="36" spans="1:20" x14ac:dyDescent="0.2">
      <c r="A36" s="5">
        <v>45</v>
      </c>
      <c r="B36" s="1">
        <f t="shared" si="8"/>
        <v>1.9478000182997122</v>
      </c>
      <c r="C36" s="5">
        <f t="shared" si="9"/>
        <v>47373.046547538674</v>
      </c>
      <c r="D36" s="5">
        <f t="shared" si="0"/>
        <v>45276.025475401118</v>
      </c>
      <c r="E36" s="5">
        <f t="shared" si="1"/>
        <v>35776.025475401118</v>
      </c>
      <c r="F36" s="5">
        <f t="shared" si="2"/>
        <v>12110.224865258579</v>
      </c>
      <c r="G36" s="5">
        <f t="shared" si="3"/>
        <v>33165.800610142542</v>
      </c>
      <c r="H36" s="22">
        <f t="shared" si="10"/>
        <v>21791.107492445946</v>
      </c>
      <c r="I36" s="5">
        <f t="shared" si="4"/>
        <v>53518.695008087059</v>
      </c>
      <c r="J36" s="26">
        <f t="shared" si="5"/>
        <v>0.17152850660012228</v>
      </c>
      <c r="L36" s="22">
        <f t="shared" si="11"/>
        <v>64599.31987334563</v>
      </c>
      <c r="M36" s="5">
        <f>scrimecost*Meta!O33</f>
        <v>4606.0770000000002</v>
      </c>
      <c r="N36" s="5">
        <f>L36-Grade11!L36</f>
        <v>460.18431929491635</v>
      </c>
      <c r="O36" s="5">
        <f>Grade11!M36-M36</f>
        <v>95.899999999999636</v>
      </c>
      <c r="P36" s="22">
        <f t="shared" si="12"/>
        <v>88.173124326292964</v>
      </c>
      <c r="Q36" s="22"/>
      <c r="R36" s="22"/>
      <c r="S36" s="22">
        <f t="shared" si="6"/>
        <v>490.31938666383155</v>
      </c>
      <c r="T36" s="22">
        <f t="shared" si="7"/>
        <v>804.03700379794941</v>
      </c>
    </row>
    <row r="37" spans="1:20" x14ac:dyDescent="0.2">
      <c r="A37" s="5">
        <v>46</v>
      </c>
      <c r="B37" s="1">
        <f t="shared" ref="B37:B56" si="13">(1+experiencepremium)^(A37-startage)</f>
        <v>1.9964950187572048</v>
      </c>
      <c r="C37" s="5">
        <f t="shared" ref="C37:C56" si="14">pretaxincome*B37/expnorm</f>
        <v>48557.37271122713</v>
      </c>
      <c r="D37" s="5">
        <f t="shared" ref="D37:D56" si="15">IF(A37&lt;startage,1,0)*(C37*(1-initialunempprob))+IF(A37=startage,1,0)*(C37*(1-unempprob))+IF(A37&gt;startage,1,0)*(C37*(1-unempprob)+unempprob*300*52)</f>
        <v>46382.186112286137</v>
      </c>
      <c r="E37" s="5">
        <f t="shared" si="1"/>
        <v>36882.186112286137</v>
      </c>
      <c r="F37" s="5">
        <f t="shared" si="2"/>
        <v>12582.002376890039</v>
      </c>
      <c r="G37" s="5">
        <f t="shared" si="3"/>
        <v>33800.183735396102</v>
      </c>
      <c r="H37" s="22">
        <f t="shared" ref="H37:H56" si="16">benefits*B37/expnorm</f>
        <v>22335.885179757093</v>
      </c>
      <c r="I37" s="5">
        <f t="shared" ref="I37:I56" si="17">G37+IF(A37&lt;startage,1,0)*(H37*(1-initialunempprob))+IF(A37&gt;=startage,1,0)*(H37*(1-unempprob))</f>
        <v>54661.900493289228</v>
      </c>
      <c r="J37" s="26">
        <f t="shared" si="5"/>
        <v>0.17446989360500931</v>
      </c>
      <c r="L37" s="22">
        <f t="shared" ref="L37:L56" si="18">(sincome+sbenefits)*(1-sunemp)*B37/expnorm</f>
        <v>66214.302870179265</v>
      </c>
      <c r="M37" s="5">
        <f>scrimecost*Meta!O34</f>
        <v>4606.0770000000002</v>
      </c>
      <c r="N37" s="5">
        <f>L37-Grade11!L37</f>
        <v>471.68892727728235</v>
      </c>
      <c r="O37" s="5">
        <f>Grade11!M37-M37</f>
        <v>95.899999999999636</v>
      </c>
      <c r="P37" s="22">
        <f t="shared" si="12"/>
        <v>90.53201188445027</v>
      </c>
      <c r="Q37" s="22"/>
      <c r="R37" s="22"/>
      <c r="S37" s="22">
        <f t="shared" si="6"/>
        <v>500.48470779727251</v>
      </c>
      <c r="T37" s="22">
        <f t="shared" si="7"/>
        <v>835.33197184331971</v>
      </c>
    </row>
    <row r="38" spans="1:20" x14ac:dyDescent="0.2">
      <c r="A38" s="5">
        <v>47</v>
      </c>
      <c r="B38" s="1">
        <f t="shared" si="13"/>
        <v>2.0464073942261352</v>
      </c>
      <c r="C38" s="5">
        <f t="shared" si="14"/>
        <v>49771.307029007825</v>
      </c>
      <c r="D38" s="5">
        <f t="shared" si="15"/>
        <v>47516.000765093304</v>
      </c>
      <c r="E38" s="5">
        <f t="shared" si="1"/>
        <v>38016.000765093304</v>
      </c>
      <c r="F38" s="5">
        <f t="shared" si="2"/>
        <v>13065.574326312293</v>
      </c>
      <c r="G38" s="5">
        <f t="shared" si="3"/>
        <v>34450.426438781011</v>
      </c>
      <c r="H38" s="22">
        <f t="shared" si="16"/>
        <v>22894.282309251026</v>
      </c>
      <c r="I38" s="5">
        <f t="shared" si="17"/>
        <v>55833.686115621473</v>
      </c>
      <c r="J38" s="26">
        <f t="shared" si="5"/>
        <v>0.17733953946343567</v>
      </c>
      <c r="L38" s="22">
        <f t="shared" si="18"/>
        <v>67869.660441933753</v>
      </c>
      <c r="M38" s="5">
        <f>scrimecost*Meta!O35</f>
        <v>4606.0770000000002</v>
      </c>
      <c r="N38" s="5">
        <f>L38-Grade11!L38</f>
        <v>483.48115045923623</v>
      </c>
      <c r="O38" s="5">
        <f>Grade11!M38-M38</f>
        <v>95.899999999999636</v>
      </c>
      <c r="P38" s="22">
        <f t="shared" si="12"/>
        <v>92.949871631561521</v>
      </c>
      <c r="Q38" s="22"/>
      <c r="R38" s="22"/>
      <c r="S38" s="22">
        <f t="shared" si="6"/>
        <v>510.90416195906943</v>
      </c>
      <c r="T38" s="22">
        <f t="shared" si="7"/>
        <v>867.91871427055878</v>
      </c>
    </row>
    <row r="39" spans="1:20" x14ac:dyDescent="0.2">
      <c r="A39" s="5">
        <v>48</v>
      </c>
      <c r="B39" s="1">
        <f t="shared" si="13"/>
        <v>2.097567579081788</v>
      </c>
      <c r="C39" s="5">
        <f t="shared" si="14"/>
        <v>51015.589704733007</v>
      </c>
      <c r="D39" s="5">
        <f t="shared" si="15"/>
        <v>48678.160784220621</v>
      </c>
      <c r="E39" s="5">
        <f t="shared" si="1"/>
        <v>39178.160784220621</v>
      </c>
      <c r="F39" s="5">
        <f t="shared" si="2"/>
        <v>13561.235574470094</v>
      </c>
      <c r="G39" s="5">
        <f t="shared" si="3"/>
        <v>35116.925209750523</v>
      </c>
      <c r="H39" s="22">
        <f t="shared" si="16"/>
        <v>23466.639366982294</v>
      </c>
      <c r="I39" s="5">
        <f t="shared" si="17"/>
        <v>57034.76637851198</v>
      </c>
      <c r="J39" s="26">
        <f t="shared" si="5"/>
        <v>0.1801391939594614</v>
      </c>
      <c r="L39" s="22">
        <f t="shared" si="18"/>
        <v>69566.401952982094</v>
      </c>
      <c r="M39" s="5">
        <f>scrimecost*Meta!O36</f>
        <v>4606.0770000000002</v>
      </c>
      <c r="N39" s="5">
        <f>L39-Grade11!L39</f>
        <v>495.56817922068876</v>
      </c>
      <c r="O39" s="5">
        <f>Grade11!M39-M39</f>
        <v>95.899999999999636</v>
      </c>
      <c r="P39" s="22">
        <f t="shared" si="12"/>
        <v>95.42817787235056</v>
      </c>
      <c r="Q39" s="22"/>
      <c r="R39" s="22"/>
      <c r="S39" s="22">
        <f t="shared" si="6"/>
        <v>521.58410247487643</v>
      </c>
      <c r="T39" s="22">
        <f t="shared" si="7"/>
        <v>901.852012168226</v>
      </c>
    </row>
    <row r="40" spans="1:20" x14ac:dyDescent="0.2">
      <c r="A40" s="5">
        <v>49</v>
      </c>
      <c r="B40" s="1">
        <f t="shared" si="13"/>
        <v>2.1500067685588333</v>
      </c>
      <c r="C40" s="5">
        <f t="shared" si="14"/>
        <v>52290.979447351339</v>
      </c>
      <c r="D40" s="5">
        <f t="shared" si="15"/>
        <v>49869.374803826147</v>
      </c>
      <c r="E40" s="5">
        <f t="shared" si="1"/>
        <v>40369.374803826147</v>
      </c>
      <c r="F40" s="5">
        <f t="shared" si="2"/>
        <v>14069.288353831853</v>
      </c>
      <c r="G40" s="5">
        <f t="shared" si="3"/>
        <v>35800.086449994298</v>
      </c>
      <c r="H40" s="22">
        <f t="shared" si="16"/>
        <v>24053.305351156858</v>
      </c>
      <c r="I40" s="5">
        <f t="shared" si="17"/>
        <v>58265.873647974804</v>
      </c>
      <c r="J40" s="26">
        <f t="shared" ref="J40:J56" si="19">(F40-(IF(A40&gt;startage,1,0)*(unempprob*300*52)))/(IF(A40&lt;startage,1,0)*((C40+H40)*(1-initialunempprob))+IF(A40&gt;=startage,1,0)*((C40+H40)*(1-unempprob)))</f>
        <v>0.18287056419948658</v>
      </c>
      <c r="L40" s="22">
        <f t="shared" si="18"/>
        <v>71305.562001806655</v>
      </c>
      <c r="M40" s="5">
        <f>scrimecost*Meta!O37</f>
        <v>4606.0770000000002</v>
      </c>
      <c r="N40" s="5">
        <f>L40-Grade11!L40</f>
        <v>507.95738370124309</v>
      </c>
      <c r="O40" s="5">
        <f>Grade11!M40-M40</f>
        <v>95.899999999999636</v>
      </c>
      <c r="P40" s="22">
        <f t="shared" si="12"/>
        <v>97.968441769159355</v>
      </c>
      <c r="Q40" s="22"/>
      <c r="R40" s="22"/>
      <c r="S40" s="22">
        <f t="shared" ref="S40:S69" si="20">IF(A40&lt;startage,1,0)*(N40-Q40-R40)+IF(A40&gt;=startage,1,0)*completionprob*(N40*spart+O40+P40)</f>
        <v>532.53104150362412</v>
      </c>
      <c r="T40" s="22">
        <f t="shared" ref="T40:T69" si="21">S40/sreturn^(A40-startage+1)</f>
        <v>937.18899703366139</v>
      </c>
    </row>
    <row r="41" spans="1:20" x14ac:dyDescent="0.2">
      <c r="A41" s="5">
        <v>50</v>
      </c>
      <c r="B41" s="1">
        <f t="shared" si="13"/>
        <v>2.2037569377728037</v>
      </c>
      <c r="C41" s="5">
        <f t="shared" si="14"/>
        <v>53598.253933535118</v>
      </c>
      <c r="D41" s="5">
        <f t="shared" si="15"/>
        <v>51090.369173921797</v>
      </c>
      <c r="E41" s="5">
        <f t="shared" si="1"/>
        <v>41590.369173921797</v>
      </c>
      <c r="F41" s="5">
        <f t="shared" si="2"/>
        <v>14590.042452677648</v>
      </c>
      <c r="G41" s="5">
        <f t="shared" si="3"/>
        <v>36500.32672124415</v>
      </c>
      <c r="H41" s="22">
        <f t="shared" si="16"/>
        <v>24654.637984935773</v>
      </c>
      <c r="I41" s="5">
        <f t="shared" si="17"/>
        <v>59527.758599174165</v>
      </c>
      <c r="J41" s="26">
        <f t="shared" si="19"/>
        <v>0.18553531565316961</v>
      </c>
      <c r="L41" s="22">
        <f t="shared" si="18"/>
        <v>73088.201051851807</v>
      </c>
      <c r="M41" s="5">
        <f>scrimecost*Meta!O38</f>
        <v>3333.2819999999997</v>
      </c>
      <c r="N41" s="5">
        <f>L41-Grade11!L41</f>
        <v>520.65631829375343</v>
      </c>
      <c r="O41" s="5">
        <f>Grade11!M41-M41</f>
        <v>69.400000000000091</v>
      </c>
      <c r="P41" s="22">
        <f t="shared" si="12"/>
        <v>100.57221226338834</v>
      </c>
      <c r="Q41" s="22"/>
      <c r="R41" s="22"/>
      <c r="S41" s="22">
        <f t="shared" si="20"/>
        <v>519.02715400805073</v>
      </c>
      <c r="T41" s="22">
        <f t="shared" si="21"/>
        <v>929.70175967783246</v>
      </c>
    </row>
    <row r="42" spans="1:20" x14ac:dyDescent="0.2">
      <c r="A42" s="5">
        <v>51</v>
      </c>
      <c r="B42" s="1">
        <f t="shared" si="13"/>
        <v>2.2588508612171236</v>
      </c>
      <c r="C42" s="5">
        <f t="shared" si="14"/>
        <v>54938.210281873493</v>
      </c>
      <c r="D42" s="5">
        <f t="shared" si="15"/>
        <v>52341.888403269841</v>
      </c>
      <c r="E42" s="5">
        <f t="shared" si="1"/>
        <v>42841.888403269841</v>
      </c>
      <c r="F42" s="5">
        <f t="shared" si="2"/>
        <v>15123.815403994588</v>
      </c>
      <c r="G42" s="5">
        <f t="shared" si="3"/>
        <v>37218.072999275253</v>
      </c>
      <c r="H42" s="22">
        <f t="shared" si="16"/>
        <v>25271.003934559165</v>
      </c>
      <c r="I42" s="5">
        <f t="shared" si="17"/>
        <v>60821.190674153513</v>
      </c>
      <c r="J42" s="26">
        <f t="shared" si="19"/>
        <v>0.18813507316895792</v>
      </c>
      <c r="L42" s="22">
        <f t="shared" si="18"/>
        <v>74915.406078148095</v>
      </c>
      <c r="M42" s="5">
        <f>scrimecost*Meta!O39</f>
        <v>3333.2819999999997</v>
      </c>
      <c r="N42" s="5">
        <f>L42-Grade11!L42</f>
        <v>533.67272625108308</v>
      </c>
      <c r="O42" s="5">
        <f>Grade11!M42-M42</f>
        <v>69.400000000000091</v>
      </c>
      <c r="P42" s="22">
        <f t="shared" si="12"/>
        <v>103.24107701997303</v>
      </c>
      <c r="Q42" s="22"/>
      <c r="R42" s="22"/>
      <c r="S42" s="22">
        <f t="shared" si="20"/>
        <v>530.52828182509222</v>
      </c>
      <c r="T42" s="22">
        <f t="shared" si="21"/>
        <v>967.23818728729736</v>
      </c>
    </row>
    <row r="43" spans="1:20" x14ac:dyDescent="0.2">
      <c r="A43" s="5">
        <v>52</v>
      </c>
      <c r="B43" s="1">
        <f t="shared" si="13"/>
        <v>2.3153221327475517</v>
      </c>
      <c r="C43" s="5">
        <f t="shared" si="14"/>
        <v>56311.665538920322</v>
      </c>
      <c r="D43" s="5">
        <f t="shared" si="15"/>
        <v>53624.695613351578</v>
      </c>
      <c r="E43" s="5">
        <f t="shared" si="1"/>
        <v>44124.695613351578</v>
      </c>
      <c r="F43" s="5">
        <f t="shared" si="2"/>
        <v>15670.932679094447</v>
      </c>
      <c r="G43" s="5">
        <f t="shared" si="3"/>
        <v>37953.762934257131</v>
      </c>
      <c r="H43" s="22">
        <f t="shared" si="16"/>
        <v>25902.779032923147</v>
      </c>
      <c r="I43" s="5">
        <f t="shared" si="17"/>
        <v>62146.958551007352</v>
      </c>
      <c r="J43" s="26">
        <f t="shared" si="19"/>
        <v>0.19067142196484893</v>
      </c>
      <c r="L43" s="22">
        <f t="shared" si="18"/>
        <v>76788.291230101808</v>
      </c>
      <c r="M43" s="5">
        <f>scrimecost*Meta!O40</f>
        <v>3333.2819999999997</v>
      </c>
      <c r="N43" s="5">
        <f>L43-Grade11!L43</f>
        <v>547.01454440738598</v>
      </c>
      <c r="O43" s="5">
        <f>Grade11!M43-M43</f>
        <v>69.400000000000091</v>
      </c>
      <c r="P43" s="22">
        <f t="shared" si="12"/>
        <v>105.97666339547234</v>
      </c>
      <c r="Q43" s="22"/>
      <c r="R43" s="22"/>
      <c r="S43" s="22">
        <f t="shared" si="20"/>
        <v>542.31693783758737</v>
      </c>
      <c r="T43" s="22">
        <f t="shared" si="21"/>
        <v>1006.3507694440277</v>
      </c>
    </row>
    <row r="44" spans="1:20" x14ac:dyDescent="0.2">
      <c r="A44" s="5">
        <v>53</v>
      </c>
      <c r="B44" s="1">
        <f t="shared" si="13"/>
        <v>2.3732051860662402</v>
      </c>
      <c r="C44" s="5">
        <f t="shared" si="14"/>
        <v>57719.457177393328</v>
      </c>
      <c r="D44" s="5">
        <f t="shared" si="15"/>
        <v>54939.573003685364</v>
      </c>
      <c r="E44" s="5">
        <f t="shared" si="1"/>
        <v>45439.573003685364</v>
      </c>
      <c r="F44" s="5">
        <f t="shared" si="2"/>
        <v>16231.727886071807</v>
      </c>
      <c r="G44" s="5">
        <f t="shared" si="3"/>
        <v>38707.845117613557</v>
      </c>
      <c r="H44" s="22">
        <f t="shared" si="16"/>
        <v>26550.348508746221</v>
      </c>
      <c r="I44" s="5">
        <f t="shared" si="17"/>
        <v>63505.870624782525</v>
      </c>
      <c r="J44" s="26">
        <f t="shared" si="19"/>
        <v>0.19314590859498654</v>
      </c>
      <c r="L44" s="22">
        <f t="shared" si="18"/>
        <v>78707.998510854333</v>
      </c>
      <c r="M44" s="5">
        <f>scrimecost*Meta!O41</f>
        <v>3333.2819999999997</v>
      </c>
      <c r="N44" s="5">
        <f>L44-Grade11!L44</f>
        <v>560.6899080175499</v>
      </c>
      <c r="O44" s="5">
        <f>Grade11!M44-M44</f>
        <v>69.400000000000091</v>
      </c>
      <c r="P44" s="22">
        <f t="shared" si="12"/>
        <v>108.78063943035914</v>
      </c>
      <c r="Q44" s="22"/>
      <c r="R44" s="22"/>
      <c r="S44" s="22">
        <f t="shared" si="20"/>
        <v>554.40031025036274</v>
      </c>
      <c r="T44" s="22">
        <f t="shared" si="21"/>
        <v>1047.1068467835323</v>
      </c>
    </row>
    <row r="45" spans="1:20" x14ac:dyDescent="0.2">
      <c r="A45" s="5">
        <v>54</v>
      </c>
      <c r="B45" s="1">
        <f t="shared" si="13"/>
        <v>2.4325353157178964</v>
      </c>
      <c r="C45" s="5">
        <f t="shared" si="14"/>
        <v>59162.443606828165</v>
      </c>
      <c r="D45" s="5">
        <f t="shared" si="15"/>
        <v>56287.322328777504</v>
      </c>
      <c r="E45" s="5">
        <f t="shared" si="1"/>
        <v>46787.322328777504</v>
      </c>
      <c r="F45" s="5">
        <f t="shared" si="2"/>
        <v>16806.542973223608</v>
      </c>
      <c r="G45" s="5">
        <f t="shared" si="3"/>
        <v>39480.779355553896</v>
      </c>
      <c r="H45" s="22">
        <f t="shared" si="16"/>
        <v>27214.107221464881</v>
      </c>
      <c r="I45" s="5">
        <f t="shared" si="17"/>
        <v>64898.755500402098</v>
      </c>
      <c r="J45" s="26">
        <f t="shared" si="19"/>
        <v>0.19556004189268181</v>
      </c>
      <c r="L45" s="22">
        <f t="shared" si="18"/>
        <v>80675.698473625685</v>
      </c>
      <c r="M45" s="5">
        <f>scrimecost*Meta!O42</f>
        <v>3333.2819999999997</v>
      </c>
      <c r="N45" s="5">
        <f>L45-Grade11!L45</f>
        <v>574.70715571798792</v>
      </c>
      <c r="O45" s="5">
        <f>Grade11!M45-M45</f>
        <v>69.400000000000091</v>
      </c>
      <c r="P45" s="22">
        <f t="shared" si="12"/>
        <v>111.65471486611811</v>
      </c>
      <c r="Q45" s="22"/>
      <c r="R45" s="22"/>
      <c r="S45" s="22">
        <f t="shared" si="20"/>
        <v>566.78576697347125</v>
      </c>
      <c r="T45" s="22">
        <f t="shared" si="21"/>
        <v>1089.5766583079853</v>
      </c>
    </row>
    <row r="46" spans="1:20" x14ac:dyDescent="0.2">
      <c r="A46" s="5">
        <v>55</v>
      </c>
      <c r="B46" s="1">
        <f t="shared" si="13"/>
        <v>2.4933486986108435</v>
      </c>
      <c r="C46" s="5">
        <f t="shared" si="14"/>
        <v>60641.504696998862</v>
      </c>
      <c r="D46" s="5">
        <f t="shared" si="15"/>
        <v>57668.765386996929</v>
      </c>
      <c r="E46" s="5">
        <f t="shared" si="1"/>
        <v>48168.765386996929</v>
      </c>
      <c r="F46" s="5">
        <f t="shared" si="2"/>
        <v>17395.728437554189</v>
      </c>
      <c r="G46" s="5">
        <f t="shared" si="3"/>
        <v>40273.036949442743</v>
      </c>
      <c r="H46" s="22">
        <f t="shared" si="16"/>
        <v>27894.459902001498</v>
      </c>
      <c r="I46" s="5">
        <f t="shared" si="17"/>
        <v>66326.462497912144</v>
      </c>
      <c r="J46" s="26">
        <f t="shared" si="19"/>
        <v>0.19791529389043316</v>
      </c>
      <c r="L46" s="22">
        <f t="shared" si="18"/>
        <v>82692.590935466331</v>
      </c>
      <c r="M46" s="5">
        <f>scrimecost*Meta!O43</f>
        <v>1993.2449999999999</v>
      </c>
      <c r="N46" s="5">
        <f>L46-Grade11!L46</f>
        <v>589.07483461096126</v>
      </c>
      <c r="O46" s="5">
        <f>Grade11!M46-M46</f>
        <v>41.5</v>
      </c>
      <c r="P46" s="22">
        <f t="shared" si="12"/>
        <v>114.60064218777104</v>
      </c>
      <c r="Q46" s="22"/>
      <c r="R46" s="22"/>
      <c r="S46" s="22">
        <f t="shared" si="20"/>
        <v>553.4501601146743</v>
      </c>
      <c r="T46" s="22">
        <f t="shared" si="21"/>
        <v>1082.9008458756173</v>
      </c>
    </row>
    <row r="47" spans="1:20" x14ac:dyDescent="0.2">
      <c r="A47" s="5">
        <v>56</v>
      </c>
      <c r="B47" s="1">
        <f t="shared" si="13"/>
        <v>2.555682416076114</v>
      </c>
      <c r="C47" s="5">
        <f t="shared" si="14"/>
        <v>62157.542314423823</v>
      </c>
      <c r="D47" s="5">
        <f t="shared" si="15"/>
        <v>59084.744521671848</v>
      </c>
      <c r="E47" s="5">
        <f t="shared" si="1"/>
        <v>49584.744521671848</v>
      </c>
      <c r="F47" s="5">
        <f t="shared" si="2"/>
        <v>17999.643538493045</v>
      </c>
      <c r="G47" s="5">
        <f t="shared" si="3"/>
        <v>41085.100983178803</v>
      </c>
      <c r="H47" s="22">
        <f t="shared" si="16"/>
        <v>28591.821399551529</v>
      </c>
      <c r="I47" s="5">
        <f t="shared" si="17"/>
        <v>67789.862170359935</v>
      </c>
      <c r="J47" s="26">
        <f t="shared" si="19"/>
        <v>0.20021310071750781</v>
      </c>
      <c r="L47" s="22">
        <f t="shared" si="18"/>
        <v>84759.905708852981</v>
      </c>
      <c r="M47" s="5">
        <f>scrimecost*Meta!O44</f>
        <v>1993.2449999999999</v>
      </c>
      <c r="N47" s="5">
        <f>L47-Grade11!L47</f>
        <v>603.80170547621674</v>
      </c>
      <c r="O47" s="5">
        <f>Grade11!M47-M47</f>
        <v>41.5</v>
      </c>
      <c r="P47" s="22">
        <f t="shared" si="12"/>
        <v>117.62021769246533</v>
      </c>
      <c r="Q47" s="22"/>
      <c r="R47" s="22"/>
      <c r="S47" s="22">
        <f t="shared" si="20"/>
        <v>566.4626305843783</v>
      </c>
      <c r="T47" s="22">
        <f t="shared" si="21"/>
        <v>1128.1134074227355</v>
      </c>
    </row>
    <row r="48" spans="1:20" x14ac:dyDescent="0.2">
      <c r="A48" s="5">
        <v>57</v>
      </c>
      <c r="B48" s="1">
        <f t="shared" si="13"/>
        <v>2.6195744764780171</v>
      </c>
      <c r="C48" s="5">
        <f t="shared" si="14"/>
        <v>63711.480872284425</v>
      </c>
      <c r="D48" s="5">
        <f t="shared" si="15"/>
        <v>60536.123134713649</v>
      </c>
      <c r="E48" s="5">
        <f t="shared" si="1"/>
        <v>51036.123134713649</v>
      </c>
      <c r="F48" s="5">
        <f t="shared" si="2"/>
        <v>18618.656516955372</v>
      </c>
      <c r="G48" s="5">
        <f t="shared" si="3"/>
        <v>41917.466617758277</v>
      </c>
      <c r="H48" s="22">
        <f t="shared" si="16"/>
        <v>29306.616934540318</v>
      </c>
      <c r="I48" s="5">
        <f t="shared" si="17"/>
        <v>69289.846834618933</v>
      </c>
      <c r="J48" s="26">
        <f t="shared" si="19"/>
        <v>0.20245486347562935</v>
      </c>
      <c r="L48" s="22">
        <f t="shared" si="18"/>
        <v>86878.903351574307</v>
      </c>
      <c r="M48" s="5">
        <f>scrimecost*Meta!O45</f>
        <v>1993.2449999999999</v>
      </c>
      <c r="N48" s="5">
        <f>L48-Grade11!L48</f>
        <v>618.89674811314035</v>
      </c>
      <c r="O48" s="5">
        <f>Grade11!M48-M48</f>
        <v>41.5</v>
      </c>
      <c r="P48" s="22">
        <f t="shared" si="12"/>
        <v>120.71528258477697</v>
      </c>
      <c r="Q48" s="22"/>
      <c r="R48" s="22"/>
      <c r="S48" s="22">
        <f t="shared" si="20"/>
        <v>579.80041281585045</v>
      </c>
      <c r="T48" s="22">
        <f t="shared" si="21"/>
        <v>1175.2529137221561</v>
      </c>
    </row>
    <row r="49" spans="1:20" x14ac:dyDescent="0.2">
      <c r="A49" s="5">
        <v>58</v>
      </c>
      <c r="B49" s="1">
        <f t="shared" si="13"/>
        <v>2.6850638383899672</v>
      </c>
      <c r="C49" s="5">
        <f t="shared" si="14"/>
        <v>65304.267894091528</v>
      </c>
      <c r="D49" s="5">
        <f t="shared" si="15"/>
        <v>62023.786213081483</v>
      </c>
      <c r="E49" s="5">
        <f t="shared" si="1"/>
        <v>52523.786213081483</v>
      </c>
      <c r="F49" s="5">
        <f t="shared" si="2"/>
        <v>19253.144819879253</v>
      </c>
      <c r="G49" s="5">
        <f t="shared" si="3"/>
        <v>42770.641393202226</v>
      </c>
      <c r="H49" s="22">
        <f t="shared" si="16"/>
        <v>30039.282357903823</v>
      </c>
      <c r="I49" s="5">
        <f t="shared" si="17"/>
        <v>70827.331115484398</v>
      </c>
      <c r="J49" s="26">
        <f t="shared" si="19"/>
        <v>0.20464194909330888</v>
      </c>
      <c r="L49" s="22">
        <f t="shared" si="18"/>
        <v>89050.875935363656</v>
      </c>
      <c r="M49" s="5">
        <f>scrimecost*Meta!O46</f>
        <v>1993.2449999999999</v>
      </c>
      <c r="N49" s="5">
        <f>L49-Grade11!L49</f>
        <v>634.36916681595903</v>
      </c>
      <c r="O49" s="5">
        <f>Grade11!M49-M49</f>
        <v>41.5</v>
      </c>
      <c r="P49" s="22">
        <f t="shared" si="12"/>
        <v>123.88772409939638</v>
      </c>
      <c r="Q49" s="22"/>
      <c r="R49" s="22"/>
      <c r="S49" s="22">
        <f t="shared" si="20"/>
        <v>593.47163960308978</v>
      </c>
      <c r="T49" s="22">
        <f t="shared" si="21"/>
        <v>1224.4022155623327</v>
      </c>
    </row>
    <row r="50" spans="1:20" x14ac:dyDescent="0.2">
      <c r="A50" s="5">
        <v>59</v>
      </c>
      <c r="B50" s="1">
        <f t="shared" si="13"/>
        <v>2.7521904343497163</v>
      </c>
      <c r="C50" s="5">
        <f t="shared" si="14"/>
        <v>66936.874591443819</v>
      </c>
      <c r="D50" s="5">
        <f t="shared" si="15"/>
        <v>63548.640868408518</v>
      </c>
      <c r="E50" s="5">
        <f t="shared" si="1"/>
        <v>54048.640868408518</v>
      </c>
      <c r="F50" s="5">
        <f t="shared" si="2"/>
        <v>19903.49533037623</v>
      </c>
      <c r="G50" s="5">
        <f t="shared" si="3"/>
        <v>43645.145538032288</v>
      </c>
      <c r="H50" s="22">
        <f t="shared" si="16"/>
        <v>30790.264416851416</v>
      </c>
      <c r="I50" s="5">
        <f t="shared" si="17"/>
        <v>72403.252503371506</v>
      </c>
      <c r="J50" s="26">
        <f t="shared" si="19"/>
        <v>0.20677569115933772</v>
      </c>
      <c r="L50" s="22">
        <f t="shared" si="18"/>
        <v>91277.147833747746</v>
      </c>
      <c r="M50" s="5">
        <f>scrimecost*Meta!O47</f>
        <v>1993.2449999999999</v>
      </c>
      <c r="N50" s="5">
        <f>L50-Grade11!L50</f>
        <v>650.22839598635619</v>
      </c>
      <c r="O50" s="5">
        <f>Grade11!M50-M50</f>
        <v>41.5</v>
      </c>
      <c r="P50" s="22">
        <f t="shared" si="12"/>
        <v>127.1394766518813</v>
      </c>
      <c r="Q50" s="22"/>
      <c r="R50" s="22"/>
      <c r="S50" s="22">
        <f t="shared" si="20"/>
        <v>607.48464706001596</v>
      </c>
      <c r="T50" s="22">
        <f t="shared" si="21"/>
        <v>1275.6477390954401</v>
      </c>
    </row>
    <row r="51" spans="1:20" x14ac:dyDescent="0.2">
      <c r="A51" s="5">
        <v>60</v>
      </c>
      <c r="B51" s="1">
        <f t="shared" si="13"/>
        <v>2.8209951952084591</v>
      </c>
      <c r="C51" s="5">
        <f t="shared" si="14"/>
        <v>68610.296456229902</v>
      </c>
      <c r="D51" s="5">
        <f t="shared" si="15"/>
        <v>65111.616890118727</v>
      </c>
      <c r="E51" s="5">
        <f t="shared" si="1"/>
        <v>55611.616890118727</v>
      </c>
      <c r="F51" s="5">
        <f t="shared" si="2"/>
        <v>20570.104603635638</v>
      </c>
      <c r="G51" s="5">
        <f t="shared" si="3"/>
        <v>44541.512286483092</v>
      </c>
      <c r="H51" s="22">
        <f t="shared" si="16"/>
        <v>31560.021027272702</v>
      </c>
      <c r="I51" s="5">
        <f t="shared" si="17"/>
        <v>74018.571925955795</v>
      </c>
      <c r="J51" s="26">
        <f t="shared" si="19"/>
        <v>0.20885739073595125</v>
      </c>
      <c r="L51" s="22">
        <f t="shared" si="18"/>
        <v>93559.076529591432</v>
      </c>
      <c r="M51" s="5">
        <f>scrimecost*Meta!O48</f>
        <v>1095.0840000000001</v>
      </c>
      <c r="N51" s="5">
        <f>L51-Grade11!L51</f>
        <v>666.48410588600382</v>
      </c>
      <c r="O51" s="5">
        <f>Grade11!M51-M51</f>
        <v>22.799999999999955</v>
      </c>
      <c r="P51" s="22">
        <f t="shared" si="12"/>
        <v>130.47252301817832</v>
      </c>
      <c r="Q51" s="22"/>
      <c r="R51" s="22"/>
      <c r="S51" s="22">
        <f t="shared" si="20"/>
        <v>604.40087970335833</v>
      </c>
      <c r="T51" s="22">
        <f t="shared" si="21"/>
        <v>1291.7898426160843</v>
      </c>
    </row>
    <row r="52" spans="1:20" x14ac:dyDescent="0.2">
      <c r="A52" s="5">
        <v>61</v>
      </c>
      <c r="B52" s="1">
        <f t="shared" si="13"/>
        <v>2.8915200750886707</v>
      </c>
      <c r="C52" s="5">
        <f t="shared" si="14"/>
        <v>70325.553867635652</v>
      </c>
      <c r="D52" s="5">
        <f t="shared" si="15"/>
        <v>66713.667312371705</v>
      </c>
      <c r="E52" s="5">
        <f t="shared" si="1"/>
        <v>57213.667312371705</v>
      </c>
      <c r="F52" s="5">
        <f t="shared" si="2"/>
        <v>21253.379108726534</v>
      </c>
      <c r="G52" s="5">
        <f t="shared" si="3"/>
        <v>45460.28820364517</v>
      </c>
      <c r="H52" s="22">
        <f t="shared" si="16"/>
        <v>32349.02155295452</v>
      </c>
      <c r="I52" s="5">
        <f t="shared" si="17"/>
        <v>75674.274334104688</v>
      </c>
      <c r="J52" s="26">
        <f t="shared" si="19"/>
        <v>0.21088831715215953</v>
      </c>
      <c r="L52" s="22">
        <f t="shared" si="18"/>
        <v>95898.053442831209</v>
      </c>
      <c r="M52" s="5">
        <f>scrimecost*Meta!O49</f>
        <v>1095.0840000000001</v>
      </c>
      <c r="N52" s="5">
        <f>L52-Grade11!L52</f>
        <v>683.14620853317319</v>
      </c>
      <c r="O52" s="5">
        <f>Grade11!M52-M52</f>
        <v>22.799999999999955</v>
      </c>
      <c r="P52" s="22">
        <f t="shared" si="12"/>
        <v>133.88889554363277</v>
      </c>
      <c r="Q52" s="22"/>
      <c r="R52" s="22"/>
      <c r="S52" s="22">
        <f t="shared" si="20"/>
        <v>619.12329566280573</v>
      </c>
      <c r="T52" s="22">
        <f t="shared" si="21"/>
        <v>1346.8376348584607</v>
      </c>
    </row>
    <row r="53" spans="1:20" x14ac:dyDescent="0.2">
      <c r="A53" s="5">
        <v>62</v>
      </c>
      <c r="B53" s="1">
        <f t="shared" si="13"/>
        <v>2.9638080769658868</v>
      </c>
      <c r="C53" s="5">
        <f t="shared" si="14"/>
        <v>72083.69271432652</v>
      </c>
      <c r="D53" s="5">
        <f t="shared" si="15"/>
        <v>68355.768995180973</v>
      </c>
      <c r="E53" s="5">
        <f t="shared" si="1"/>
        <v>58855.768995180973</v>
      </c>
      <c r="F53" s="5">
        <f t="shared" si="2"/>
        <v>21953.735476444686</v>
      </c>
      <c r="G53" s="5">
        <f t="shared" si="3"/>
        <v>46402.033518736287</v>
      </c>
      <c r="H53" s="22">
        <f t="shared" si="16"/>
        <v>33157.747091778379</v>
      </c>
      <c r="I53" s="5">
        <f t="shared" si="17"/>
        <v>77371.369302457286</v>
      </c>
      <c r="J53" s="26">
        <f t="shared" si="19"/>
        <v>0.21286970877772854</v>
      </c>
      <c r="L53" s="22">
        <f t="shared" si="18"/>
        <v>98295.504778901988</v>
      </c>
      <c r="M53" s="5">
        <f>scrimecost*Meta!O50</f>
        <v>1095.0840000000001</v>
      </c>
      <c r="N53" s="5">
        <f>L53-Grade11!L53</f>
        <v>700.22486374649452</v>
      </c>
      <c r="O53" s="5">
        <f>Grade11!M53-M53</f>
        <v>22.799999999999955</v>
      </c>
      <c r="P53" s="22">
        <f t="shared" si="12"/>
        <v>137.39067738222357</v>
      </c>
      <c r="Q53" s="22"/>
      <c r="R53" s="22"/>
      <c r="S53" s="22">
        <f t="shared" si="20"/>
        <v>634.21377202122028</v>
      </c>
      <c r="T53" s="22">
        <f t="shared" si="21"/>
        <v>1404.2521158848674</v>
      </c>
    </row>
    <row r="54" spans="1:20" x14ac:dyDescent="0.2">
      <c r="A54" s="5">
        <v>63</v>
      </c>
      <c r="B54" s="1">
        <f t="shared" si="13"/>
        <v>3.0379032788900342</v>
      </c>
      <c r="C54" s="5">
        <f t="shared" si="14"/>
        <v>73885.785032184693</v>
      </c>
      <c r="D54" s="5">
        <f t="shared" si="15"/>
        <v>70038.923220060504</v>
      </c>
      <c r="E54" s="5">
        <f t="shared" si="1"/>
        <v>60538.923220060504</v>
      </c>
      <c r="F54" s="5">
        <f t="shared" si="2"/>
        <v>22671.600753355804</v>
      </c>
      <c r="G54" s="5">
        <f t="shared" si="3"/>
        <v>47367.322466704703</v>
      </c>
      <c r="H54" s="22">
        <f t="shared" si="16"/>
        <v>33986.69076907284</v>
      </c>
      <c r="I54" s="5">
        <f t="shared" si="17"/>
        <v>79110.891645018739</v>
      </c>
      <c r="J54" s="26">
        <f t="shared" si="19"/>
        <v>0.21480277377828372</v>
      </c>
      <c r="L54" s="22">
        <f t="shared" si="18"/>
        <v>100752.89239837453</v>
      </c>
      <c r="M54" s="5">
        <f>scrimecost*Meta!O51</f>
        <v>1095.0840000000001</v>
      </c>
      <c r="N54" s="5">
        <f>L54-Grade11!L54</f>
        <v>717.73048534017289</v>
      </c>
      <c r="O54" s="5">
        <f>Grade11!M54-M54</f>
        <v>22.799999999999955</v>
      </c>
      <c r="P54" s="22">
        <f t="shared" si="12"/>
        <v>140.98000376677916</v>
      </c>
      <c r="Q54" s="22"/>
      <c r="R54" s="22"/>
      <c r="S54" s="22">
        <f t="shared" si="20"/>
        <v>649.68151028861189</v>
      </c>
      <c r="T54" s="22">
        <f t="shared" si="21"/>
        <v>1464.1354158188842</v>
      </c>
    </row>
    <row r="55" spans="1:20" x14ac:dyDescent="0.2">
      <c r="A55" s="5">
        <v>64</v>
      </c>
      <c r="B55" s="1">
        <f t="shared" si="13"/>
        <v>3.1138508608622844</v>
      </c>
      <c r="C55" s="5">
        <f t="shared" si="14"/>
        <v>75732.929657989298</v>
      </c>
      <c r="D55" s="5">
        <f t="shared" si="15"/>
        <v>71764.156300562012</v>
      </c>
      <c r="E55" s="5">
        <f t="shared" si="1"/>
        <v>62264.156300562012</v>
      </c>
      <c r="F55" s="5">
        <f t="shared" si="2"/>
        <v>23407.412662189701</v>
      </c>
      <c r="G55" s="5">
        <f t="shared" si="3"/>
        <v>48356.743638372311</v>
      </c>
      <c r="H55" s="22">
        <f t="shared" si="16"/>
        <v>34836.358038299652</v>
      </c>
      <c r="I55" s="5">
        <f t="shared" si="17"/>
        <v>80893.902046144183</v>
      </c>
      <c r="J55" s="26">
        <f t="shared" si="19"/>
        <v>0.21668869085199613</v>
      </c>
      <c r="L55" s="22">
        <f t="shared" si="18"/>
        <v>103271.71470833388</v>
      </c>
      <c r="M55" s="5">
        <f>scrimecost*Meta!O52</f>
        <v>1095.0840000000001</v>
      </c>
      <c r="N55" s="5">
        <f>L55-Grade11!L55</f>
        <v>735.67374747364374</v>
      </c>
      <c r="O55" s="5">
        <f>Grade11!M55-M55</f>
        <v>22.799999999999955</v>
      </c>
      <c r="P55" s="22">
        <f t="shared" si="12"/>
        <v>144.65906331094865</v>
      </c>
      <c r="Q55" s="22"/>
      <c r="R55" s="22"/>
      <c r="S55" s="22">
        <f t="shared" si="20"/>
        <v>665.53594201265412</v>
      </c>
      <c r="T55" s="22">
        <f t="shared" si="21"/>
        <v>1526.5940788060595</v>
      </c>
    </row>
    <row r="56" spans="1:20" x14ac:dyDescent="0.2">
      <c r="A56" s="5">
        <v>65</v>
      </c>
      <c r="B56" s="1">
        <f t="shared" si="13"/>
        <v>3.1916971323838421</v>
      </c>
      <c r="C56" s="5">
        <f t="shared" si="14"/>
        <v>77626.252899439045</v>
      </c>
      <c r="D56" s="5">
        <f t="shared" si="15"/>
        <v>73532.520208076065</v>
      </c>
      <c r="E56" s="5">
        <f t="shared" si="1"/>
        <v>64032.520208076065</v>
      </c>
      <c r="F56" s="5">
        <f t="shared" si="2"/>
        <v>24161.619868744441</v>
      </c>
      <c r="G56" s="5">
        <f t="shared" si="3"/>
        <v>49370.900339331623</v>
      </c>
      <c r="H56" s="22">
        <f t="shared" si="16"/>
        <v>35707.26698925715</v>
      </c>
      <c r="I56" s="5">
        <f t="shared" si="17"/>
        <v>82721.487707297798</v>
      </c>
      <c r="J56" s="26">
        <f t="shared" si="19"/>
        <v>0.21852860994830081</v>
      </c>
      <c r="L56" s="22">
        <f t="shared" si="18"/>
        <v>105853.50757604225</v>
      </c>
      <c r="M56" s="5">
        <f>scrimecost*Meta!O53</f>
        <v>345.81599999999997</v>
      </c>
      <c r="N56" s="5">
        <f>L56-Grade11!L56</f>
        <v>754.06559116051358</v>
      </c>
      <c r="O56" s="5">
        <f>Grade11!M56-M56</f>
        <v>7.1999999999999886</v>
      </c>
      <c r="P56" s="22">
        <f t="shared" si="12"/>
        <v>148.43009934372233</v>
      </c>
      <c r="Q56" s="22"/>
      <c r="R56" s="22"/>
      <c r="S56" s="22">
        <f t="shared" si="20"/>
        <v>667.23193452984015</v>
      </c>
      <c r="T56" s="22">
        <f t="shared" si="21"/>
        <v>1557.7587651135525</v>
      </c>
    </row>
    <row r="57" spans="1:20" x14ac:dyDescent="0.2">
      <c r="A57" s="5">
        <v>66</v>
      </c>
      <c r="C57" s="5"/>
      <c r="H57" s="21"/>
      <c r="I57" s="5"/>
      <c r="M57" s="5">
        <f>scrimecost*Meta!O54</f>
        <v>345.81599999999997</v>
      </c>
      <c r="N57" s="5">
        <f>L57-Grade11!L57</f>
        <v>0</v>
      </c>
      <c r="O57" s="5">
        <f>Grade11!M57-M57</f>
        <v>7.1999999999999886</v>
      </c>
      <c r="Q57" s="22"/>
      <c r="R57" s="22"/>
      <c r="S57" s="22">
        <f t="shared" si="20"/>
        <v>6.7175999999999894</v>
      </c>
      <c r="T57" s="22">
        <f t="shared" si="21"/>
        <v>15.962791467190371</v>
      </c>
    </row>
    <row r="58" spans="1:20" x14ac:dyDescent="0.2">
      <c r="A58" s="5">
        <v>67</v>
      </c>
      <c r="C58" s="5"/>
      <c r="H58" s="21"/>
      <c r="I58" s="5"/>
      <c r="M58" s="5">
        <f>scrimecost*Meta!O55</f>
        <v>345.81599999999997</v>
      </c>
      <c r="N58" s="5">
        <f>L58-Grade11!L58</f>
        <v>0</v>
      </c>
      <c r="O58" s="5">
        <f>Grade11!M58-M58</f>
        <v>7.1999999999999886</v>
      </c>
      <c r="Q58" s="22"/>
      <c r="R58" s="22"/>
      <c r="S58" s="22">
        <f t="shared" si="20"/>
        <v>6.7175999999999894</v>
      </c>
      <c r="T58" s="22">
        <f t="shared" si="21"/>
        <v>16.247261129662423</v>
      </c>
    </row>
    <row r="59" spans="1:20" x14ac:dyDescent="0.2">
      <c r="A59" s="5">
        <v>68</v>
      </c>
      <c r="H59" s="21"/>
      <c r="I59" s="5"/>
      <c r="M59" s="5">
        <f>scrimecost*Meta!O56</f>
        <v>345.81599999999997</v>
      </c>
      <c r="N59" s="5">
        <f>L59-Grade11!L59</f>
        <v>0</v>
      </c>
      <c r="O59" s="5">
        <f>Grade11!M59-M59</f>
        <v>7.1999999999999886</v>
      </c>
      <c r="Q59" s="22"/>
      <c r="R59" s="22"/>
      <c r="S59" s="22">
        <f t="shared" si="20"/>
        <v>6.7175999999999894</v>
      </c>
      <c r="T59" s="22">
        <f t="shared" si="21"/>
        <v>16.536800268174012</v>
      </c>
    </row>
    <row r="60" spans="1:20" x14ac:dyDescent="0.2">
      <c r="A60" s="5">
        <v>69</v>
      </c>
      <c r="H60" s="21"/>
      <c r="I60" s="5"/>
      <c r="M60" s="5">
        <f>scrimecost*Meta!O57</f>
        <v>345.81599999999997</v>
      </c>
      <c r="N60" s="5">
        <f>L60-Grade11!L60</f>
        <v>0</v>
      </c>
      <c r="O60" s="5">
        <f>Grade11!M60-M60</f>
        <v>7.1999999999999886</v>
      </c>
      <c r="Q60" s="22"/>
      <c r="R60" s="22"/>
      <c r="S60" s="22">
        <f t="shared" si="20"/>
        <v>6.7175999999999894</v>
      </c>
      <c r="T60" s="22">
        <f t="shared" si="21"/>
        <v>16.831499224827315</v>
      </c>
    </row>
    <row r="61" spans="1:20" x14ac:dyDescent="0.2">
      <c r="A61" s="5">
        <v>70</v>
      </c>
      <c r="H61" s="21"/>
      <c r="I61" s="5"/>
      <c r="M61" s="5">
        <f>scrimecost*Meta!O58</f>
        <v>345.81599999999997</v>
      </c>
      <c r="N61" s="5">
        <f>L61-Grade11!L61</f>
        <v>0</v>
      </c>
      <c r="O61" s="5">
        <f>Grade11!M61-M61</f>
        <v>7.1999999999999886</v>
      </c>
      <c r="Q61" s="22"/>
      <c r="R61" s="22"/>
      <c r="S61" s="22">
        <f t="shared" si="20"/>
        <v>6.7175999999999894</v>
      </c>
      <c r="T61" s="22">
        <f t="shared" si="21"/>
        <v>17.131449951692758</v>
      </c>
    </row>
    <row r="62" spans="1:20" x14ac:dyDescent="0.2">
      <c r="A62" s="5">
        <v>71</v>
      </c>
      <c r="H62" s="21"/>
      <c r="I62" s="5"/>
      <c r="M62" s="5">
        <f>scrimecost*Meta!O59</f>
        <v>345.81599999999997</v>
      </c>
      <c r="N62" s="5">
        <f>L62-Grade11!L62</f>
        <v>0</v>
      </c>
      <c r="O62" s="5">
        <f>Grade11!M62-M62</f>
        <v>7.1999999999999886</v>
      </c>
      <c r="Q62" s="22"/>
      <c r="R62" s="22"/>
      <c r="S62" s="22">
        <f t="shared" si="20"/>
        <v>6.7175999999999894</v>
      </c>
      <c r="T62" s="22">
        <f t="shared" si="21"/>
        <v>17.436746039499933</v>
      </c>
    </row>
    <row r="63" spans="1:20" x14ac:dyDescent="0.2">
      <c r="A63" s="5">
        <v>72</v>
      </c>
      <c r="H63" s="21"/>
      <c r="M63" s="5">
        <f>scrimecost*Meta!O60</f>
        <v>345.81599999999997</v>
      </c>
      <c r="N63" s="5">
        <f>L63-Grade11!L63</f>
        <v>0</v>
      </c>
      <c r="O63" s="5">
        <f>Grade11!M63-M63</f>
        <v>7.1999999999999886</v>
      </c>
      <c r="Q63" s="22"/>
      <c r="R63" s="22"/>
      <c r="S63" s="22">
        <f t="shared" si="20"/>
        <v>6.7175999999999894</v>
      </c>
      <c r="T63" s="22">
        <f t="shared" si="21"/>
        <v>17.747482746839786</v>
      </c>
    </row>
    <row r="64" spans="1:20" x14ac:dyDescent="0.2">
      <c r="A64" s="5">
        <v>73</v>
      </c>
      <c r="H64" s="21"/>
      <c r="M64" s="5">
        <f>scrimecost*Meta!O61</f>
        <v>345.81599999999997</v>
      </c>
      <c r="N64" s="5">
        <f>L64-Grade11!L64</f>
        <v>0</v>
      </c>
      <c r="O64" s="5">
        <f>Grade11!M64-M64</f>
        <v>7.1999999999999886</v>
      </c>
      <c r="Q64" s="22"/>
      <c r="R64" s="22"/>
      <c r="S64" s="22">
        <f t="shared" si="20"/>
        <v>6.7175999999999894</v>
      </c>
      <c r="T64" s="22">
        <f t="shared" si="21"/>
        <v>18.06375702988727</v>
      </c>
    </row>
    <row r="65" spans="1:20" x14ac:dyDescent="0.2">
      <c r="A65" s="5">
        <v>74</v>
      </c>
      <c r="H65" s="21"/>
      <c r="M65" s="5">
        <f>scrimecost*Meta!O62</f>
        <v>345.81599999999997</v>
      </c>
      <c r="N65" s="5">
        <f>L65-Grade11!L65</f>
        <v>0</v>
      </c>
      <c r="O65" s="5">
        <f>Grade11!M65-M65</f>
        <v>7.1999999999999886</v>
      </c>
      <c r="Q65" s="22"/>
      <c r="R65" s="22"/>
      <c r="S65" s="22">
        <f t="shared" si="20"/>
        <v>6.7175999999999894</v>
      </c>
      <c r="T65" s="22">
        <f t="shared" si="21"/>
        <v>18.385667572653617</v>
      </c>
    </row>
    <row r="66" spans="1:20" x14ac:dyDescent="0.2">
      <c r="A66" s="5">
        <v>75</v>
      </c>
      <c r="H66" s="21"/>
      <c r="M66" s="5">
        <f>scrimecost*Meta!O63</f>
        <v>345.81599999999997</v>
      </c>
      <c r="N66" s="5">
        <f>L66-Grade11!L66</f>
        <v>0</v>
      </c>
      <c r="O66" s="5">
        <f>Grade11!M66-M66</f>
        <v>7.1999999999999886</v>
      </c>
      <c r="Q66" s="22"/>
      <c r="R66" s="22"/>
      <c r="S66" s="22">
        <f t="shared" si="20"/>
        <v>6.7175999999999894</v>
      </c>
      <c r="T66" s="22">
        <f t="shared" si="21"/>
        <v>18.713314817777764</v>
      </c>
    </row>
    <row r="67" spans="1:20" x14ac:dyDescent="0.2">
      <c r="A67" s="5">
        <v>76</v>
      </c>
      <c r="H67" s="21"/>
      <c r="M67" s="5">
        <f>scrimecost*Meta!O64</f>
        <v>345.81599999999997</v>
      </c>
      <c r="N67" s="5">
        <f>L67-Grade11!L67</f>
        <v>0</v>
      </c>
      <c r="O67" s="5">
        <f>Grade11!M67-M67</f>
        <v>7.1999999999999886</v>
      </c>
      <c r="Q67" s="22"/>
      <c r="R67" s="22"/>
      <c r="S67" s="22">
        <f t="shared" si="20"/>
        <v>6.7175999999999894</v>
      </c>
      <c r="T67" s="22">
        <f t="shared" si="21"/>
        <v>19.046800997866509</v>
      </c>
    </row>
    <row r="68" spans="1:20" x14ac:dyDescent="0.2">
      <c r="A68" s="5">
        <v>77</v>
      </c>
      <c r="H68" s="21"/>
      <c r="M68" s="5">
        <f>scrimecost*Meta!O65</f>
        <v>345.81599999999997</v>
      </c>
      <c r="N68" s="5">
        <f>L68-Grade11!L68</f>
        <v>0</v>
      </c>
      <c r="O68" s="5">
        <f>Grade11!M68-M68</f>
        <v>7.1999999999999886</v>
      </c>
      <c r="Q68" s="22"/>
      <c r="R68" s="22"/>
      <c r="S68" s="22">
        <f t="shared" si="20"/>
        <v>6.7175999999999894</v>
      </c>
      <c r="T68" s="22">
        <f t="shared" si="21"/>
        <v>19.386230167393155</v>
      </c>
    </row>
    <row r="69" spans="1:20" x14ac:dyDescent="0.2">
      <c r="A69" s="5">
        <v>78</v>
      </c>
      <c r="H69" s="21"/>
      <c r="M69" s="5">
        <f>scrimecost*Meta!O66</f>
        <v>345.81599999999997</v>
      </c>
      <c r="N69" s="5">
        <f>L69-Grade11!L69</f>
        <v>0</v>
      </c>
      <c r="O69" s="5">
        <f>Grade11!M69-M69</f>
        <v>7.1999999999999886</v>
      </c>
      <c r="Q69" s="22"/>
      <c r="R69" s="22"/>
      <c r="S69" s="22">
        <f t="shared" si="20"/>
        <v>6.7175999999999894</v>
      </c>
      <c r="T69" s="22">
        <f t="shared" si="21"/>
        <v>19.731708235164632</v>
      </c>
    </row>
    <row r="70" spans="1:20" x14ac:dyDescent="0.2">
      <c r="A70" s="5">
        <v>79</v>
      </c>
      <c r="H70" s="21"/>
      <c r="M70" s="5"/>
      <c r="Q70" s="22"/>
      <c r="R70" s="22"/>
      <c r="S70" s="22">
        <f>SUM(T5:T69)</f>
        <v>8.4162127933495867E-8</v>
      </c>
    </row>
    <row r="71" spans="1:20" x14ac:dyDescent="0.2">
      <c r="A71" s="5">
        <v>80</v>
      </c>
      <c r="H71" s="21"/>
      <c r="M71" s="5"/>
      <c r="Q71" s="22"/>
      <c r="R71" s="22"/>
    </row>
    <row r="72" spans="1:20" x14ac:dyDescent="0.2">
      <c r="A72" s="5">
        <v>81</v>
      </c>
      <c r="H72" s="21"/>
      <c r="M72" s="5"/>
      <c r="Q72" s="22"/>
      <c r="R72" s="22"/>
    </row>
    <row r="73" spans="1:20" x14ac:dyDescent="0.2">
      <c r="A73" s="5">
        <v>82</v>
      </c>
      <c r="H73" s="21"/>
      <c r="M73" s="5"/>
    </row>
    <row r="74" spans="1:20" x14ac:dyDescent="0.2">
      <c r="A74" s="5">
        <v>83</v>
      </c>
      <c r="H74" s="21"/>
      <c r="M74" s="5"/>
    </row>
    <row r="75" spans="1:20" x14ac:dyDescent="0.2">
      <c r="A75" s="5">
        <v>84</v>
      </c>
      <c r="H75" s="21"/>
      <c r="M75" s="5"/>
    </row>
    <row r="76" spans="1:20" x14ac:dyDescent="0.2">
      <c r="A76" s="5">
        <v>85</v>
      </c>
      <c r="H76" s="21"/>
    </row>
    <row r="77" spans="1:20" x14ac:dyDescent="0.2">
      <c r="A77" s="5">
        <v>86</v>
      </c>
      <c r="H77" s="21"/>
    </row>
    <row r="78" spans="1:20" x14ac:dyDescent="0.2">
      <c r="A78" s="5">
        <v>87</v>
      </c>
      <c r="H78" s="21"/>
    </row>
    <row r="79" spans="1:20" x14ac:dyDescent="0.2">
      <c r="A79" s="5">
        <v>88</v>
      </c>
      <c r="H79" s="21"/>
    </row>
    <row r="80" spans="1:20" x14ac:dyDescent="0.2">
      <c r="A80" s="5">
        <v>89</v>
      </c>
      <c r="H80" s="21"/>
    </row>
    <row r="81" spans="1:8" x14ac:dyDescent="0.2">
      <c r="A81" s="5">
        <v>90</v>
      </c>
      <c r="H81" s="21"/>
    </row>
  </sheetData>
  <pageMargins left="0.75" right="0.75" top="1" bottom="1" header="0.5" footer="0.5"/>
  <pageSetup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1"/>
  <sheetViews>
    <sheetView topLeftCell="B1" workbookViewId="0">
      <selection activeCell="N10" sqref="N10"/>
    </sheetView>
  </sheetViews>
  <sheetFormatPr defaultRowHeight="12.75" x14ac:dyDescent="0.2"/>
  <cols>
    <col min="1" max="1" width="13.7109375" style="5" customWidth="1"/>
    <col min="2" max="7" width="13.7109375" style="1" customWidth="1"/>
    <col min="8" max="8" width="9.5703125" style="1" customWidth="1"/>
    <col min="9" max="9" width="9.140625" style="1"/>
    <col min="10" max="11" width="9.28515625" style="1" customWidth="1"/>
    <col min="12" max="12" width="9.140625" style="1"/>
    <col min="13" max="13" width="9.5703125" style="1" customWidth="1"/>
    <col min="14" max="14" width="9.28515625" style="1" customWidth="1"/>
    <col min="15" max="17" width="9.140625" style="1"/>
    <col min="18" max="18" width="9.5703125" style="1" bestFit="1" customWidth="1"/>
    <col min="19" max="19" width="10.140625" style="1" bestFit="1" customWidth="1"/>
    <col min="20" max="16384" width="9.140625" style="1"/>
  </cols>
  <sheetData>
    <row r="1" spans="1:20" x14ac:dyDescent="0.2">
      <c r="B1" s="1" t="s">
        <v>11</v>
      </c>
      <c r="C1" s="27" t="s">
        <v>35</v>
      </c>
      <c r="D1" s="27" t="s">
        <v>36</v>
      </c>
      <c r="E1" s="6" t="s">
        <v>9</v>
      </c>
      <c r="F1" s="6" t="s">
        <v>49</v>
      </c>
      <c r="G1" s="1" t="s">
        <v>4</v>
      </c>
      <c r="H1" s="1" t="s">
        <v>8</v>
      </c>
      <c r="J1" s="1" t="s">
        <v>56</v>
      </c>
      <c r="K1" s="1" t="s">
        <v>20</v>
      </c>
      <c r="N1" s="1" t="s">
        <v>43</v>
      </c>
      <c r="O1" s="1" t="s">
        <v>44</v>
      </c>
      <c r="P1" s="1" t="s">
        <v>45</v>
      </c>
      <c r="Q1" s="1" t="s">
        <v>46</v>
      </c>
      <c r="R1" s="1" t="s">
        <v>53</v>
      </c>
      <c r="T1" s="12" t="s">
        <v>57</v>
      </c>
    </row>
    <row r="2" spans="1:20" x14ac:dyDescent="0.2">
      <c r="B2" s="5">
        <f>Meta!A7+6</f>
        <v>19</v>
      </c>
      <c r="C2" s="7">
        <f>Meta!B7</f>
        <v>47822</v>
      </c>
      <c r="D2" s="7">
        <f>Meta!C7</f>
        <v>21882</v>
      </c>
      <c r="E2" s="1">
        <f>Meta!D7</f>
        <v>6.4000000000000001E-2</v>
      </c>
      <c r="F2" s="1">
        <f>Meta!F7</f>
        <v>0.748</v>
      </c>
      <c r="G2" s="1">
        <f>Meta!I7</f>
        <v>1.8652741552202943</v>
      </c>
      <c r="H2" s="1">
        <f>Meta!E7</f>
        <v>0.57299999999999995</v>
      </c>
      <c r="I2" s="13"/>
      <c r="J2" s="1">
        <f>Meta!X6</f>
        <v>0.74199999999999999</v>
      </c>
      <c r="K2" s="1">
        <f>Meta!D6</f>
        <v>6.6000000000000003E-2</v>
      </c>
      <c r="L2" s="29"/>
      <c r="N2" s="22">
        <f>Meta!T7</f>
        <v>46958</v>
      </c>
      <c r="O2" s="22">
        <f>Meta!U7</f>
        <v>21538</v>
      </c>
      <c r="P2" s="1">
        <f>Meta!V7</f>
        <v>6.5000000000000002E-2</v>
      </c>
      <c r="Q2" s="1">
        <f>Meta!X7</f>
        <v>0.745</v>
      </c>
      <c r="R2" s="22">
        <f>Meta!W7</f>
        <v>4766</v>
      </c>
      <c r="T2" s="12">
        <f>IRR(S5:S69)+1</f>
        <v>0.97020464907745163</v>
      </c>
    </row>
    <row r="3" spans="1:20" ht="14.25" x14ac:dyDescent="0.2">
      <c r="C3" s="3"/>
      <c r="G3" s="4"/>
      <c r="L3" s="1" t="s">
        <v>10</v>
      </c>
    </row>
    <row r="4" spans="1:20" x14ac:dyDescent="0.2">
      <c r="A4" s="7" t="s">
        <v>0</v>
      </c>
      <c r="B4" s="2" t="s">
        <v>1</v>
      </c>
      <c r="C4" s="1" t="s">
        <v>37</v>
      </c>
      <c r="D4" s="1" t="s">
        <v>2</v>
      </c>
      <c r="E4" t="s">
        <v>12</v>
      </c>
      <c r="F4" t="s">
        <v>19</v>
      </c>
      <c r="G4" t="s">
        <v>18</v>
      </c>
      <c r="H4" t="s">
        <v>38</v>
      </c>
      <c r="I4" t="s">
        <v>6</v>
      </c>
      <c r="J4" s="1" t="s">
        <v>47</v>
      </c>
      <c r="L4" s="1" t="s">
        <v>48</v>
      </c>
      <c r="M4" s="1" t="s">
        <v>54</v>
      </c>
      <c r="N4" s="1" t="s">
        <v>59</v>
      </c>
      <c r="O4" s="1" t="s">
        <v>58</v>
      </c>
      <c r="P4" s="1" t="s">
        <v>55</v>
      </c>
      <c r="Q4" s="1" t="s">
        <v>17</v>
      </c>
      <c r="R4" s="1" t="s">
        <v>7</v>
      </c>
      <c r="S4" s="5" t="s">
        <v>14</v>
      </c>
      <c r="T4" s="5" t="s">
        <v>15</v>
      </c>
    </row>
    <row r="5" spans="1:20" x14ac:dyDescent="0.2">
      <c r="A5" s="5">
        <v>14</v>
      </c>
      <c r="C5" s="5"/>
      <c r="D5" s="5"/>
      <c r="E5" s="5"/>
      <c r="F5" s="5"/>
      <c r="G5" s="5"/>
      <c r="H5" s="22"/>
      <c r="I5" s="5"/>
      <c r="J5" s="26"/>
      <c r="L5" s="22"/>
      <c r="M5" s="5"/>
      <c r="N5" s="5"/>
      <c r="O5" s="5"/>
      <c r="P5" s="22"/>
      <c r="Q5" s="22"/>
      <c r="R5" s="22"/>
      <c r="S5" s="22"/>
      <c r="T5" s="22"/>
    </row>
    <row r="6" spans="1:20" x14ac:dyDescent="0.2">
      <c r="A6" s="5">
        <v>15</v>
      </c>
      <c r="C6" s="5"/>
      <c r="D6" s="5"/>
      <c r="E6" s="5"/>
      <c r="F6" s="5"/>
      <c r="G6" s="5"/>
      <c r="H6" s="22"/>
      <c r="I6" s="5"/>
      <c r="J6" s="26"/>
      <c r="L6" s="22"/>
      <c r="M6" s="5"/>
      <c r="N6" s="5"/>
      <c r="O6" s="5"/>
      <c r="P6" s="22"/>
      <c r="Q6" s="22"/>
      <c r="R6" s="22"/>
      <c r="S6" s="22"/>
      <c r="T6" s="22"/>
    </row>
    <row r="7" spans="1:20" x14ac:dyDescent="0.2">
      <c r="A7" s="5">
        <v>16</v>
      </c>
      <c r="C7" s="5"/>
      <c r="D7" s="5"/>
      <c r="E7" s="5"/>
      <c r="F7" s="5"/>
      <c r="G7" s="5"/>
      <c r="H7" s="22"/>
      <c r="I7" s="5"/>
      <c r="J7" s="26"/>
      <c r="L7" s="22"/>
      <c r="M7" s="5"/>
      <c r="N7" s="5"/>
      <c r="O7" s="5"/>
      <c r="P7" s="22"/>
      <c r="Q7" s="22"/>
      <c r="R7" s="22"/>
      <c r="S7" s="22"/>
      <c r="T7" s="22"/>
    </row>
    <row r="8" spans="1:20" x14ac:dyDescent="0.2">
      <c r="A8" s="5">
        <v>17</v>
      </c>
      <c r="C8" s="5"/>
      <c r="D8" s="5"/>
      <c r="E8" s="5"/>
      <c r="F8" s="5"/>
      <c r="G8" s="5"/>
      <c r="H8" s="22"/>
      <c r="I8" s="5"/>
      <c r="J8" s="26"/>
      <c r="L8" s="22"/>
      <c r="M8" s="5"/>
      <c r="N8" s="5"/>
      <c r="O8" s="5"/>
      <c r="P8" s="22"/>
      <c r="Q8" s="22"/>
      <c r="R8" s="22"/>
      <c r="S8" s="22"/>
      <c r="T8" s="22"/>
    </row>
    <row r="9" spans="1:20" x14ac:dyDescent="0.2">
      <c r="A9" s="5">
        <v>18</v>
      </c>
      <c r="B9" s="1">
        <v>1</v>
      </c>
      <c r="C9" s="5">
        <f>0.1*Grade12!C9</f>
        <v>2432.1309221925108</v>
      </c>
      <c r="D9" s="5">
        <f t="shared" ref="D9:D36" si="0">IF(A9&lt;startage,1,0)*(C9*(1-initialunempprob))+IF(A9=startage,1,0)*(C9*(1-unempprob))+IF(A9&gt;startage,1,0)*(C9*(1-unempprob)+unempprob*300*52)</f>
        <v>2271.6102813278048</v>
      </c>
      <c r="E9" s="5">
        <f t="shared" ref="E9:E56" si="1">IF(D9-9500&gt;0,1,0)*(D9-9500)</f>
        <v>0</v>
      </c>
      <c r="F9" s="5">
        <f t="shared" ref="F9:F56" si="2">IF(E9&lt;=8500,1,0)*(0.1*E9+0.1*E9+0.0765*D9)+IF(AND(E9&gt;8500,E9&lt;=34500),1,0)*(850+0.15*(E9-8500)+0.1*E9+0.0765*D9)+IF(AND(E9&gt;34500,E9&lt;=83600),1,0)*(4750+0.25*(E9-34500)+0.1*E9+0.0765*D9)+IF(AND(E9&gt;83600,E9&lt;=174400,D9&lt;=106800),1,0)*(17025+0.28*(E9-83600)+0.1*E9+0.0765*D9)+IF(AND(E9&gt;83600,E9&lt;=174400,D9&gt;106800),1,0)*(17025+0.28*(E9-83600)+0.1*E9+8170.2+0.0145*(D9-106800))+IF(AND(E9&gt;174400,E9&lt;=379150),1,0)*(42449+0.33*(E9-174400)+0.1*E9+8170.2+0.0145*(D9-106800))+IF(E9&gt;379150,1,0)*(110016.5+0.35*(E9-379150)+0.1*E9+8170.2+0.0145*(D9-106800))</f>
        <v>173.77818652157706</v>
      </c>
      <c r="G9" s="5">
        <f t="shared" ref="G9:G56" si="3">D9-F9</f>
        <v>2097.8320948062278</v>
      </c>
      <c r="H9" s="22">
        <f>0.1*Grade12!H9</f>
        <v>1118.7548663988616</v>
      </c>
      <c r="I9" s="5">
        <f t="shared" ref="I9:I36" si="4">G9+IF(A9&lt;startage,1,0)*(H9*(1-initialunempprob))+IF(A9&gt;=startage,1,0)*(H9*(1-unempprob))</f>
        <v>3142.7491400227645</v>
      </c>
      <c r="J9" s="26">
        <f t="shared" ref="J9:J56" si="5">(F9-(IF(A9&gt;startage,1,0)*(unempprob*300*52)))/(IF(A9&lt;startage,1,0)*((C9+H9)*(1-initialunempprob))+IF(A9&gt;=startage,1,0)*((C9+H9)*(1-unempprob)))</f>
        <v>5.2397634456594511E-2</v>
      </c>
      <c r="L9" s="22">
        <f>0.1*Grade12!L9</f>
        <v>3316.5273265443416</v>
      </c>
      <c r="M9" s="5">
        <f>scrimecost*Meta!O6</f>
        <v>15294.094000000001</v>
      </c>
      <c r="N9" s="5">
        <f>L9-Grade12!L9</f>
        <v>-29848.745938899072</v>
      </c>
      <c r="O9" s="5"/>
      <c r="P9" s="22"/>
      <c r="Q9" s="22">
        <f>0.05*feel*Grade12!G9</f>
        <v>253.39013342639873</v>
      </c>
      <c r="R9" s="22">
        <f>coltuition</f>
        <v>8279</v>
      </c>
      <c r="S9" s="22">
        <f t="shared" ref="S9:S40" si="6">IF(A9&lt;startage,1,0)*(N9-Q9-R9)+IF(A9&gt;=startage,1,0)*completionprob*(N9*spart+O9+P9)</f>
        <v>-38381.136072325469</v>
      </c>
      <c r="T9" s="22">
        <f t="shared" ref="T9:T40" si="7">S9/sreturn^(A9-startage+1)</f>
        <v>-38381.136072325469</v>
      </c>
    </row>
    <row r="10" spans="1:20" x14ac:dyDescent="0.2">
      <c r="A10" s="5">
        <v>19</v>
      </c>
      <c r="B10" s="1">
        <f t="shared" ref="B10:B36" si="8">(1+experiencepremium)^(A10-startage)</f>
        <v>1</v>
      </c>
      <c r="C10" s="5">
        <f t="shared" ref="C10:C36" si="9">pretaxincome*B10/expnorm</f>
        <v>25638.054259295779</v>
      </c>
      <c r="D10" s="5">
        <f t="shared" si="0"/>
        <v>23997.218786700847</v>
      </c>
      <c r="E10" s="5">
        <f t="shared" si="1"/>
        <v>14497.218786700847</v>
      </c>
      <c r="F10" s="5">
        <f t="shared" si="2"/>
        <v>5035.091933857826</v>
      </c>
      <c r="G10" s="5">
        <f t="shared" si="3"/>
        <v>18962.126852843023</v>
      </c>
      <c r="H10" s="22">
        <f t="shared" ref="H10:H36" si="10">benefits*B10/expnorm</f>
        <v>11731.251375975706</v>
      </c>
      <c r="I10" s="5">
        <f t="shared" si="4"/>
        <v>29942.578140756283</v>
      </c>
      <c r="J10" s="26">
        <f t="shared" si="5"/>
        <v>0.14395161035932369</v>
      </c>
      <c r="L10" s="22">
        <f t="shared" ref="L10:L36" si="11">(sincome+sbenefits)*(1-sunemp)*B10/expnorm</f>
        <v>34334.770479053921</v>
      </c>
      <c r="M10" s="5">
        <f>scrimecost*Meta!O7</f>
        <v>16228.23</v>
      </c>
      <c r="N10" s="5">
        <f>L10-Grade12!L10</f>
        <v>340.3653819744286</v>
      </c>
      <c r="O10" s="5">
        <f>Grade12!M10-M10</f>
        <v>125.98499999999876</v>
      </c>
      <c r="P10" s="22">
        <f t="shared" ref="P10:P56" si="12">(spart-initialspart)*(L10*J10+nptrans)</f>
        <v>34.489636505332768</v>
      </c>
      <c r="Q10" s="22"/>
      <c r="R10" s="22"/>
      <c r="S10" s="22">
        <f t="shared" si="6"/>
        <v>237.24884280170892</v>
      </c>
      <c r="T10" s="22">
        <f t="shared" si="7"/>
        <v>244.53484430043099</v>
      </c>
    </row>
    <row r="11" spans="1:20" x14ac:dyDescent="0.2">
      <c r="A11" s="5">
        <v>20</v>
      </c>
      <c r="B11" s="1">
        <f t="shared" si="8"/>
        <v>1.0249999999999999</v>
      </c>
      <c r="C11" s="5">
        <f t="shared" si="9"/>
        <v>26279.005615778169</v>
      </c>
      <c r="D11" s="5">
        <f t="shared" si="0"/>
        <v>25595.549256368366</v>
      </c>
      <c r="E11" s="5">
        <f t="shared" si="1"/>
        <v>16095.549256368366</v>
      </c>
      <c r="F11" s="5">
        <f t="shared" si="2"/>
        <v>5556.9468322042712</v>
      </c>
      <c r="G11" s="5">
        <f t="shared" si="3"/>
        <v>20038.602424164095</v>
      </c>
      <c r="H11" s="22">
        <f t="shared" si="10"/>
        <v>12024.532660375098</v>
      </c>
      <c r="I11" s="5">
        <f t="shared" si="4"/>
        <v>31293.564994275184</v>
      </c>
      <c r="J11" s="26">
        <f t="shared" si="5"/>
        <v>0.12714862807153929</v>
      </c>
      <c r="L11" s="22">
        <f t="shared" si="11"/>
        <v>35193.139741030267</v>
      </c>
      <c r="M11" s="5">
        <f>scrimecost*Meta!O8</f>
        <v>15575.287999999999</v>
      </c>
      <c r="N11" s="5">
        <f>L11-Grade12!L11</f>
        <v>348.87451652378513</v>
      </c>
      <c r="O11" s="5">
        <f>Grade12!M11-M11</f>
        <v>120.91600000000108</v>
      </c>
      <c r="P11" s="22">
        <f t="shared" si="12"/>
        <v>33.086278306805923</v>
      </c>
      <c r="Q11" s="22"/>
      <c r="R11" s="22"/>
      <c r="S11" s="22">
        <f t="shared" si="6"/>
        <v>237.17260345605641</v>
      </c>
      <c r="T11" s="22">
        <f t="shared" si="7"/>
        <v>251.96360772765811</v>
      </c>
    </row>
    <row r="12" spans="1:20" x14ac:dyDescent="0.2">
      <c r="A12" s="5">
        <v>21</v>
      </c>
      <c r="B12" s="1">
        <f t="shared" si="8"/>
        <v>1.0506249999999999</v>
      </c>
      <c r="C12" s="5">
        <f t="shared" si="9"/>
        <v>26935.980756172627</v>
      </c>
      <c r="D12" s="5">
        <f t="shared" si="0"/>
        <v>26210.47798777758</v>
      </c>
      <c r="E12" s="5">
        <f t="shared" si="1"/>
        <v>16710.47798777758</v>
      </c>
      <c r="F12" s="5">
        <f t="shared" si="2"/>
        <v>5757.7210630093796</v>
      </c>
      <c r="G12" s="5">
        <f t="shared" si="3"/>
        <v>20452.7569247682</v>
      </c>
      <c r="H12" s="22">
        <f t="shared" si="10"/>
        <v>12325.145976884476</v>
      </c>
      <c r="I12" s="5">
        <f t="shared" si="4"/>
        <v>31989.093559132067</v>
      </c>
      <c r="J12" s="26">
        <f t="shared" si="5"/>
        <v>0.12951092208864493</v>
      </c>
      <c r="L12" s="22">
        <f t="shared" si="11"/>
        <v>36072.968234556021</v>
      </c>
      <c r="M12" s="5">
        <f>scrimecost*Meta!O9</f>
        <v>14350.426000000001</v>
      </c>
      <c r="N12" s="5">
        <f>L12-Grade12!L12</f>
        <v>357.59637943687267</v>
      </c>
      <c r="O12" s="5">
        <f>Grade12!M12-M12</f>
        <v>111.40699999999924</v>
      </c>
      <c r="P12" s="22">
        <f t="shared" si="12"/>
        <v>33.677530135595276</v>
      </c>
      <c r="Q12" s="22"/>
      <c r="R12" s="22"/>
      <c r="S12" s="22">
        <f t="shared" si="6"/>
        <v>235.78596620360506</v>
      </c>
      <c r="T12" s="22">
        <f t="shared" si="7"/>
        <v>258.18315200953816</v>
      </c>
    </row>
    <row r="13" spans="1:20" x14ac:dyDescent="0.2">
      <c r="A13" s="5">
        <v>22</v>
      </c>
      <c r="B13" s="1">
        <f t="shared" si="8"/>
        <v>1.0768906249999999</v>
      </c>
      <c r="C13" s="5">
        <f t="shared" si="9"/>
        <v>27609.380275076939</v>
      </c>
      <c r="D13" s="5">
        <f t="shared" si="0"/>
        <v>26840.779937472016</v>
      </c>
      <c r="E13" s="5">
        <f t="shared" si="1"/>
        <v>17340.779937472016</v>
      </c>
      <c r="F13" s="5">
        <f t="shared" si="2"/>
        <v>5963.5146495846129</v>
      </c>
      <c r="G13" s="5">
        <f t="shared" si="3"/>
        <v>20877.265287887403</v>
      </c>
      <c r="H13" s="22">
        <f t="shared" si="10"/>
        <v>12633.274626306587</v>
      </c>
      <c r="I13" s="5">
        <f t="shared" si="4"/>
        <v>32702.010338110369</v>
      </c>
      <c r="J13" s="26">
        <f t="shared" si="5"/>
        <v>0.13181559917850399</v>
      </c>
      <c r="L13" s="22">
        <f t="shared" si="11"/>
        <v>36974.792440419922</v>
      </c>
      <c r="M13" s="5">
        <f>scrimecost*Meta!O10</f>
        <v>13087.436</v>
      </c>
      <c r="N13" s="5">
        <f>L13-Grade12!L13</f>
        <v>366.5362889228054</v>
      </c>
      <c r="O13" s="5">
        <f>Grade12!M13-M13</f>
        <v>101.60200000000077</v>
      </c>
      <c r="P13" s="22">
        <f t="shared" si="12"/>
        <v>34.283563260104344</v>
      </c>
      <c r="Q13" s="22"/>
      <c r="R13" s="22"/>
      <c r="S13" s="22">
        <f t="shared" si="6"/>
        <v>234.33127144485201</v>
      </c>
      <c r="T13" s="22">
        <f t="shared" si="7"/>
        <v>264.47026078390439</v>
      </c>
    </row>
    <row r="14" spans="1:20" x14ac:dyDescent="0.2">
      <c r="A14" s="5">
        <v>23</v>
      </c>
      <c r="B14" s="1">
        <f t="shared" si="8"/>
        <v>1.1038128906249998</v>
      </c>
      <c r="C14" s="5">
        <f t="shared" si="9"/>
        <v>28299.61478195386</v>
      </c>
      <c r="D14" s="5">
        <f t="shared" si="0"/>
        <v>27486.839435908812</v>
      </c>
      <c r="E14" s="5">
        <f t="shared" si="1"/>
        <v>17986.839435908812</v>
      </c>
      <c r="F14" s="5">
        <f t="shared" si="2"/>
        <v>6174.4530758242272</v>
      </c>
      <c r="G14" s="5">
        <f t="shared" si="3"/>
        <v>21312.386360084587</v>
      </c>
      <c r="H14" s="22">
        <f t="shared" si="10"/>
        <v>12949.10649196425</v>
      </c>
      <c r="I14" s="5">
        <f t="shared" si="4"/>
        <v>33432.750036563128</v>
      </c>
      <c r="J14" s="26">
        <f t="shared" si="5"/>
        <v>0.13406406463202505</v>
      </c>
      <c r="L14" s="22">
        <f t="shared" si="11"/>
        <v>37899.162251430411</v>
      </c>
      <c r="M14" s="5">
        <f>scrimecost*Meta!O11</f>
        <v>12200.960000000001</v>
      </c>
      <c r="N14" s="5">
        <f>L14-Grade12!L14</f>
        <v>375.69969614587171</v>
      </c>
      <c r="O14" s="5">
        <f>Grade12!M14-M14</f>
        <v>94.719999999999345</v>
      </c>
      <c r="P14" s="22">
        <f t="shared" si="12"/>
        <v>34.904747212726143</v>
      </c>
      <c r="Q14" s="22"/>
      <c r="R14" s="22"/>
      <c r="S14" s="22">
        <f t="shared" si="6"/>
        <v>234.65554494212211</v>
      </c>
      <c r="T14" s="22">
        <f t="shared" si="7"/>
        <v>272.96946229149893</v>
      </c>
    </row>
    <row r="15" spans="1:20" x14ac:dyDescent="0.2">
      <c r="A15" s="5">
        <v>24</v>
      </c>
      <c r="B15" s="1">
        <f t="shared" si="8"/>
        <v>1.1314082128906247</v>
      </c>
      <c r="C15" s="5">
        <f t="shared" si="9"/>
        <v>29007.105151502703</v>
      </c>
      <c r="D15" s="5">
        <f t="shared" si="0"/>
        <v>28149.050421806529</v>
      </c>
      <c r="E15" s="5">
        <f t="shared" si="1"/>
        <v>18649.050421806529</v>
      </c>
      <c r="F15" s="5">
        <f t="shared" si="2"/>
        <v>6390.6649627198312</v>
      </c>
      <c r="G15" s="5">
        <f t="shared" si="3"/>
        <v>21758.385459086698</v>
      </c>
      <c r="H15" s="22">
        <f t="shared" si="10"/>
        <v>13272.834154263355</v>
      </c>
      <c r="I15" s="5">
        <f t="shared" si="4"/>
        <v>34181.758227477199</v>
      </c>
      <c r="J15" s="26">
        <f t="shared" si="5"/>
        <v>0.13625768946472852</v>
      </c>
      <c r="L15" s="22">
        <f t="shared" si="11"/>
        <v>38846.641307716171</v>
      </c>
      <c r="M15" s="5">
        <f>scrimecost*Meta!O12</f>
        <v>11638.572</v>
      </c>
      <c r="N15" s="5">
        <f>L15-Grade12!L15</f>
        <v>385.09218854951177</v>
      </c>
      <c r="O15" s="5">
        <f>Grade12!M15-M15</f>
        <v>90.354000000001179</v>
      </c>
      <c r="P15" s="22">
        <f t="shared" si="12"/>
        <v>35.541460764163489</v>
      </c>
      <c r="Q15" s="22"/>
      <c r="R15" s="22"/>
      <c r="S15" s="22">
        <f t="shared" si="6"/>
        <v>236.52817792682467</v>
      </c>
      <c r="T15" s="22">
        <f t="shared" si="7"/>
        <v>283.597748108014</v>
      </c>
    </row>
    <row r="16" spans="1:20" x14ac:dyDescent="0.2">
      <c r="A16" s="5">
        <v>25</v>
      </c>
      <c r="B16" s="1">
        <f t="shared" si="8"/>
        <v>1.1596934182128902</v>
      </c>
      <c r="C16" s="5">
        <f t="shared" si="9"/>
        <v>29732.282780290268</v>
      </c>
      <c r="D16" s="5">
        <f t="shared" si="0"/>
        <v>28827.816682351691</v>
      </c>
      <c r="E16" s="5">
        <f t="shared" si="1"/>
        <v>19327.816682351691</v>
      </c>
      <c r="F16" s="5">
        <f t="shared" si="2"/>
        <v>6612.2821467878275</v>
      </c>
      <c r="G16" s="5">
        <f t="shared" si="3"/>
        <v>22215.534535563864</v>
      </c>
      <c r="H16" s="22">
        <f t="shared" si="10"/>
        <v>13604.655008119937</v>
      </c>
      <c r="I16" s="5">
        <f t="shared" si="4"/>
        <v>34949.491623164125</v>
      </c>
      <c r="J16" s="26">
        <f t="shared" si="5"/>
        <v>0.13839781125273196</v>
      </c>
      <c r="L16" s="22">
        <f t="shared" si="11"/>
        <v>39817.807340409076</v>
      </c>
      <c r="M16" s="5">
        <f>scrimecost*Meta!O13</f>
        <v>9689.2780000000002</v>
      </c>
      <c r="N16" s="5">
        <f>L16-Grade12!L16</f>
        <v>394.7194932632483</v>
      </c>
      <c r="O16" s="5">
        <f>Grade12!M16-M16</f>
        <v>75.220999999999549</v>
      </c>
      <c r="P16" s="22">
        <f t="shared" si="12"/>
        <v>36.194092154386773</v>
      </c>
      <c r="Q16" s="22"/>
      <c r="R16" s="22"/>
      <c r="S16" s="22">
        <f t="shared" si="6"/>
        <v>232.34067868614511</v>
      </c>
      <c r="T16" s="22">
        <f t="shared" si="7"/>
        <v>287.1321309276114</v>
      </c>
    </row>
    <row r="17" spans="1:20" x14ac:dyDescent="0.2">
      <c r="A17" s="5">
        <v>26</v>
      </c>
      <c r="B17" s="1">
        <f t="shared" si="8"/>
        <v>1.1886857536682125</v>
      </c>
      <c r="C17" s="5">
        <f t="shared" si="9"/>
        <v>30475.589849797525</v>
      </c>
      <c r="D17" s="5">
        <f t="shared" si="0"/>
        <v>29523.552099410485</v>
      </c>
      <c r="E17" s="5">
        <f t="shared" si="1"/>
        <v>20023.552099410485</v>
      </c>
      <c r="F17" s="5">
        <f t="shared" si="2"/>
        <v>6839.4397604575233</v>
      </c>
      <c r="G17" s="5">
        <f t="shared" si="3"/>
        <v>22684.11233895296</v>
      </c>
      <c r="H17" s="22">
        <f t="shared" si="10"/>
        <v>13944.771383322937</v>
      </c>
      <c r="I17" s="5">
        <f t="shared" si="4"/>
        <v>35736.418353743225</v>
      </c>
      <c r="J17" s="26">
        <f t="shared" si="5"/>
        <v>0.14048573494834501</v>
      </c>
      <c r="L17" s="22">
        <f t="shared" si="11"/>
        <v>40813.252523919306</v>
      </c>
      <c r="M17" s="5">
        <f>scrimecost*Meta!O14</f>
        <v>9689.2780000000002</v>
      </c>
      <c r="N17" s="5">
        <f>L17-Grade12!L17</f>
        <v>404.58748059484788</v>
      </c>
      <c r="O17" s="5">
        <f>Grade12!M17-M17</f>
        <v>75.220999999999549</v>
      </c>
      <c r="P17" s="22">
        <f t="shared" si="12"/>
        <v>36.863039329365634</v>
      </c>
      <c r="Q17" s="22"/>
      <c r="R17" s="22"/>
      <c r="S17" s="22">
        <f t="shared" si="6"/>
        <v>236.93648118945785</v>
      </c>
      <c r="T17" s="22">
        <f t="shared" si="7"/>
        <v>301.80409167468133</v>
      </c>
    </row>
    <row r="18" spans="1:20" x14ac:dyDescent="0.2">
      <c r="A18" s="5">
        <v>27</v>
      </c>
      <c r="B18" s="1">
        <f t="shared" si="8"/>
        <v>1.2184028975099177</v>
      </c>
      <c r="C18" s="5">
        <f t="shared" si="9"/>
        <v>31237.479596042464</v>
      </c>
      <c r="D18" s="5">
        <f t="shared" si="0"/>
        <v>30236.680901895747</v>
      </c>
      <c r="E18" s="5">
        <f t="shared" si="1"/>
        <v>20736.680901895747</v>
      </c>
      <c r="F18" s="5">
        <f t="shared" si="2"/>
        <v>7072.2763144689616</v>
      </c>
      <c r="G18" s="5">
        <f t="shared" si="3"/>
        <v>23164.404587426783</v>
      </c>
      <c r="H18" s="22">
        <f t="shared" si="10"/>
        <v>14293.390667906009</v>
      </c>
      <c r="I18" s="5">
        <f t="shared" si="4"/>
        <v>36543.018252586808</v>
      </c>
      <c r="J18" s="26">
        <f t="shared" si="5"/>
        <v>0.14252273367577242</v>
      </c>
      <c r="L18" s="22">
        <f t="shared" si="11"/>
        <v>41833.583837017286</v>
      </c>
      <c r="M18" s="5">
        <f>scrimecost*Meta!O15</f>
        <v>9689.2780000000002</v>
      </c>
      <c r="N18" s="5">
        <f>L18-Grade12!L18</f>
        <v>414.7021676097138</v>
      </c>
      <c r="O18" s="5">
        <f>Grade12!M18-M18</f>
        <v>75.220999999999549</v>
      </c>
      <c r="P18" s="22">
        <f t="shared" si="12"/>
        <v>37.548710183718974</v>
      </c>
      <c r="Q18" s="22"/>
      <c r="R18" s="22"/>
      <c r="S18" s="22">
        <f t="shared" si="6"/>
        <v>241.64717875534339</v>
      </c>
      <c r="T18" s="22">
        <f t="shared" si="7"/>
        <v>317.25725827825283</v>
      </c>
    </row>
    <row r="19" spans="1:20" x14ac:dyDescent="0.2">
      <c r="A19" s="5">
        <v>28</v>
      </c>
      <c r="B19" s="1">
        <f t="shared" si="8"/>
        <v>1.2488629699476654</v>
      </c>
      <c r="C19" s="5">
        <f t="shared" si="9"/>
        <v>32018.41658594352</v>
      </c>
      <c r="D19" s="5">
        <f t="shared" si="0"/>
        <v>30967.637924443134</v>
      </c>
      <c r="E19" s="5">
        <f t="shared" si="1"/>
        <v>21467.637924443134</v>
      </c>
      <c r="F19" s="5">
        <f t="shared" si="2"/>
        <v>7310.9337823306832</v>
      </c>
      <c r="G19" s="5">
        <f t="shared" si="3"/>
        <v>23656.704142112452</v>
      </c>
      <c r="H19" s="22">
        <f t="shared" si="10"/>
        <v>14650.725434603657</v>
      </c>
      <c r="I19" s="5">
        <f t="shared" si="4"/>
        <v>37369.783148901479</v>
      </c>
      <c r="J19" s="26">
        <f t="shared" si="5"/>
        <v>0.14451004950740887</v>
      </c>
      <c r="L19" s="22">
        <f t="shared" si="11"/>
        <v>42879.423432942705</v>
      </c>
      <c r="M19" s="5">
        <f>scrimecost*Meta!O16</f>
        <v>9689.2780000000002</v>
      </c>
      <c r="N19" s="5">
        <f>L19-Grade12!L19</f>
        <v>425.06972179994773</v>
      </c>
      <c r="O19" s="5">
        <f>Grade12!M19-M19</f>
        <v>75.220999999999549</v>
      </c>
      <c r="P19" s="22">
        <f t="shared" si="12"/>
        <v>38.25152280943113</v>
      </c>
      <c r="Q19" s="22"/>
      <c r="R19" s="22"/>
      <c r="S19" s="22">
        <f t="shared" si="6"/>
        <v>246.47564376037445</v>
      </c>
      <c r="T19" s="22">
        <f t="shared" si="7"/>
        <v>333.53429491538861</v>
      </c>
    </row>
    <row r="20" spans="1:20" x14ac:dyDescent="0.2">
      <c r="A20" s="5">
        <v>29</v>
      </c>
      <c r="B20" s="1">
        <f t="shared" si="8"/>
        <v>1.2800845441963571</v>
      </c>
      <c r="C20" s="5">
        <f t="shared" si="9"/>
        <v>32818.877000592103</v>
      </c>
      <c r="D20" s="5">
        <f t="shared" si="0"/>
        <v>31716.868872554209</v>
      </c>
      <c r="E20" s="5">
        <f t="shared" si="1"/>
        <v>22216.868872554209</v>
      </c>
      <c r="F20" s="5">
        <f t="shared" si="2"/>
        <v>7555.5576868889493</v>
      </c>
      <c r="G20" s="5">
        <f t="shared" si="3"/>
        <v>24161.311185665261</v>
      </c>
      <c r="H20" s="22">
        <f t="shared" si="10"/>
        <v>15016.993570468749</v>
      </c>
      <c r="I20" s="5">
        <f t="shared" si="4"/>
        <v>38217.21716762401</v>
      </c>
      <c r="J20" s="26">
        <f t="shared" si="5"/>
        <v>0.14644889422120058</v>
      </c>
      <c r="L20" s="22">
        <f t="shared" si="11"/>
        <v>43951.409018766273</v>
      </c>
      <c r="M20" s="5">
        <f>scrimecost*Meta!O17</f>
        <v>9689.2780000000002</v>
      </c>
      <c r="N20" s="5">
        <f>L20-Grade12!L20</f>
        <v>435.69646484494297</v>
      </c>
      <c r="O20" s="5">
        <f>Grade12!M20-M20</f>
        <v>75.220999999999549</v>
      </c>
      <c r="P20" s="22">
        <f t="shared" si="12"/>
        <v>38.971905750786107</v>
      </c>
      <c r="Q20" s="22"/>
      <c r="R20" s="22"/>
      <c r="S20" s="22">
        <f t="shared" si="6"/>
        <v>251.42482039053363</v>
      </c>
      <c r="T20" s="22">
        <f t="shared" si="7"/>
        <v>350.6802306152191</v>
      </c>
    </row>
    <row r="21" spans="1:20" x14ac:dyDescent="0.2">
      <c r="A21" s="5">
        <v>30</v>
      </c>
      <c r="B21" s="1">
        <f t="shared" si="8"/>
        <v>1.312086657801266</v>
      </c>
      <c r="C21" s="5">
        <f t="shared" si="9"/>
        <v>33639.348925606908</v>
      </c>
      <c r="D21" s="5">
        <f t="shared" si="0"/>
        <v>32484.830594368064</v>
      </c>
      <c r="E21" s="5">
        <f t="shared" si="1"/>
        <v>22984.830594368064</v>
      </c>
      <c r="F21" s="5">
        <f t="shared" si="2"/>
        <v>7806.2971890611734</v>
      </c>
      <c r="G21" s="5">
        <f t="shared" si="3"/>
        <v>24678.533405306891</v>
      </c>
      <c r="H21" s="22">
        <f t="shared" si="10"/>
        <v>15392.418409730468</v>
      </c>
      <c r="I21" s="5">
        <f t="shared" si="4"/>
        <v>39085.837036814606</v>
      </c>
      <c r="J21" s="26">
        <f t="shared" si="5"/>
        <v>0.14834045003953392</v>
      </c>
      <c r="L21" s="22">
        <f t="shared" si="11"/>
        <v>45050.194244235434</v>
      </c>
      <c r="M21" s="5">
        <f>scrimecost*Meta!O18</f>
        <v>7983.05</v>
      </c>
      <c r="N21" s="5">
        <f>L21-Grade12!L21</f>
        <v>446.58887646607764</v>
      </c>
      <c r="O21" s="5">
        <f>Grade12!M21-M21</f>
        <v>61.975000000000364</v>
      </c>
      <c r="P21" s="22">
        <f t="shared" si="12"/>
        <v>39.71029826567495</v>
      </c>
      <c r="Q21" s="22"/>
      <c r="R21" s="22"/>
      <c r="S21" s="22">
        <f t="shared" si="6"/>
        <v>248.90776843645349</v>
      </c>
      <c r="T21" s="22">
        <f t="shared" si="7"/>
        <v>357.83122462638562</v>
      </c>
    </row>
    <row r="22" spans="1:20" x14ac:dyDescent="0.2">
      <c r="A22" s="5">
        <v>31</v>
      </c>
      <c r="B22" s="1">
        <f t="shared" si="8"/>
        <v>1.3448888242462975</v>
      </c>
      <c r="C22" s="5">
        <f t="shared" si="9"/>
        <v>34480.332648747077</v>
      </c>
      <c r="D22" s="5">
        <f t="shared" si="0"/>
        <v>33271.991359227264</v>
      </c>
      <c r="E22" s="5">
        <f t="shared" si="1"/>
        <v>23771.991359227264</v>
      </c>
      <c r="F22" s="5">
        <f t="shared" si="2"/>
        <v>8063.3051787877012</v>
      </c>
      <c r="G22" s="5">
        <f t="shared" si="3"/>
        <v>25208.686180439563</v>
      </c>
      <c r="H22" s="22">
        <f t="shared" si="10"/>
        <v>15777.228869973727</v>
      </c>
      <c r="I22" s="5">
        <f t="shared" si="4"/>
        <v>39976.17240273497</v>
      </c>
      <c r="J22" s="26">
        <f t="shared" si="5"/>
        <v>0.15018587035010303</v>
      </c>
      <c r="L22" s="22">
        <f t="shared" si="11"/>
        <v>46176.449100341313</v>
      </c>
      <c r="M22" s="5">
        <f>scrimecost*Meta!O19</f>
        <v>7983.05</v>
      </c>
      <c r="N22" s="5">
        <f>L22-Grade12!L22</f>
        <v>457.75359837772703</v>
      </c>
      <c r="O22" s="5">
        <f>Grade12!M22-M22</f>
        <v>61.975000000000364</v>
      </c>
      <c r="P22" s="22">
        <f t="shared" si="12"/>
        <v>40.46715059343601</v>
      </c>
      <c r="Q22" s="22"/>
      <c r="R22" s="22"/>
      <c r="S22" s="22">
        <f t="shared" si="6"/>
        <v>254.10749713351504</v>
      </c>
      <c r="T22" s="22">
        <f t="shared" si="7"/>
        <v>376.52508111997599</v>
      </c>
    </row>
    <row r="23" spans="1:20" x14ac:dyDescent="0.2">
      <c r="A23" s="5">
        <v>32</v>
      </c>
      <c r="B23" s="1">
        <f t="shared" si="8"/>
        <v>1.3785110448524549</v>
      </c>
      <c r="C23" s="5">
        <f t="shared" si="9"/>
        <v>35342.340964965762</v>
      </c>
      <c r="D23" s="5">
        <f t="shared" si="0"/>
        <v>34078.83114320795</v>
      </c>
      <c r="E23" s="5">
        <f t="shared" si="1"/>
        <v>24578.83114320795</v>
      </c>
      <c r="F23" s="5">
        <f t="shared" si="2"/>
        <v>8326.7383682573964</v>
      </c>
      <c r="G23" s="5">
        <f t="shared" si="3"/>
        <v>25752.092774950554</v>
      </c>
      <c r="H23" s="22">
        <f t="shared" si="10"/>
        <v>16171.65959172307</v>
      </c>
      <c r="I23" s="5">
        <f t="shared" si="4"/>
        <v>40888.76615280335</v>
      </c>
      <c r="J23" s="26">
        <f t="shared" si="5"/>
        <v>0.1519862804091949</v>
      </c>
      <c r="L23" s="22">
        <f t="shared" si="11"/>
        <v>47330.860327849841</v>
      </c>
      <c r="M23" s="5">
        <f>scrimecost*Meta!O20</f>
        <v>7983.05</v>
      </c>
      <c r="N23" s="5">
        <f>L23-Grade12!L23</f>
        <v>469.19743833717075</v>
      </c>
      <c r="O23" s="5">
        <f>Grade12!M23-M23</f>
        <v>61.975000000000364</v>
      </c>
      <c r="P23" s="22">
        <f t="shared" si="12"/>
        <v>41.242924229391107</v>
      </c>
      <c r="Q23" s="22"/>
      <c r="R23" s="22"/>
      <c r="S23" s="22">
        <f t="shared" si="6"/>
        <v>259.43721904800441</v>
      </c>
      <c r="T23" s="22">
        <f t="shared" si="7"/>
        <v>396.22818148834477</v>
      </c>
    </row>
    <row r="24" spans="1:20" x14ac:dyDescent="0.2">
      <c r="A24" s="5">
        <v>33</v>
      </c>
      <c r="B24" s="1">
        <f t="shared" si="8"/>
        <v>1.4129738209737661</v>
      </c>
      <c r="C24" s="5">
        <f t="shared" si="9"/>
        <v>36225.899489089898</v>
      </c>
      <c r="D24" s="5">
        <f t="shared" si="0"/>
        <v>34905.841921788146</v>
      </c>
      <c r="E24" s="5">
        <f t="shared" si="1"/>
        <v>25405.841921788146</v>
      </c>
      <c r="F24" s="5">
        <f t="shared" si="2"/>
        <v>8596.7573874638292</v>
      </c>
      <c r="G24" s="5">
        <f t="shared" si="3"/>
        <v>26309.084534324316</v>
      </c>
      <c r="H24" s="22">
        <f t="shared" si="10"/>
        <v>16575.951081516145</v>
      </c>
      <c r="I24" s="5">
        <f t="shared" si="4"/>
        <v>41824.174746623423</v>
      </c>
      <c r="J24" s="26">
        <f t="shared" si="5"/>
        <v>0.15374277802782108</v>
      </c>
      <c r="L24" s="22">
        <f t="shared" si="11"/>
        <v>48514.131836046086</v>
      </c>
      <c r="M24" s="5">
        <f>scrimecost*Meta!O21</f>
        <v>7983.05</v>
      </c>
      <c r="N24" s="5">
        <f>L24-Grade12!L24</f>
        <v>480.92737429559202</v>
      </c>
      <c r="O24" s="5">
        <f>Grade12!M24-M24</f>
        <v>61.975000000000364</v>
      </c>
      <c r="P24" s="22">
        <f t="shared" si="12"/>
        <v>42.038092206245082</v>
      </c>
      <c r="Q24" s="22"/>
      <c r="R24" s="22"/>
      <c r="S24" s="22">
        <f t="shared" si="6"/>
        <v>264.9001840103524</v>
      </c>
      <c r="T24" s="22">
        <f t="shared" si="7"/>
        <v>416.99609636754593</v>
      </c>
    </row>
    <row r="25" spans="1:20" x14ac:dyDescent="0.2">
      <c r="A25" s="5">
        <v>34</v>
      </c>
      <c r="B25" s="1">
        <f t="shared" si="8"/>
        <v>1.4482981664981105</v>
      </c>
      <c r="C25" s="5">
        <f t="shared" si="9"/>
        <v>37131.54697631715</v>
      </c>
      <c r="D25" s="5">
        <f t="shared" si="0"/>
        <v>35753.527969832852</v>
      </c>
      <c r="E25" s="5">
        <f t="shared" si="1"/>
        <v>26253.527969832852</v>
      </c>
      <c r="F25" s="5">
        <f t="shared" si="2"/>
        <v>8873.5268821504251</v>
      </c>
      <c r="G25" s="5">
        <f t="shared" si="3"/>
        <v>26880.001087682427</v>
      </c>
      <c r="H25" s="22">
        <f t="shared" si="10"/>
        <v>16990.349858554051</v>
      </c>
      <c r="I25" s="5">
        <f t="shared" si="4"/>
        <v>42782.968555289015</v>
      </c>
      <c r="J25" s="26">
        <f t="shared" si="5"/>
        <v>0.15545643424111485</v>
      </c>
      <c r="L25" s="22">
        <f t="shared" si="11"/>
        <v>49726.985131947244</v>
      </c>
      <c r="M25" s="5">
        <f>scrimecost*Meta!O22</f>
        <v>7983.05</v>
      </c>
      <c r="N25" s="5">
        <f>L25-Grade12!L25</f>
        <v>492.95055865299219</v>
      </c>
      <c r="O25" s="5">
        <f>Grade12!M25-M25</f>
        <v>61.975000000000364</v>
      </c>
      <c r="P25" s="22">
        <f t="shared" si="12"/>
        <v>42.853139382520396</v>
      </c>
      <c r="Q25" s="22"/>
      <c r="R25" s="22"/>
      <c r="S25" s="22">
        <f t="shared" si="6"/>
        <v>270.49972309676696</v>
      </c>
      <c r="T25" s="22">
        <f t="shared" si="7"/>
        <v>438.88749101677877</v>
      </c>
    </row>
    <row r="26" spans="1:20" x14ac:dyDescent="0.2">
      <c r="A26" s="5">
        <v>35</v>
      </c>
      <c r="B26" s="1">
        <f t="shared" si="8"/>
        <v>1.4845056206605631</v>
      </c>
      <c r="C26" s="5">
        <f t="shared" si="9"/>
        <v>38059.835650725079</v>
      </c>
      <c r="D26" s="5">
        <f t="shared" si="0"/>
        <v>36622.406169078677</v>
      </c>
      <c r="E26" s="5">
        <f t="shared" si="1"/>
        <v>27122.406169078677</v>
      </c>
      <c r="F26" s="5">
        <f t="shared" si="2"/>
        <v>9157.2156142041877</v>
      </c>
      <c r="G26" s="5">
        <f t="shared" si="3"/>
        <v>27465.190554874491</v>
      </c>
      <c r="H26" s="22">
        <f t="shared" si="10"/>
        <v>17415.1086050179</v>
      </c>
      <c r="I26" s="5">
        <f t="shared" si="4"/>
        <v>43765.732209171241</v>
      </c>
      <c r="J26" s="26">
        <f t="shared" si="5"/>
        <v>0.15712829396140157</v>
      </c>
      <c r="L26" s="22">
        <f t="shared" si="11"/>
        <v>50970.159760245922</v>
      </c>
      <c r="M26" s="5">
        <f>scrimecost*Meta!O23</f>
        <v>6033.7560000000003</v>
      </c>
      <c r="N26" s="5">
        <f>L26-Grade12!L26</f>
        <v>505.27432261931244</v>
      </c>
      <c r="O26" s="5">
        <f>Grade12!M26-M26</f>
        <v>46.841999999999643</v>
      </c>
      <c r="P26" s="22">
        <f t="shared" si="12"/>
        <v>43.688562738202606</v>
      </c>
      <c r="Q26" s="22"/>
      <c r="R26" s="22"/>
      <c r="S26" s="22">
        <f t="shared" si="6"/>
        <v>267.5680416603351</v>
      </c>
      <c r="T26" s="22">
        <f t="shared" si="7"/>
        <v>447.4631408739927</v>
      </c>
    </row>
    <row r="27" spans="1:20" x14ac:dyDescent="0.2">
      <c r="A27" s="5">
        <v>36</v>
      </c>
      <c r="B27" s="1">
        <f t="shared" si="8"/>
        <v>1.521618261177077</v>
      </c>
      <c r="C27" s="5">
        <f t="shared" si="9"/>
        <v>39011.33154199319</v>
      </c>
      <c r="D27" s="5">
        <f t="shared" si="0"/>
        <v>37513.006323305628</v>
      </c>
      <c r="E27" s="5">
        <f t="shared" si="1"/>
        <v>28013.006323305628</v>
      </c>
      <c r="F27" s="5">
        <f t="shared" si="2"/>
        <v>9447.9965645592874</v>
      </c>
      <c r="G27" s="5">
        <f t="shared" si="3"/>
        <v>28065.009758746339</v>
      </c>
      <c r="H27" s="22">
        <f t="shared" si="10"/>
        <v>17850.486320143347</v>
      </c>
      <c r="I27" s="5">
        <f t="shared" si="4"/>
        <v>44773.064954400514</v>
      </c>
      <c r="J27" s="26">
        <f t="shared" si="5"/>
        <v>0.15875937661533973</v>
      </c>
      <c r="L27" s="22">
        <f t="shared" si="11"/>
        <v>52244.413754252062</v>
      </c>
      <c r="M27" s="5">
        <f>scrimecost*Meta!O24</f>
        <v>6033.7560000000003</v>
      </c>
      <c r="N27" s="5">
        <f>L27-Grade12!L27</f>
        <v>517.90618068478943</v>
      </c>
      <c r="O27" s="5">
        <f>Grade12!M27-M27</f>
        <v>46.841999999999643</v>
      </c>
      <c r="P27" s="22">
        <f t="shared" si="12"/>
        <v>44.544871677776854</v>
      </c>
      <c r="Q27" s="22"/>
      <c r="R27" s="22"/>
      <c r="S27" s="22">
        <f t="shared" si="6"/>
        <v>273.45105741299221</v>
      </c>
      <c r="T27" s="22">
        <f t="shared" si="7"/>
        <v>471.34541020728182</v>
      </c>
    </row>
    <row r="28" spans="1:20" x14ac:dyDescent="0.2">
      <c r="A28" s="5">
        <v>37</v>
      </c>
      <c r="B28" s="1">
        <f t="shared" si="8"/>
        <v>1.559658717706504</v>
      </c>
      <c r="C28" s="5">
        <f t="shared" si="9"/>
        <v>39986.614830543032</v>
      </c>
      <c r="D28" s="5">
        <f t="shared" si="0"/>
        <v>38425.871481388276</v>
      </c>
      <c r="E28" s="5">
        <f t="shared" si="1"/>
        <v>28925.871481388276</v>
      </c>
      <c r="F28" s="5">
        <f t="shared" si="2"/>
        <v>9746.0470386732723</v>
      </c>
      <c r="G28" s="5">
        <f t="shared" si="3"/>
        <v>28679.824442715006</v>
      </c>
      <c r="H28" s="22">
        <f t="shared" si="10"/>
        <v>18296.748478146932</v>
      </c>
      <c r="I28" s="5">
        <f t="shared" si="4"/>
        <v>45805.581018260535</v>
      </c>
      <c r="J28" s="26">
        <f t="shared" si="5"/>
        <v>0.16035067676552336</v>
      </c>
      <c r="L28" s="22">
        <f t="shared" si="11"/>
        <v>53550.52409810837</v>
      </c>
      <c r="M28" s="5">
        <f>scrimecost*Meta!O25</f>
        <v>6033.7560000000003</v>
      </c>
      <c r="N28" s="5">
        <f>L28-Grade12!L28</f>
        <v>530.85383520191681</v>
      </c>
      <c r="O28" s="5">
        <f>Grade12!M28-M28</f>
        <v>46.841999999999643</v>
      </c>
      <c r="P28" s="22">
        <f t="shared" si="12"/>
        <v>45.422588340840477</v>
      </c>
      <c r="Q28" s="22"/>
      <c r="R28" s="22"/>
      <c r="S28" s="22">
        <f t="shared" si="6"/>
        <v>279.48114855947165</v>
      </c>
      <c r="T28" s="22">
        <f t="shared" si="7"/>
        <v>496.53383000968614</v>
      </c>
    </row>
    <row r="29" spans="1:20" x14ac:dyDescent="0.2">
      <c r="A29" s="5">
        <v>38</v>
      </c>
      <c r="B29" s="1">
        <f t="shared" si="8"/>
        <v>1.5986501856491666</v>
      </c>
      <c r="C29" s="5">
        <f t="shared" si="9"/>
        <v>40986.280201306603</v>
      </c>
      <c r="D29" s="5">
        <f t="shared" si="0"/>
        <v>39361.558268422981</v>
      </c>
      <c r="E29" s="5">
        <f t="shared" si="1"/>
        <v>29861.558268422981</v>
      </c>
      <c r="F29" s="5">
        <f t="shared" si="2"/>
        <v>10051.548774640103</v>
      </c>
      <c r="G29" s="5">
        <f t="shared" si="3"/>
        <v>29310.009493782876</v>
      </c>
      <c r="H29" s="22">
        <f t="shared" si="10"/>
        <v>18754.167190100601</v>
      </c>
      <c r="I29" s="5">
        <f t="shared" si="4"/>
        <v>46863.909983717036</v>
      </c>
      <c r="J29" s="26">
        <f t="shared" si="5"/>
        <v>0.16190316471692204</v>
      </c>
      <c r="L29" s="22">
        <f t="shared" si="11"/>
        <v>54889.287200561077</v>
      </c>
      <c r="M29" s="5">
        <f>scrimecost*Meta!O26</f>
        <v>6033.7560000000003</v>
      </c>
      <c r="N29" s="5">
        <f>L29-Grade12!L29</f>
        <v>544.12518108197401</v>
      </c>
      <c r="O29" s="5">
        <f>Grade12!M29-M29</f>
        <v>46.841999999999643</v>
      </c>
      <c r="P29" s="22">
        <f t="shared" si="12"/>
        <v>46.322247920480685</v>
      </c>
      <c r="Q29" s="22"/>
      <c r="R29" s="22"/>
      <c r="S29" s="22">
        <f t="shared" si="6"/>
        <v>285.66199198461368</v>
      </c>
      <c r="T29" s="22">
        <f t="shared" si="7"/>
        <v>523.10085864214204</v>
      </c>
    </row>
    <row r="30" spans="1:20" x14ac:dyDescent="0.2">
      <c r="A30" s="5">
        <v>39</v>
      </c>
      <c r="B30" s="1">
        <f t="shared" si="8"/>
        <v>1.6386164402903955</v>
      </c>
      <c r="C30" s="5">
        <f t="shared" si="9"/>
        <v>42010.937206339266</v>
      </c>
      <c r="D30" s="5">
        <f t="shared" si="0"/>
        <v>40320.637225133549</v>
      </c>
      <c r="E30" s="5">
        <f t="shared" si="1"/>
        <v>30820.637225133549</v>
      </c>
      <c r="F30" s="5">
        <f t="shared" si="2"/>
        <v>10364.688054006103</v>
      </c>
      <c r="G30" s="5">
        <f t="shared" si="3"/>
        <v>29955.949171127446</v>
      </c>
      <c r="H30" s="22">
        <f t="shared" si="10"/>
        <v>19223.021369853119</v>
      </c>
      <c r="I30" s="5">
        <f t="shared" si="4"/>
        <v>47948.697173309964</v>
      </c>
      <c r="J30" s="26">
        <f t="shared" si="5"/>
        <v>0.16341778710853044</v>
      </c>
      <c r="L30" s="22">
        <f t="shared" si="11"/>
        <v>56261.51938057509</v>
      </c>
      <c r="M30" s="5">
        <f>scrimecost*Meta!O27</f>
        <v>6033.7560000000003</v>
      </c>
      <c r="N30" s="5">
        <f>L30-Grade12!L30</f>
        <v>557.7283106090108</v>
      </c>
      <c r="O30" s="5">
        <f>Grade12!M30-M30</f>
        <v>46.841999999999643</v>
      </c>
      <c r="P30" s="22">
        <f t="shared" si="12"/>
        <v>47.244398989611881</v>
      </c>
      <c r="Q30" s="22"/>
      <c r="R30" s="22"/>
      <c r="S30" s="22">
        <f t="shared" si="6"/>
        <v>291.99735649537496</v>
      </c>
      <c r="T30" s="22">
        <f t="shared" si="7"/>
        <v>551.12300653027148</v>
      </c>
    </row>
    <row r="31" spans="1:20" x14ac:dyDescent="0.2">
      <c r="A31" s="5">
        <v>40</v>
      </c>
      <c r="B31" s="1">
        <f t="shared" si="8"/>
        <v>1.6795818512976552</v>
      </c>
      <c r="C31" s="5">
        <f t="shared" si="9"/>
        <v>43061.210636497737</v>
      </c>
      <c r="D31" s="5">
        <f t="shared" si="0"/>
        <v>41303.693155761881</v>
      </c>
      <c r="E31" s="5">
        <f t="shared" si="1"/>
        <v>31803.693155761881</v>
      </c>
      <c r="F31" s="5">
        <f t="shared" si="2"/>
        <v>10685.655815356255</v>
      </c>
      <c r="G31" s="5">
        <f t="shared" si="3"/>
        <v>30618.037340405626</v>
      </c>
      <c r="H31" s="22">
        <f t="shared" si="10"/>
        <v>19703.596904099442</v>
      </c>
      <c r="I31" s="5">
        <f t="shared" si="4"/>
        <v>49060.604042642706</v>
      </c>
      <c r="J31" s="26">
        <f t="shared" si="5"/>
        <v>0.16489546749058745</v>
      </c>
      <c r="L31" s="22">
        <f t="shared" si="11"/>
        <v>57668.057365089466</v>
      </c>
      <c r="M31" s="5">
        <f>scrimecost*Meta!O28</f>
        <v>5390.3460000000005</v>
      </c>
      <c r="N31" s="5">
        <f>L31-Grade12!L31</f>
        <v>571.67151837423444</v>
      </c>
      <c r="O31" s="5">
        <f>Grade12!M31-M31</f>
        <v>41.846999999999753</v>
      </c>
      <c r="P31" s="22">
        <f t="shared" si="12"/>
        <v>48.189603835471367</v>
      </c>
      <c r="Q31" s="22"/>
      <c r="R31" s="22"/>
      <c r="S31" s="22">
        <f t="shared" si="6"/>
        <v>295.62897011890999</v>
      </c>
      <c r="T31" s="22">
        <f t="shared" si="7"/>
        <v>575.1131002207826</v>
      </c>
    </row>
    <row r="32" spans="1:20" x14ac:dyDescent="0.2">
      <c r="A32" s="5">
        <v>41</v>
      </c>
      <c r="B32" s="1">
        <f t="shared" si="8"/>
        <v>1.7215713975800966</v>
      </c>
      <c r="C32" s="5">
        <f t="shared" si="9"/>
        <v>44137.74090241018</v>
      </c>
      <c r="D32" s="5">
        <f t="shared" si="0"/>
        <v>42311.325484655928</v>
      </c>
      <c r="E32" s="5">
        <f t="shared" si="1"/>
        <v>32811.325484655928</v>
      </c>
      <c r="F32" s="5">
        <f t="shared" si="2"/>
        <v>11014.647770740161</v>
      </c>
      <c r="G32" s="5">
        <f t="shared" si="3"/>
        <v>31296.677713915768</v>
      </c>
      <c r="H32" s="22">
        <f t="shared" si="10"/>
        <v>20196.186826701927</v>
      </c>
      <c r="I32" s="5">
        <f t="shared" si="4"/>
        <v>50200.308583708771</v>
      </c>
      <c r="J32" s="26">
        <f t="shared" si="5"/>
        <v>0.16633710688771625</v>
      </c>
      <c r="L32" s="22">
        <f t="shared" si="11"/>
        <v>59109.758799216703</v>
      </c>
      <c r="M32" s="5">
        <f>scrimecost*Meta!O29</f>
        <v>5390.3460000000005</v>
      </c>
      <c r="N32" s="5">
        <f>L32-Grade12!L32</f>
        <v>585.96330633359321</v>
      </c>
      <c r="O32" s="5">
        <f>Grade12!M32-M32</f>
        <v>41.846999999999753</v>
      </c>
      <c r="P32" s="22">
        <f t="shared" si="12"/>
        <v>49.158438802477342</v>
      </c>
      <c r="Q32" s="22"/>
      <c r="R32" s="22"/>
      <c r="S32" s="22">
        <f t="shared" si="6"/>
        <v>302.28506245803527</v>
      </c>
      <c r="T32" s="22">
        <f t="shared" si="7"/>
        <v>606.12138279625356</v>
      </c>
    </row>
    <row r="33" spans="1:20" x14ac:dyDescent="0.2">
      <c r="A33" s="5">
        <v>42</v>
      </c>
      <c r="B33" s="1">
        <f t="shared" si="8"/>
        <v>1.7646106825195991</v>
      </c>
      <c r="C33" s="5">
        <f t="shared" si="9"/>
        <v>45241.184424970437</v>
      </c>
      <c r="D33" s="5">
        <f t="shared" si="0"/>
        <v>43344.148621772329</v>
      </c>
      <c r="E33" s="5">
        <f t="shared" si="1"/>
        <v>33844.148621772329</v>
      </c>
      <c r="F33" s="5">
        <f t="shared" si="2"/>
        <v>11351.864525008665</v>
      </c>
      <c r="G33" s="5">
        <f t="shared" si="3"/>
        <v>31992.284096763666</v>
      </c>
      <c r="H33" s="22">
        <f t="shared" si="10"/>
        <v>20701.091497369478</v>
      </c>
      <c r="I33" s="5">
        <f t="shared" si="4"/>
        <v>51368.505738301494</v>
      </c>
      <c r="J33" s="26">
        <f t="shared" si="5"/>
        <v>0.1677435843483297</v>
      </c>
      <c r="L33" s="22">
        <f t="shared" si="11"/>
        <v>60587.502769197119</v>
      </c>
      <c r="M33" s="5">
        <f>scrimecost*Meta!O30</f>
        <v>5390.3460000000005</v>
      </c>
      <c r="N33" s="5">
        <f>L33-Grade12!L33</f>
        <v>600.61238899193268</v>
      </c>
      <c r="O33" s="5">
        <f>Grade12!M33-M33</f>
        <v>41.846999999999753</v>
      </c>
      <c r="P33" s="22">
        <f t="shared" si="12"/>
        <v>50.151494643658474</v>
      </c>
      <c r="Q33" s="22"/>
      <c r="R33" s="22"/>
      <c r="S33" s="22">
        <f t="shared" si="6"/>
        <v>309.10755710563728</v>
      </c>
      <c r="T33" s="22">
        <f t="shared" si="7"/>
        <v>638.83571797421496</v>
      </c>
    </row>
    <row r="34" spans="1:20" x14ac:dyDescent="0.2">
      <c r="A34" s="5">
        <v>43</v>
      </c>
      <c r="B34" s="1">
        <f t="shared" si="8"/>
        <v>1.8087259495825889</v>
      </c>
      <c r="C34" s="5">
        <f t="shared" si="9"/>
        <v>46372.214035594698</v>
      </c>
      <c r="D34" s="5">
        <f t="shared" si="0"/>
        <v>44402.792337316634</v>
      </c>
      <c r="E34" s="5">
        <f t="shared" si="1"/>
        <v>34902.792337316634</v>
      </c>
      <c r="F34" s="5">
        <f t="shared" si="2"/>
        <v>11737.790931865546</v>
      </c>
      <c r="G34" s="5">
        <f t="shared" si="3"/>
        <v>32665.00140545109</v>
      </c>
      <c r="H34" s="22">
        <f t="shared" si="10"/>
        <v>21218.618784803712</v>
      </c>
      <c r="I34" s="5">
        <f t="shared" si="4"/>
        <v>52525.628588027364</v>
      </c>
      <c r="J34" s="26">
        <f t="shared" si="5"/>
        <v>0.1697524321238639</v>
      </c>
      <c r="L34" s="22">
        <f t="shared" si="11"/>
        <v>62102.190338427048</v>
      </c>
      <c r="M34" s="5">
        <f>scrimecost*Meta!O31</f>
        <v>5390.3460000000005</v>
      </c>
      <c r="N34" s="5">
        <f>L34-Grade12!L34</f>
        <v>615.62769871674391</v>
      </c>
      <c r="O34" s="5">
        <f>Grade12!M34-M34</f>
        <v>41.846999999999753</v>
      </c>
      <c r="P34" s="22">
        <f t="shared" si="12"/>
        <v>51.28799355050139</v>
      </c>
      <c r="Q34" s="22"/>
      <c r="R34" s="22"/>
      <c r="S34" s="22">
        <f t="shared" si="6"/>
        <v>316.16858147113436</v>
      </c>
      <c r="T34" s="22">
        <f t="shared" si="7"/>
        <v>673.49585383286205</v>
      </c>
    </row>
    <row r="35" spans="1:20" x14ac:dyDescent="0.2">
      <c r="A35" s="5">
        <v>44</v>
      </c>
      <c r="B35" s="1">
        <f t="shared" si="8"/>
        <v>1.8539440983221533</v>
      </c>
      <c r="C35" s="5">
        <f t="shared" si="9"/>
        <v>47531.51938648455</v>
      </c>
      <c r="D35" s="5">
        <f t="shared" si="0"/>
        <v>45487.90214574954</v>
      </c>
      <c r="E35" s="5">
        <f t="shared" si="1"/>
        <v>35987.90214574954</v>
      </c>
      <c r="F35" s="5">
        <f t="shared" si="2"/>
        <v>12200.590265162178</v>
      </c>
      <c r="G35" s="5">
        <f t="shared" si="3"/>
        <v>33287.31188058736</v>
      </c>
      <c r="H35" s="22">
        <f t="shared" si="10"/>
        <v>21749.0842544238</v>
      </c>
      <c r="I35" s="5">
        <f t="shared" si="4"/>
        <v>53644.454742728034</v>
      </c>
      <c r="J35" s="26">
        <f t="shared" si="5"/>
        <v>0.17274895661601544</v>
      </c>
      <c r="L35" s="22">
        <f t="shared" si="11"/>
        <v>63654.745096887709</v>
      </c>
      <c r="M35" s="5">
        <f>scrimecost*Meta!O32</f>
        <v>5390.3460000000005</v>
      </c>
      <c r="N35" s="5">
        <f>L35-Grade12!L35</f>
        <v>631.01839118465432</v>
      </c>
      <c r="O35" s="5">
        <f>Grade12!M35-M35</f>
        <v>41.846999999999753</v>
      </c>
      <c r="P35" s="22">
        <f t="shared" si="12"/>
        <v>52.650872397437375</v>
      </c>
      <c r="Q35" s="22"/>
      <c r="R35" s="22"/>
      <c r="S35" s="22">
        <f t="shared" si="6"/>
        <v>323.51956680459256</v>
      </c>
      <c r="T35" s="22">
        <f t="shared" si="7"/>
        <v>710.3189757809962</v>
      </c>
    </row>
    <row r="36" spans="1:20" x14ac:dyDescent="0.2">
      <c r="A36" s="5">
        <v>45</v>
      </c>
      <c r="B36" s="1">
        <f t="shared" si="8"/>
        <v>1.9002927007802071</v>
      </c>
      <c r="C36" s="5">
        <f t="shared" si="9"/>
        <v>48719.807371146664</v>
      </c>
      <c r="D36" s="5">
        <f t="shared" si="0"/>
        <v>46600.139699393279</v>
      </c>
      <c r="E36" s="5">
        <f t="shared" si="1"/>
        <v>37100.139699393279</v>
      </c>
      <c r="F36" s="5">
        <f t="shared" si="2"/>
        <v>12674.959581791234</v>
      </c>
      <c r="G36" s="5">
        <f t="shared" si="3"/>
        <v>33925.180117602045</v>
      </c>
      <c r="H36" s="22">
        <f t="shared" si="10"/>
        <v>22292.811360784395</v>
      </c>
      <c r="I36" s="5">
        <f t="shared" si="4"/>
        <v>54791.251551296242</v>
      </c>
      <c r="J36" s="26">
        <f t="shared" si="5"/>
        <v>0.17567239514494376</v>
      </c>
      <c r="L36" s="22">
        <f t="shared" si="11"/>
        <v>65246.1137243099</v>
      </c>
      <c r="M36" s="5">
        <f>scrimecost*Meta!O33</f>
        <v>4570.5940000000001</v>
      </c>
      <c r="N36" s="5">
        <f>L36-Grade12!L36</f>
        <v>646.79385096426995</v>
      </c>
      <c r="O36" s="5">
        <f>Grade12!M36-M36</f>
        <v>35.483000000000175</v>
      </c>
      <c r="P36" s="22">
        <f t="shared" si="12"/>
        <v>54.047823215546778</v>
      </c>
      <c r="Q36" s="22"/>
      <c r="R36" s="22"/>
      <c r="S36" s="22">
        <f t="shared" si="6"/>
        <v>327.40775477139073</v>
      </c>
      <c r="T36" s="22">
        <f t="shared" si="7"/>
        <v>740.93220943904532</v>
      </c>
    </row>
    <row r="37" spans="1:20" x14ac:dyDescent="0.2">
      <c r="A37" s="5">
        <v>46</v>
      </c>
      <c r="B37" s="1">
        <f t="shared" ref="B37:B56" si="13">(1+experiencepremium)^(A37-startage)</f>
        <v>1.9478000182997122</v>
      </c>
      <c r="C37" s="5">
        <f t="shared" ref="C37:C56" si="14">pretaxincome*B37/expnorm</f>
        <v>49937.802555425325</v>
      </c>
      <c r="D37" s="5">
        <f t="shared" ref="D37:D56" si="15">IF(A37&lt;startage,1,0)*(C37*(1-initialunempprob))+IF(A37=startage,1,0)*(C37*(1-unempprob))+IF(A37&gt;startage,1,0)*(C37*(1-unempprob)+unempprob*300*52)</f>
        <v>47740.183191878103</v>
      </c>
      <c r="E37" s="5">
        <f t="shared" si="1"/>
        <v>38240.183191878103</v>
      </c>
      <c r="F37" s="5">
        <f t="shared" si="2"/>
        <v>13161.188131336012</v>
      </c>
      <c r="G37" s="5">
        <f t="shared" si="3"/>
        <v>34578.995060542089</v>
      </c>
      <c r="H37" s="22">
        <f t="shared" ref="H37:H56" si="16">benefits*B37/expnorm</f>
        <v>22850.131644804005</v>
      </c>
      <c r="I37" s="5">
        <f t="shared" ref="I37:I56" si="17">G37+IF(A37&lt;startage,1,0)*(H37*(1-initialunempprob))+IF(A37&gt;=startage,1,0)*(H37*(1-unempprob))</f>
        <v>55966.71828007864</v>
      </c>
      <c r="J37" s="26">
        <f t="shared" si="5"/>
        <v>0.17852453029511772</v>
      </c>
      <c r="L37" s="22">
        <f t="shared" ref="L37:L56" si="18">(sincome+sbenefits)*(1-sunemp)*B37/expnorm</f>
        <v>66877.266567417639</v>
      </c>
      <c r="M37" s="5">
        <f>scrimecost*Meta!O34</f>
        <v>4570.5940000000001</v>
      </c>
      <c r="N37" s="5">
        <f>L37-Grade12!L37</f>
        <v>662.96369723837415</v>
      </c>
      <c r="O37" s="5">
        <f>Grade12!M37-M37</f>
        <v>35.483000000000175</v>
      </c>
      <c r="P37" s="22">
        <f t="shared" si="12"/>
        <v>55.479697804108895</v>
      </c>
      <c r="Q37" s="22"/>
      <c r="R37" s="22"/>
      <c r="S37" s="22">
        <f t="shared" si="6"/>
        <v>335.13088373735786</v>
      </c>
      <c r="T37" s="22">
        <f t="shared" si="7"/>
        <v>781.70090256727417</v>
      </c>
    </row>
    <row r="38" spans="1:20" x14ac:dyDescent="0.2">
      <c r="A38" s="5">
        <v>47</v>
      </c>
      <c r="B38" s="1">
        <f t="shared" si="13"/>
        <v>1.9964950187572048</v>
      </c>
      <c r="C38" s="5">
        <f t="shared" si="14"/>
        <v>51186.247619310961</v>
      </c>
      <c r="D38" s="5">
        <f t="shared" si="15"/>
        <v>48908.727771675061</v>
      </c>
      <c r="E38" s="5">
        <f t="shared" si="1"/>
        <v>39408.727771675061</v>
      </c>
      <c r="F38" s="5">
        <f t="shared" si="2"/>
        <v>13659.572394619414</v>
      </c>
      <c r="G38" s="5">
        <f t="shared" si="3"/>
        <v>35249.155377055649</v>
      </c>
      <c r="H38" s="22">
        <f t="shared" si="16"/>
        <v>23421.384935924103</v>
      </c>
      <c r="I38" s="5">
        <f t="shared" si="17"/>
        <v>57171.571677080603</v>
      </c>
      <c r="J38" s="26">
        <f t="shared" si="5"/>
        <v>0.18130710117333629</v>
      </c>
      <c r="L38" s="22">
        <f t="shared" si="18"/>
        <v>68549.198231603077</v>
      </c>
      <c r="M38" s="5">
        <f>scrimecost*Meta!O35</f>
        <v>4570.5940000000001</v>
      </c>
      <c r="N38" s="5">
        <f>L38-Grade12!L38</f>
        <v>679.53778966932441</v>
      </c>
      <c r="O38" s="5">
        <f>Grade12!M38-M38</f>
        <v>35.483000000000175</v>
      </c>
      <c r="P38" s="22">
        <f t="shared" si="12"/>
        <v>56.947369257385077</v>
      </c>
      <c r="Q38" s="22"/>
      <c r="R38" s="22"/>
      <c r="S38" s="22">
        <f t="shared" si="6"/>
        <v>343.04709092747123</v>
      </c>
      <c r="T38" s="22">
        <f t="shared" si="7"/>
        <v>824.73903656817708</v>
      </c>
    </row>
    <row r="39" spans="1:20" x14ac:dyDescent="0.2">
      <c r="A39" s="5">
        <v>48</v>
      </c>
      <c r="B39" s="1">
        <f t="shared" si="13"/>
        <v>2.0464073942261352</v>
      </c>
      <c r="C39" s="5">
        <f t="shared" si="14"/>
        <v>52465.903809793737</v>
      </c>
      <c r="D39" s="5">
        <f t="shared" si="15"/>
        <v>50106.485965966938</v>
      </c>
      <c r="E39" s="5">
        <f t="shared" si="1"/>
        <v>40606.485965966938</v>
      </c>
      <c r="F39" s="5">
        <f t="shared" si="2"/>
        <v>14170.4162644849</v>
      </c>
      <c r="G39" s="5">
        <f t="shared" si="3"/>
        <v>35936.06970148204</v>
      </c>
      <c r="H39" s="22">
        <f t="shared" si="16"/>
        <v>24006.919559322207</v>
      </c>
      <c r="I39" s="5">
        <f t="shared" si="17"/>
        <v>58406.546409007628</v>
      </c>
      <c r="J39" s="26">
        <f t="shared" si="5"/>
        <v>0.18402180446915925</v>
      </c>
      <c r="L39" s="22">
        <f t="shared" si="18"/>
        <v>70262.928187393161</v>
      </c>
      <c r="M39" s="5">
        <f>scrimecost*Meta!O36</f>
        <v>4570.5940000000001</v>
      </c>
      <c r="N39" s="5">
        <f>L39-Grade12!L39</f>
        <v>696.52623441106698</v>
      </c>
      <c r="O39" s="5">
        <f>Grade12!M39-M39</f>
        <v>35.483000000000175</v>
      </c>
      <c r="P39" s="22">
        <f t="shared" si="12"/>
        <v>58.451732496993181</v>
      </c>
      <c r="Q39" s="22"/>
      <c r="R39" s="22"/>
      <c r="S39" s="22">
        <f t="shared" si="6"/>
        <v>351.16120329734548</v>
      </c>
      <c r="T39" s="22">
        <f t="shared" si="7"/>
        <v>870.17376875247805</v>
      </c>
    </row>
    <row r="40" spans="1:20" x14ac:dyDescent="0.2">
      <c r="A40" s="5">
        <v>49</v>
      </c>
      <c r="B40" s="1">
        <f t="shared" si="13"/>
        <v>2.097567579081788</v>
      </c>
      <c r="C40" s="5">
        <f t="shared" si="14"/>
        <v>53777.551405038568</v>
      </c>
      <c r="D40" s="5">
        <f t="shared" si="15"/>
        <v>51334.1881151161</v>
      </c>
      <c r="E40" s="5">
        <f t="shared" si="1"/>
        <v>41834.1881151161</v>
      </c>
      <c r="F40" s="5">
        <f t="shared" si="2"/>
        <v>14694.031231097017</v>
      </c>
      <c r="G40" s="5">
        <f t="shared" si="3"/>
        <v>36640.156884019081</v>
      </c>
      <c r="H40" s="22">
        <f t="shared" si="16"/>
        <v>24607.092548305256</v>
      </c>
      <c r="I40" s="5">
        <f t="shared" si="17"/>
        <v>59672.395509232796</v>
      </c>
      <c r="J40" s="26">
        <f t="shared" si="5"/>
        <v>0.18667029548947425</v>
      </c>
      <c r="L40" s="22">
        <f t="shared" si="18"/>
        <v>72019.501392077975</v>
      </c>
      <c r="M40" s="5">
        <f>scrimecost*Meta!O37</f>
        <v>4570.5940000000001</v>
      </c>
      <c r="N40" s="5">
        <f>L40-Grade12!L40</f>
        <v>713.93939027132001</v>
      </c>
      <c r="O40" s="5">
        <f>Grade12!M40-M40</f>
        <v>35.483000000000175</v>
      </c>
      <c r="P40" s="22">
        <f t="shared" si="12"/>
        <v>59.993704817591443</v>
      </c>
      <c r="Q40" s="22"/>
      <c r="R40" s="22"/>
      <c r="S40" s="22">
        <f t="shared" si="6"/>
        <v>359.47816847645242</v>
      </c>
      <c r="T40" s="22">
        <f t="shared" si="7"/>
        <v>918.13940682228395</v>
      </c>
    </row>
    <row r="41" spans="1:20" x14ac:dyDescent="0.2">
      <c r="A41" s="5">
        <v>50</v>
      </c>
      <c r="B41" s="1">
        <f t="shared" si="13"/>
        <v>2.1500067685588333</v>
      </c>
      <c r="C41" s="5">
        <f t="shared" si="14"/>
        <v>55121.99019016455</v>
      </c>
      <c r="D41" s="5">
        <f t="shared" si="15"/>
        <v>52592.582817994014</v>
      </c>
      <c r="E41" s="5">
        <f t="shared" si="1"/>
        <v>43092.582817994014</v>
      </c>
      <c r="F41" s="5">
        <f t="shared" si="2"/>
        <v>15230.736571874446</v>
      </c>
      <c r="G41" s="5">
        <f t="shared" si="3"/>
        <v>37361.846246119567</v>
      </c>
      <c r="H41" s="22">
        <f t="shared" si="16"/>
        <v>25222.269862012894</v>
      </c>
      <c r="I41" s="5">
        <f t="shared" si="17"/>
        <v>60969.890836963634</v>
      </c>
      <c r="J41" s="26">
        <f t="shared" si="5"/>
        <v>0.18925418916783046</v>
      </c>
      <c r="L41" s="22">
        <f t="shared" si="18"/>
        <v>73819.988926879945</v>
      </c>
      <c r="M41" s="5">
        <f>scrimecost*Meta!O38</f>
        <v>3307.6039999999998</v>
      </c>
      <c r="N41" s="5">
        <f>L41-Grade12!L41</f>
        <v>731.78787502813793</v>
      </c>
      <c r="O41" s="5">
        <f>Grade12!M41-M41</f>
        <v>25.677999999999884</v>
      </c>
      <c r="P41" s="22">
        <f t="shared" si="12"/>
        <v>61.574226446204719</v>
      </c>
      <c r="Q41" s="22"/>
      <c r="R41" s="22"/>
      <c r="S41" s="22">
        <f t="shared" ref="S41:S69" si="19">IF(A41&lt;startage,1,0)*(N41-Q41-R41)+IF(A41&gt;=startage,1,0)*completionprob*(N41*spart+O41+P41)</f>
        <v>362.3847927850619</v>
      </c>
      <c r="T41" s="22">
        <f t="shared" ref="T41:T69" si="20">S41/sreturn^(A41-startage+1)</f>
        <v>953.98758010343045</v>
      </c>
    </row>
    <row r="42" spans="1:20" x14ac:dyDescent="0.2">
      <c r="A42" s="5">
        <v>51</v>
      </c>
      <c r="B42" s="1">
        <f t="shared" si="13"/>
        <v>2.2037569377728037</v>
      </c>
      <c r="C42" s="5">
        <f t="shared" si="14"/>
        <v>56500.039944918652</v>
      </c>
      <c r="D42" s="5">
        <f t="shared" si="15"/>
        <v>53882.437388443854</v>
      </c>
      <c r="E42" s="5">
        <f t="shared" si="1"/>
        <v>44382.437388443854</v>
      </c>
      <c r="F42" s="5">
        <f t="shared" si="2"/>
        <v>15780.859546171305</v>
      </c>
      <c r="G42" s="5">
        <f t="shared" si="3"/>
        <v>38101.577842272549</v>
      </c>
      <c r="H42" s="22">
        <f t="shared" si="16"/>
        <v>25852.826608563209</v>
      </c>
      <c r="I42" s="5">
        <f t="shared" si="17"/>
        <v>62299.82354788771</v>
      </c>
      <c r="J42" s="26">
        <f t="shared" si="5"/>
        <v>0.19177506104915354</v>
      </c>
      <c r="L42" s="22">
        <f t="shared" si="18"/>
        <v>75665.488650051935</v>
      </c>
      <c r="M42" s="5">
        <f>scrimecost*Meta!O39</f>
        <v>3307.6039999999998</v>
      </c>
      <c r="N42" s="5">
        <f>L42-Grade12!L42</f>
        <v>750.08257190384029</v>
      </c>
      <c r="O42" s="5">
        <f>Grade12!M42-M42</f>
        <v>25.677999999999884</v>
      </c>
      <c r="P42" s="22">
        <f t="shared" si="12"/>
        <v>63.194261115533287</v>
      </c>
      <c r="Q42" s="22"/>
      <c r="R42" s="22"/>
      <c r="S42" s="22">
        <f t="shared" si="19"/>
        <v>371.12280432637135</v>
      </c>
      <c r="T42" s="22">
        <f t="shared" si="20"/>
        <v>1006.9943781561368</v>
      </c>
    </row>
    <row r="43" spans="1:20" x14ac:dyDescent="0.2">
      <c r="A43" s="5">
        <v>52</v>
      </c>
      <c r="B43" s="1">
        <f t="shared" si="13"/>
        <v>2.2588508612171236</v>
      </c>
      <c r="C43" s="5">
        <f t="shared" si="14"/>
        <v>57912.540943541615</v>
      </c>
      <c r="D43" s="5">
        <f t="shared" si="15"/>
        <v>55204.538323154949</v>
      </c>
      <c r="E43" s="5">
        <f t="shared" si="1"/>
        <v>45704.538323154949</v>
      </c>
      <c r="F43" s="5">
        <f t="shared" si="2"/>
        <v>16344.735594825586</v>
      </c>
      <c r="G43" s="5">
        <f t="shared" si="3"/>
        <v>38859.802728329363</v>
      </c>
      <c r="H43" s="22">
        <f t="shared" si="16"/>
        <v>26499.147273777293</v>
      </c>
      <c r="I43" s="5">
        <f t="shared" si="17"/>
        <v>63663.004576584906</v>
      </c>
      <c r="J43" s="26">
        <f t="shared" si="5"/>
        <v>0.19423444825044436</v>
      </c>
      <c r="L43" s="22">
        <f t="shared" si="18"/>
        <v>77557.125866303235</v>
      </c>
      <c r="M43" s="5">
        <f>scrimecost*Meta!O40</f>
        <v>3307.6039999999998</v>
      </c>
      <c r="N43" s="5">
        <f>L43-Grade12!L43</f>
        <v>768.8346362014272</v>
      </c>
      <c r="O43" s="5">
        <f>Grade12!M43-M43</f>
        <v>25.677999999999884</v>
      </c>
      <c r="P43" s="22">
        <f t="shared" si="12"/>
        <v>64.85479665159508</v>
      </c>
      <c r="Q43" s="22"/>
      <c r="R43" s="22"/>
      <c r="S43" s="22">
        <f t="shared" si="19"/>
        <v>380.07926615621011</v>
      </c>
      <c r="T43" s="22">
        <f t="shared" si="20"/>
        <v>1062.9681022053496</v>
      </c>
    </row>
    <row r="44" spans="1:20" x14ac:dyDescent="0.2">
      <c r="A44" s="5">
        <v>53</v>
      </c>
      <c r="B44" s="1">
        <f t="shared" si="13"/>
        <v>2.3153221327475517</v>
      </c>
      <c r="C44" s="5">
        <f t="shared" si="14"/>
        <v>59360.354467130157</v>
      </c>
      <c r="D44" s="5">
        <f t="shared" si="15"/>
        <v>56559.691781233822</v>
      </c>
      <c r="E44" s="5">
        <f t="shared" si="1"/>
        <v>47059.691781233822</v>
      </c>
      <c r="F44" s="5">
        <f t="shared" si="2"/>
        <v>16922.708544696223</v>
      </c>
      <c r="G44" s="5">
        <f t="shared" si="3"/>
        <v>39636.983236537599</v>
      </c>
      <c r="H44" s="22">
        <f t="shared" si="16"/>
        <v>27161.625955621723</v>
      </c>
      <c r="I44" s="5">
        <f t="shared" si="17"/>
        <v>65060.265130999527</v>
      </c>
      <c r="J44" s="26">
        <f t="shared" si="5"/>
        <v>0.19663385039804515</v>
      </c>
      <c r="L44" s="22">
        <f t="shared" si="18"/>
        <v>79496.054012960798</v>
      </c>
      <c r="M44" s="5">
        <f>scrimecost*Meta!O41</f>
        <v>3307.6039999999998</v>
      </c>
      <c r="N44" s="5">
        <f>L44-Grade12!L44</f>
        <v>788.0555021064647</v>
      </c>
      <c r="O44" s="5">
        <f>Grade12!M44-M44</f>
        <v>25.677999999999884</v>
      </c>
      <c r="P44" s="22">
        <f t="shared" si="12"/>
        <v>66.556845576058407</v>
      </c>
      <c r="Q44" s="22"/>
      <c r="R44" s="22"/>
      <c r="S44" s="22">
        <f t="shared" si="19"/>
        <v>389.25963953179951</v>
      </c>
      <c r="T44" s="22">
        <f t="shared" si="20"/>
        <v>1122.0754956900371</v>
      </c>
    </row>
    <row r="45" spans="1:20" x14ac:dyDescent="0.2">
      <c r="A45" s="5">
        <v>54</v>
      </c>
      <c r="B45" s="1">
        <f t="shared" si="13"/>
        <v>2.3732051860662402</v>
      </c>
      <c r="C45" s="5">
        <f t="shared" si="14"/>
        <v>60844.363328808395</v>
      </c>
      <c r="D45" s="5">
        <f t="shared" si="15"/>
        <v>57948.724075764658</v>
      </c>
      <c r="E45" s="5">
        <f t="shared" si="1"/>
        <v>48448.724075764658</v>
      </c>
      <c r="F45" s="5">
        <f t="shared" si="2"/>
        <v>17515.130818313628</v>
      </c>
      <c r="G45" s="5">
        <f t="shared" si="3"/>
        <v>40433.59325745103</v>
      </c>
      <c r="H45" s="22">
        <f t="shared" si="16"/>
        <v>27840.666604512262</v>
      </c>
      <c r="I45" s="5">
        <f t="shared" si="17"/>
        <v>66492.457199274504</v>
      </c>
      <c r="J45" s="26">
        <f t="shared" si="5"/>
        <v>0.19897473054204595</v>
      </c>
      <c r="L45" s="22">
        <f t="shared" si="18"/>
        <v>81483.455363284811</v>
      </c>
      <c r="M45" s="5">
        <f>scrimecost*Meta!O42</f>
        <v>3307.6039999999998</v>
      </c>
      <c r="N45" s="5">
        <f>L45-Grade12!L45</f>
        <v>807.75688965912559</v>
      </c>
      <c r="O45" s="5">
        <f>Grade12!M45-M45</f>
        <v>25.677999999999884</v>
      </c>
      <c r="P45" s="22">
        <f t="shared" si="12"/>
        <v>68.301445723633321</v>
      </c>
      <c r="Q45" s="22"/>
      <c r="R45" s="22"/>
      <c r="S45" s="22">
        <f t="shared" si="19"/>
        <v>398.6695222417776</v>
      </c>
      <c r="T45" s="22">
        <f t="shared" si="20"/>
        <v>1184.4926941328356</v>
      </c>
    </row>
    <row r="46" spans="1:20" x14ac:dyDescent="0.2">
      <c r="A46" s="5">
        <v>55</v>
      </c>
      <c r="B46" s="1">
        <f t="shared" si="13"/>
        <v>2.4325353157178964</v>
      </c>
      <c r="C46" s="5">
        <f t="shared" si="14"/>
        <v>62365.472412028619</v>
      </c>
      <c r="D46" s="5">
        <f t="shared" si="15"/>
        <v>59372.482177658785</v>
      </c>
      <c r="E46" s="5">
        <f t="shared" si="1"/>
        <v>49872.482177658785</v>
      </c>
      <c r="F46" s="5">
        <f t="shared" si="2"/>
        <v>18122.363648771472</v>
      </c>
      <c r="G46" s="5">
        <f t="shared" si="3"/>
        <v>41250.118528887309</v>
      </c>
      <c r="H46" s="22">
        <f t="shared" si="16"/>
        <v>28536.683269625068</v>
      </c>
      <c r="I46" s="5">
        <f t="shared" si="17"/>
        <v>67960.454069256375</v>
      </c>
      <c r="J46" s="26">
        <f t="shared" si="5"/>
        <v>0.20125851604838818</v>
      </c>
      <c r="L46" s="22">
        <f t="shared" si="18"/>
        <v>83520.541747366951</v>
      </c>
      <c r="M46" s="5">
        <f>scrimecost*Meta!O43</f>
        <v>1977.8899999999999</v>
      </c>
      <c r="N46" s="5">
        <f>L46-Grade12!L46</f>
        <v>827.95081190062047</v>
      </c>
      <c r="O46" s="5">
        <f>Grade12!M46-M46</f>
        <v>15.355000000000018</v>
      </c>
      <c r="P46" s="22">
        <f t="shared" si="12"/>
        <v>70.089660874897646</v>
      </c>
      <c r="Q46" s="22"/>
      <c r="R46" s="22"/>
      <c r="S46" s="22">
        <f t="shared" si="19"/>
        <v>402.39957301951267</v>
      </c>
      <c r="T46" s="22">
        <f t="shared" si="20"/>
        <v>1232.2916636681662</v>
      </c>
    </row>
    <row r="47" spans="1:20" x14ac:dyDescent="0.2">
      <c r="A47" s="5">
        <v>56</v>
      </c>
      <c r="B47" s="1">
        <f t="shared" si="13"/>
        <v>2.4933486986108435</v>
      </c>
      <c r="C47" s="5">
        <f t="shared" si="14"/>
        <v>63924.609222329324</v>
      </c>
      <c r="D47" s="5">
        <f t="shared" si="15"/>
        <v>60831.834232100242</v>
      </c>
      <c r="E47" s="5">
        <f t="shared" si="1"/>
        <v>51331.834232100242</v>
      </c>
      <c r="F47" s="5">
        <f t="shared" si="2"/>
        <v>18744.777299990754</v>
      </c>
      <c r="G47" s="5">
        <f t="shared" si="3"/>
        <v>42087.056932109488</v>
      </c>
      <c r="H47" s="22">
        <f t="shared" si="16"/>
        <v>29250.100351365694</v>
      </c>
      <c r="I47" s="5">
        <f t="shared" si="17"/>
        <v>69465.150860987778</v>
      </c>
      <c r="J47" s="26">
        <f t="shared" si="5"/>
        <v>0.20348659946920983</v>
      </c>
      <c r="L47" s="22">
        <f t="shared" si="18"/>
        <v>85608.555291051103</v>
      </c>
      <c r="M47" s="5">
        <f>scrimecost*Meta!O44</f>
        <v>1977.8899999999999</v>
      </c>
      <c r="N47" s="5">
        <f>L47-Grade12!L47</f>
        <v>848.64958219812252</v>
      </c>
      <c r="O47" s="5">
        <f>Grade12!M47-M47</f>
        <v>15.355000000000018</v>
      </c>
      <c r="P47" s="22">
        <f t="shared" si="12"/>
        <v>71.922581404943529</v>
      </c>
      <c r="Q47" s="22"/>
      <c r="R47" s="22"/>
      <c r="S47" s="22">
        <f t="shared" si="19"/>
        <v>412.28583104167819</v>
      </c>
      <c r="T47" s="22">
        <f t="shared" si="20"/>
        <v>1301.3408346017216</v>
      </c>
    </row>
    <row r="48" spans="1:20" x14ac:dyDescent="0.2">
      <c r="A48" s="5">
        <v>57</v>
      </c>
      <c r="B48" s="1">
        <f t="shared" si="13"/>
        <v>2.555682416076114</v>
      </c>
      <c r="C48" s="5">
        <f t="shared" si="14"/>
        <v>65522.724452887545</v>
      </c>
      <c r="D48" s="5">
        <f t="shared" si="15"/>
        <v>62327.670087902741</v>
      </c>
      <c r="E48" s="5">
        <f t="shared" si="1"/>
        <v>52827.670087902741</v>
      </c>
      <c r="F48" s="5">
        <f t="shared" si="2"/>
        <v>19382.75129249052</v>
      </c>
      <c r="G48" s="5">
        <f t="shared" si="3"/>
        <v>42944.918795412217</v>
      </c>
      <c r="H48" s="22">
        <f t="shared" si="16"/>
        <v>29981.352860149829</v>
      </c>
      <c r="I48" s="5">
        <f t="shared" si="17"/>
        <v>71007.465072512452</v>
      </c>
      <c r="J48" s="26">
        <f t="shared" si="5"/>
        <v>0.20566033939196271</v>
      </c>
      <c r="L48" s="22">
        <f t="shared" si="18"/>
        <v>87748.769173327353</v>
      </c>
      <c r="M48" s="5">
        <f>scrimecost*Meta!O45</f>
        <v>1977.8899999999999</v>
      </c>
      <c r="N48" s="5">
        <f>L48-Grade12!L48</f>
        <v>869.86582175304648</v>
      </c>
      <c r="O48" s="5">
        <f>Grade12!M48-M48</f>
        <v>15.355000000000018</v>
      </c>
      <c r="P48" s="22">
        <f t="shared" si="12"/>
        <v>73.801324948240563</v>
      </c>
      <c r="Q48" s="22"/>
      <c r="R48" s="22"/>
      <c r="S48" s="22">
        <f t="shared" si="19"/>
        <v>422.41924551439104</v>
      </c>
      <c r="T48" s="22">
        <f t="shared" si="20"/>
        <v>1374.272933524358</v>
      </c>
    </row>
    <row r="49" spans="1:20" x14ac:dyDescent="0.2">
      <c r="A49" s="5">
        <v>58</v>
      </c>
      <c r="B49" s="1">
        <f t="shared" si="13"/>
        <v>2.6195744764780171</v>
      </c>
      <c r="C49" s="5">
        <f t="shared" si="14"/>
        <v>67160.79256420974</v>
      </c>
      <c r="D49" s="5">
        <f t="shared" si="15"/>
        <v>63860.901840100312</v>
      </c>
      <c r="E49" s="5">
        <f t="shared" si="1"/>
        <v>54360.901840100312</v>
      </c>
      <c r="F49" s="5">
        <f t="shared" si="2"/>
        <v>20036.674634802781</v>
      </c>
      <c r="G49" s="5">
        <f t="shared" si="3"/>
        <v>43824.227205297531</v>
      </c>
      <c r="H49" s="22">
        <f t="shared" si="16"/>
        <v>30730.886681653577</v>
      </c>
      <c r="I49" s="5">
        <f t="shared" si="17"/>
        <v>72588.337139325275</v>
      </c>
      <c r="J49" s="26">
        <f t="shared" si="5"/>
        <v>0.20778106126781912</v>
      </c>
      <c r="L49" s="22">
        <f t="shared" si="18"/>
        <v>89942.488402660558</v>
      </c>
      <c r="M49" s="5">
        <f>scrimecost*Meta!O46</f>
        <v>1977.8899999999999</v>
      </c>
      <c r="N49" s="5">
        <f>L49-Grade12!L49</f>
        <v>891.61246729690174</v>
      </c>
      <c r="O49" s="5">
        <f>Grade12!M49-M49</f>
        <v>15.355000000000018</v>
      </c>
      <c r="P49" s="22">
        <f t="shared" si="12"/>
        <v>75.727037080120041</v>
      </c>
      <c r="Q49" s="22"/>
      <c r="R49" s="22"/>
      <c r="S49" s="22">
        <f t="shared" si="19"/>
        <v>432.80599534894662</v>
      </c>
      <c r="T49" s="22">
        <f t="shared" si="20"/>
        <v>1451.3067437952657</v>
      </c>
    </row>
    <row r="50" spans="1:20" x14ac:dyDescent="0.2">
      <c r="A50" s="5">
        <v>59</v>
      </c>
      <c r="B50" s="1">
        <f t="shared" si="13"/>
        <v>2.6850638383899672</v>
      </c>
      <c r="C50" s="5">
        <f t="shared" si="14"/>
        <v>68839.812378314979</v>
      </c>
      <c r="D50" s="5">
        <f t="shared" si="15"/>
        <v>65432.464386102816</v>
      </c>
      <c r="E50" s="5">
        <f t="shared" si="1"/>
        <v>55932.464386102816</v>
      </c>
      <c r="F50" s="5">
        <f t="shared" si="2"/>
        <v>20706.946060672853</v>
      </c>
      <c r="G50" s="5">
        <f t="shared" si="3"/>
        <v>44725.518325429963</v>
      </c>
      <c r="H50" s="22">
        <f t="shared" si="16"/>
        <v>31499.158848694915</v>
      </c>
      <c r="I50" s="5">
        <f t="shared" si="17"/>
        <v>74208.731007808397</v>
      </c>
      <c r="J50" s="26">
        <f t="shared" si="5"/>
        <v>0.20985005821987424</v>
      </c>
      <c r="L50" s="22">
        <f t="shared" si="18"/>
        <v>92191.050612727064</v>
      </c>
      <c r="M50" s="5">
        <f>scrimecost*Meta!O47</f>
        <v>1977.8899999999999</v>
      </c>
      <c r="N50" s="5">
        <f>L50-Grade12!L50</f>
        <v>913.9027789793181</v>
      </c>
      <c r="O50" s="5">
        <f>Grade12!M50-M50</f>
        <v>15.355000000000018</v>
      </c>
      <c r="P50" s="22">
        <f t="shared" si="12"/>
        <v>77.700892015296503</v>
      </c>
      <c r="Q50" s="22"/>
      <c r="R50" s="22"/>
      <c r="S50" s="22">
        <f t="shared" si="19"/>
        <v>443.45241392935111</v>
      </c>
      <c r="T50" s="22">
        <f t="shared" si="20"/>
        <v>1532.6733893671246</v>
      </c>
    </row>
    <row r="51" spans="1:20" x14ac:dyDescent="0.2">
      <c r="A51" s="5">
        <v>60</v>
      </c>
      <c r="B51" s="1">
        <f t="shared" si="13"/>
        <v>2.7521904343497163</v>
      </c>
      <c r="C51" s="5">
        <f t="shared" si="14"/>
        <v>70560.807687772845</v>
      </c>
      <c r="D51" s="5">
        <f t="shared" si="15"/>
        <v>67043.315995755373</v>
      </c>
      <c r="E51" s="5">
        <f t="shared" si="1"/>
        <v>57543.315995755373</v>
      </c>
      <c r="F51" s="5">
        <f t="shared" si="2"/>
        <v>21393.974272189665</v>
      </c>
      <c r="G51" s="5">
        <f t="shared" si="3"/>
        <v>45649.341723565711</v>
      </c>
      <c r="H51" s="22">
        <f t="shared" si="16"/>
        <v>32286.637819912285</v>
      </c>
      <c r="I51" s="5">
        <f t="shared" si="17"/>
        <v>75869.634723003604</v>
      </c>
      <c r="J51" s="26">
        <f t="shared" si="5"/>
        <v>0.21186859183163523</v>
      </c>
      <c r="L51" s="22">
        <f t="shared" si="18"/>
        <v>94495.826878045234</v>
      </c>
      <c r="M51" s="5">
        <f>scrimecost*Meta!O48</f>
        <v>1086.6480000000001</v>
      </c>
      <c r="N51" s="5">
        <f>L51-Grade12!L51</f>
        <v>936.75034845380287</v>
      </c>
      <c r="O51" s="5">
        <f>Grade12!M51-M51</f>
        <v>8.4359999999999218</v>
      </c>
      <c r="P51" s="22">
        <f t="shared" si="12"/>
        <v>79.724093323852358</v>
      </c>
      <c r="Q51" s="22"/>
      <c r="R51" s="22"/>
      <c r="S51" s="22">
        <f t="shared" si="19"/>
        <v>450.40040597426895</v>
      </c>
      <c r="T51" s="22">
        <f t="shared" si="20"/>
        <v>1604.4936984026965</v>
      </c>
    </row>
    <row r="52" spans="1:20" x14ac:dyDescent="0.2">
      <c r="A52" s="5">
        <v>61</v>
      </c>
      <c r="B52" s="1">
        <f t="shared" si="13"/>
        <v>2.8209951952084591</v>
      </c>
      <c r="C52" s="5">
        <f t="shared" si="14"/>
        <v>72324.827879967168</v>
      </c>
      <c r="D52" s="5">
        <f t="shared" si="15"/>
        <v>68694.438895649262</v>
      </c>
      <c r="E52" s="5">
        <f t="shared" si="1"/>
        <v>59194.438895649262</v>
      </c>
      <c r="F52" s="5">
        <f t="shared" si="2"/>
        <v>22098.17818899441</v>
      </c>
      <c r="G52" s="5">
        <f t="shared" si="3"/>
        <v>46596.260706654852</v>
      </c>
      <c r="H52" s="22">
        <f t="shared" si="16"/>
        <v>33093.803765410092</v>
      </c>
      <c r="I52" s="5">
        <f t="shared" si="17"/>
        <v>77572.061031078687</v>
      </c>
      <c r="J52" s="26">
        <f t="shared" si="5"/>
        <v>0.21383789291628019</v>
      </c>
      <c r="L52" s="22">
        <f t="shared" si="18"/>
        <v>96858.222549996353</v>
      </c>
      <c r="M52" s="5">
        <f>scrimecost*Meta!O49</f>
        <v>1086.6480000000001</v>
      </c>
      <c r="N52" s="5">
        <f>L52-Grade12!L52</f>
        <v>960.16910716514394</v>
      </c>
      <c r="O52" s="5">
        <f>Grade12!M52-M52</f>
        <v>8.4359999999999218</v>
      </c>
      <c r="P52" s="22">
        <f t="shared" si="12"/>
        <v>81.797874665122137</v>
      </c>
      <c r="Q52" s="22"/>
      <c r="R52" s="22"/>
      <c r="S52" s="22">
        <f t="shared" si="19"/>
        <v>461.58579949530736</v>
      </c>
      <c r="T52" s="22">
        <f t="shared" si="20"/>
        <v>1694.8385376785066</v>
      </c>
    </row>
    <row r="53" spans="1:20" x14ac:dyDescent="0.2">
      <c r="A53" s="5">
        <v>62</v>
      </c>
      <c r="B53" s="1">
        <f t="shared" si="13"/>
        <v>2.8915200750886707</v>
      </c>
      <c r="C53" s="5">
        <f t="shared" si="14"/>
        <v>74132.948576966344</v>
      </c>
      <c r="D53" s="5">
        <f t="shared" si="15"/>
        <v>70386.839868040493</v>
      </c>
      <c r="E53" s="5">
        <f t="shared" si="1"/>
        <v>60886.839868040493</v>
      </c>
      <c r="F53" s="5">
        <f t="shared" si="2"/>
        <v>22819.987203719269</v>
      </c>
      <c r="G53" s="5">
        <f t="shared" si="3"/>
        <v>47566.852664321224</v>
      </c>
      <c r="H53" s="22">
        <f t="shared" si="16"/>
        <v>33921.148859545348</v>
      </c>
      <c r="I53" s="5">
        <f t="shared" si="17"/>
        <v>79317.047996855661</v>
      </c>
      <c r="J53" s="26">
        <f t="shared" si="5"/>
        <v>0.21575916226715328</v>
      </c>
      <c r="L53" s="22">
        <f t="shared" si="18"/>
        <v>99279.678113746268</v>
      </c>
      <c r="M53" s="5">
        <f>scrimecost*Meta!O50</f>
        <v>1086.6480000000001</v>
      </c>
      <c r="N53" s="5">
        <f>L53-Grade12!L53</f>
        <v>984.17333484427945</v>
      </c>
      <c r="O53" s="5">
        <f>Grade12!M53-M53</f>
        <v>8.4359999999999218</v>
      </c>
      <c r="P53" s="22">
        <f t="shared" si="12"/>
        <v>83.923500539923651</v>
      </c>
      <c r="Q53" s="22"/>
      <c r="R53" s="22"/>
      <c r="S53" s="22">
        <f t="shared" si="19"/>
        <v>473.05082785437639</v>
      </c>
      <c r="T53" s="22">
        <f t="shared" si="20"/>
        <v>1790.2774712619193</v>
      </c>
    </row>
    <row r="54" spans="1:20" x14ac:dyDescent="0.2">
      <c r="A54" s="5">
        <v>63</v>
      </c>
      <c r="B54" s="1">
        <f t="shared" si="13"/>
        <v>2.9638080769658868</v>
      </c>
      <c r="C54" s="5">
        <f t="shared" si="14"/>
        <v>75986.272291390473</v>
      </c>
      <c r="D54" s="5">
        <f t="shared" si="15"/>
        <v>72121.550864741468</v>
      </c>
      <c r="E54" s="5">
        <f t="shared" si="1"/>
        <v>62621.550864741468</v>
      </c>
      <c r="F54" s="5">
        <f t="shared" si="2"/>
        <v>23559.841443812235</v>
      </c>
      <c r="G54" s="5">
        <f t="shared" si="3"/>
        <v>48561.709420929234</v>
      </c>
      <c r="H54" s="22">
        <f t="shared" si="16"/>
        <v>34769.177581033975</v>
      </c>
      <c r="I54" s="5">
        <f t="shared" si="17"/>
        <v>81105.65963677704</v>
      </c>
      <c r="J54" s="26">
        <f t="shared" si="5"/>
        <v>0.21763357138995623</v>
      </c>
      <c r="L54" s="22">
        <f t="shared" si="18"/>
        <v>101761.6700665899</v>
      </c>
      <c r="M54" s="5">
        <f>scrimecost*Meta!O51</f>
        <v>1086.6480000000001</v>
      </c>
      <c r="N54" s="5">
        <f>L54-Grade12!L54</f>
        <v>1008.7776682153635</v>
      </c>
      <c r="O54" s="5">
        <f>Grade12!M54-M54</f>
        <v>8.4359999999999218</v>
      </c>
      <c r="P54" s="22">
        <f t="shared" si="12"/>
        <v>86.102267061595171</v>
      </c>
      <c r="Q54" s="22"/>
      <c r="R54" s="22"/>
      <c r="S54" s="22">
        <f t="shared" si="19"/>
        <v>484.80248192240941</v>
      </c>
      <c r="T54" s="22">
        <f t="shared" si="20"/>
        <v>1891.0979457145525</v>
      </c>
    </row>
    <row r="55" spans="1:20" x14ac:dyDescent="0.2">
      <c r="A55" s="5">
        <v>64</v>
      </c>
      <c r="B55" s="1">
        <f t="shared" si="13"/>
        <v>3.0379032788900342</v>
      </c>
      <c r="C55" s="5">
        <f t="shared" si="14"/>
        <v>77885.92909867526</v>
      </c>
      <c r="D55" s="5">
        <f t="shared" si="15"/>
        <v>73899.629636360027</v>
      </c>
      <c r="E55" s="5">
        <f t="shared" si="1"/>
        <v>64399.629636360027</v>
      </c>
      <c r="F55" s="5">
        <f t="shared" si="2"/>
        <v>24318.192039907553</v>
      </c>
      <c r="G55" s="5">
        <f t="shared" si="3"/>
        <v>49581.437596452473</v>
      </c>
      <c r="H55" s="22">
        <f t="shared" si="16"/>
        <v>35638.407020559825</v>
      </c>
      <c r="I55" s="5">
        <f t="shared" si="17"/>
        <v>82938.986567696469</v>
      </c>
      <c r="J55" s="26">
        <f t="shared" si="5"/>
        <v>0.21946226321708118</v>
      </c>
      <c r="L55" s="22">
        <f t="shared" si="18"/>
        <v>104305.71181825465</v>
      </c>
      <c r="M55" s="5">
        <f>scrimecost*Meta!O52</f>
        <v>1086.6480000000001</v>
      </c>
      <c r="N55" s="5">
        <f>L55-Grade12!L55</f>
        <v>1033.997109920776</v>
      </c>
      <c r="O55" s="5">
        <f>Grade12!M55-M55</f>
        <v>8.4359999999999218</v>
      </c>
      <c r="P55" s="22">
        <f t="shared" si="12"/>
        <v>88.335502746308535</v>
      </c>
      <c r="Q55" s="22"/>
      <c r="R55" s="22"/>
      <c r="S55" s="22">
        <f t="shared" si="19"/>
        <v>496.84792734216512</v>
      </c>
      <c r="T55" s="22">
        <f t="shared" si="20"/>
        <v>1997.6036341090985</v>
      </c>
    </row>
    <row r="56" spans="1:20" x14ac:dyDescent="0.2">
      <c r="A56" s="5">
        <v>65</v>
      </c>
      <c r="B56" s="1">
        <f t="shared" si="13"/>
        <v>3.1138508608622844</v>
      </c>
      <c r="C56" s="5">
        <f t="shared" si="14"/>
        <v>79833.077326142113</v>
      </c>
      <c r="D56" s="5">
        <f t="shared" si="15"/>
        <v>75722.160377269014</v>
      </c>
      <c r="E56" s="5">
        <f t="shared" si="1"/>
        <v>66222.160377269014</v>
      </c>
      <c r="F56" s="5">
        <f t="shared" si="2"/>
        <v>25095.501400905236</v>
      </c>
      <c r="G56" s="5">
        <f t="shared" si="3"/>
        <v>50626.658976363775</v>
      </c>
      <c r="H56" s="22">
        <f t="shared" si="16"/>
        <v>36529.367196073814</v>
      </c>
      <c r="I56" s="5">
        <f t="shared" si="17"/>
        <v>84818.146671888855</v>
      </c>
      <c r="J56" s="26">
        <f t="shared" si="5"/>
        <v>0.22124635280452012</v>
      </c>
      <c r="L56" s="22">
        <f t="shared" si="18"/>
        <v>106913.354613711</v>
      </c>
      <c r="M56" s="5">
        <f>scrimecost*Meta!O53</f>
        <v>343.15199999999999</v>
      </c>
      <c r="N56" s="5">
        <f>L56-Grade12!L56</f>
        <v>1059.8470376687474</v>
      </c>
      <c r="O56" s="5">
        <f>Grade12!M56-M56</f>
        <v>2.6639999999999873</v>
      </c>
      <c r="P56" s="22">
        <f t="shared" si="12"/>
        <v>90.624569323139696</v>
      </c>
      <c r="Q56" s="22"/>
      <c r="R56" s="22"/>
      <c r="S56" s="22">
        <f t="shared" si="19"/>
        <v>505.88715289738224</v>
      </c>
      <c r="T56" s="22">
        <f t="shared" si="20"/>
        <v>2096.4095825292957</v>
      </c>
    </row>
    <row r="57" spans="1:20" x14ac:dyDescent="0.2">
      <c r="A57" s="5">
        <v>66</v>
      </c>
      <c r="C57" s="5"/>
      <c r="H57" s="21"/>
      <c r="I57" s="5"/>
      <c r="M57" s="5">
        <f>scrimecost*Meta!O54</f>
        <v>343.15199999999999</v>
      </c>
      <c r="N57" s="5">
        <f>L57-Grade12!L57</f>
        <v>0</v>
      </c>
      <c r="O57" s="5">
        <f>Grade12!M57-M57</f>
        <v>2.6639999999999873</v>
      </c>
      <c r="Q57" s="22"/>
      <c r="R57" s="22"/>
      <c r="S57" s="22">
        <f t="shared" si="19"/>
        <v>1.5264719999999925</v>
      </c>
      <c r="T57" s="22">
        <f t="shared" si="20"/>
        <v>6.5200057194515475</v>
      </c>
    </row>
    <row r="58" spans="1:20" x14ac:dyDescent="0.2">
      <c r="A58" s="5">
        <v>67</v>
      </c>
      <c r="C58" s="5"/>
      <c r="H58" s="21"/>
      <c r="I58" s="5"/>
      <c r="M58" s="5">
        <f>scrimecost*Meta!O55</f>
        <v>343.15199999999999</v>
      </c>
      <c r="N58" s="5">
        <f>L58-Grade12!L58</f>
        <v>0</v>
      </c>
      <c r="O58" s="5">
        <f>Grade12!M58-M58</f>
        <v>2.6639999999999873</v>
      </c>
      <c r="Q58" s="22"/>
      <c r="R58" s="22"/>
      <c r="S58" s="22">
        <f t="shared" si="19"/>
        <v>1.5264719999999925</v>
      </c>
      <c r="T58" s="22">
        <f t="shared" si="20"/>
        <v>6.7202375557067171</v>
      </c>
    </row>
    <row r="59" spans="1:20" x14ac:dyDescent="0.2">
      <c r="A59" s="5">
        <v>68</v>
      </c>
      <c r="H59" s="21"/>
      <c r="I59" s="5"/>
      <c r="M59" s="5">
        <f>scrimecost*Meta!O56</f>
        <v>343.15199999999999</v>
      </c>
      <c r="N59" s="5">
        <f>L59-Grade12!L59</f>
        <v>0</v>
      </c>
      <c r="O59" s="5">
        <f>Grade12!M59-M59</f>
        <v>2.6639999999999873</v>
      </c>
      <c r="Q59" s="22"/>
      <c r="R59" s="22"/>
      <c r="S59" s="22">
        <f t="shared" si="19"/>
        <v>1.5264719999999925</v>
      </c>
      <c r="T59" s="22">
        <f t="shared" si="20"/>
        <v>6.9266185872195711</v>
      </c>
    </row>
    <row r="60" spans="1:20" x14ac:dyDescent="0.2">
      <c r="A60" s="5">
        <v>69</v>
      </c>
      <c r="H60" s="21"/>
      <c r="I60" s="5"/>
      <c r="M60" s="5">
        <f>scrimecost*Meta!O57</f>
        <v>343.15199999999999</v>
      </c>
      <c r="N60" s="5">
        <f>L60-Grade12!L60</f>
        <v>0</v>
      </c>
      <c r="O60" s="5">
        <f>Grade12!M60-M60</f>
        <v>2.6639999999999873</v>
      </c>
      <c r="Q60" s="22"/>
      <c r="R60" s="22"/>
      <c r="S60" s="22">
        <f t="shared" si="19"/>
        <v>1.5264719999999925</v>
      </c>
      <c r="T60" s="22">
        <f t="shared" si="20"/>
        <v>7.1393376580971406</v>
      </c>
    </row>
    <row r="61" spans="1:20" x14ac:dyDescent="0.2">
      <c r="A61" s="5">
        <v>70</v>
      </c>
      <c r="H61" s="21"/>
      <c r="I61" s="5"/>
      <c r="M61" s="5">
        <f>scrimecost*Meta!O58</f>
        <v>343.15199999999999</v>
      </c>
      <c r="N61" s="5">
        <f>L61-Grade12!L61</f>
        <v>0</v>
      </c>
      <c r="O61" s="5">
        <f>Grade12!M61-M61</f>
        <v>2.6639999999999873</v>
      </c>
      <c r="Q61" s="22"/>
      <c r="R61" s="22"/>
      <c r="S61" s="22">
        <f t="shared" si="19"/>
        <v>1.5264719999999925</v>
      </c>
      <c r="T61" s="22">
        <f t="shared" si="20"/>
        <v>7.3585894119202537</v>
      </c>
    </row>
    <row r="62" spans="1:20" x14ac:dyDescent="0.2">
      <c r="A62" s="5">
        <v>71</v>
      </c>
      <c r="H62" s="21"/>
      <c r="I62" s="5"/>
      <c r="M62" s="5">
        <f>scrimecost*Meta!O59</f>
        <v>343.15199999999999</v>
      </c>
      <c r="N62" s="5">
        <f>L62-Grade12!L62</f>
        <v>0</v>
      </c>
      <c r="O62" s="5">
        <f>Grade12!M62-M62</f>
        <v>2.6639999999999873</v>
      </c>
      <c r="Q62" s="22"/>
      <c r="R62" s="22"/>
      <c r="S62" s="22">
        <f t="shared" si="19"/>
        <v>1.5264719999999925</v>
      </c>
      <c r="T62" s="22">
        <f t="shared" si="20"/>
        <v>7.5845744698475626</v>
      </c>
    </row>
    <row r="63" spans="1:20" x14ac:dyDescent="0.2">
      <c r="A63" s="5">
        <v>72</v>
      </c>
      <c r="H63" s="21"/>
      <c r="M63" s="5">
        <f>scrimecost*Meta!O60</f>
        <v>343.15199999999999</v>
      </c>
      <c r="N63" s="5">
        <f>L63-Grade12!L63</f>
        <v>0</v>
      </c>
      <c r="O63" s="5">
        <f>Grade12!M63-M63</f>
        <v>2.6639999999999873</v>
      </c>
      <c r="Q63" s="22"/>
      <c r="R63" s="22"/>
      <c r="S63" s="22">
        <f t="shared" si="19"/>
        <v>1.5264719999999925</v>
      </c>
      <c r="T63" s="22">
        <f t="shared" si="20"/>
        <v>7.8174996141892175</v>
      </c>
    </row>
    <row r="64" spans="1:20" x14ac:dyDescent="0.2">
      <c r="A64" s="5">
        <v>73</v>
      </c>
      <c r="H64" s="21"/>
      <c r="M64" s="5">
        <f>scrimecost*Meta!O61</f>
        <v>343.15199999999999</v>
      </c>
      <c r="N64" s="5">
        <f>L64-Grade12!L64</f>
        <v>0</v>
      </c>
      <c r="O64" s="5">
        <f>Grade12!M64-M64</f>
        <v>2.6639999999999873</v>
      </c>
      <c r="Q64" s="22"/>
      <c r="R64" s="22"/>
      <c r="S64" s="22">
        <f t="shared" si="19"/>
        <v>1.5264719999999925</v>
      </c>
      <c r="T64" s="22">
        <f t="shared" si="20"/>
        <v>8.0575779776181466</v>
      </c>
    </row>
    <row r="65" spans="1:20" x14ac:dyDescent="0.2">
      <c r="A65" s="5">
        <v>74</v>
      </c>
      <c r="H65" s="21"/>
      <c r="M65" s="5">
        <f>scrimecost*Meta!O62</f>
        <v>343.15199999999999</v>
      </c>
      <c r="N65" s="5">
        <f>L65-Grade12!L65</f>
        <v>0</v>
      </c>
      <c r="O65" s="5">
        <f>Grade12!M65-M65</f>
        <v>2.6639999999999873</v>
      </c>
      <c r="Q65" s="22"/>
      <c r="R65" s="22"/>
      <c r="S65" s="22">
        <f t="shared" si="19"/>
        <v>1.5264719999999925</v>
      </c>
      <c r="T65" s="22">
        <f t="shared" si="20"/>
        <v>8.3050292381921071</v>
      </c>
    </row>
    <row r="66" spans="1:20" x14ac:dyDescent="0.2">
      <c r="A66" s="5">
        <v>75</v>
      </c>
      <c r="H66" s="21"/>
      <c r="M66" s="5">
        <f>scrimecost*Meta!O63</f>
        <v>343.15199999999999</v>
      </c>
      <c r="N66" s="5">
        <f>L66-Grade12!L66</f>
        <v>0</v>
      </c>
      <c r="O66" s="5">
        <f>Grade12!M66-M66</f>
        <v>2.6639999999999873</v>
      </c>
      <c r="Q66" s="22"/>
      <c r="R66" s="22"/>
      <c r="S66" s="22">
        <f t="shared" si="19"/>
        <v>1.5264719999999925</v>
      </c>
      <c r="T66" s="22">
        <f t="shared" si="20"/>
        <v>8.5600798203649031</v>
      </c>
    </row>
    <row r="67" spans="1:20" x14ac:dyDescent="0.2">
      <c r="A67" s="5">
        <v>76</v>
      </c>
      <c r="H67" s="21"/>
      <c r="M67" s="5">
        <f>scrimecost*Meta!O64</f>
        <v>343.15199999999999</v>
      </c>
      <c r="N67" s="5">
        <f>L67-Grade12!L67</f>
        <v>0</v>
      </c>
      <c r="O67" s="5">
        <f>Grade12!M67-M67</f>
        <v>2.6639999999999873</v>
      </c>
      <c r="Q67" s="22"/>
      <c r="R67" s="22"/>
      <c r="S67" s="22">
        <f t="shared" si="19"/>
        <v>1.5264719999999925</v>
      </c>
      <c r="T67" s="22">
        <f t="shared" si="20"/>
        <v>8.8229631021707782</v>
      </c>
    </row>
    <row r="68" spans="1:20" x14ac:dyDescent="0.2">
      <c r="A68" s="5">
        <v>77</v>
      </c>
      <c r="H68" s="21"/>
      <c r="M68" s="5">
        <f>scrimecost*Meta!O65</f>
        <v>343.15199999999999</v>
      </c>
      <c r="N68" s="5">
        <f>L68-Grade12!L68</f>
        <v>0</v>
      </c>
      <c r="O68" s="5">
        <f>Grade12!M68-M68</f>
        <v>2.6639999999999873</v>
      </c>
      <c r="Q68" s="22"/>
      <c r="R68" s="22"/>
      <c r="S68" s="22">
        <f t="shared" si="19"/>
        <v>1.5264719999999925</v>
      </c>
      <c r="T68" s="22">
        <f t="shared" si="20"/>
        <v>9.0939196287714754</v>
      </c>
    </row>
    <row r="69" spans="1:20" x14ac:dyDescent="0.2">
      <c r="A69" s="5">
        <v>78</v>
      </c>
      <c r="H69" s="21"/>
      <c r="M69" s="5">
        <f>scrimecost*Meta!O66</f>
        <v>343.15199999999999</v>
      </c>
      <c r="N69" s="5">
        <f>L69-Grade12!L69</f>
        <v>0</v>
      </c>
      <c r="O69" s="5">
        <f>Grade12!M69-M69</f>
        <v>2.6639999999999873</v>
      </c>
      <c r="Q69" s="22"/>
      <c r="R69" s="22"/>
      <c r="S69" s="22">
        <f t="shared" si="19"/>
        <v>1.5264719999999925</v>
      </c>
      <c r="T69" s="22">
        <f t="shared" si="20"/>
        <v>9.3731973325614373</v>
      </c>
    </row>
    <row r="70" spans="1:20" x14ac:dyDescent="0.2">
      <c r="A70" s="5">
        <v>79</v>
      </c>
      <c r="H70" s="21"/>
      <c r="M70" s="5"/>
      <c r="Q70" s="22"/>
      <c r="R70" s="22"/>
      <c r="S70" s="22">
        <f>SUM(T5:T69)</f>
        <v>1.0524203730710724E-10</v>
      </c>
    </row>
    <row r="71" spans="1:20" x14ac:dyDescent="0.2">
      <c r="A71" s="5">
        <v>80</v>
      </c>
      <c r="H71" s="21"/>
      <c r="M71" s="5"/>
      <c r="Q71" s="22"/>
      <c r="R71" s="22"/>
    </row>
    <row r="72" spans="1:20" x14ac:dyDescent="0.2">
      <c r="A72" s="5">
        <v>81</v>
      </c>
      <c r="H72" s="21"/>
      <c r="M72" s="5"/>
      <c r="Q72" s="22"/>
      <c r="R72" s="22"/>
    </row>
    <row r="73" spans="1:20" x14ac:dyDescent="0.2">
      <c r="A73" s="5">
        <v>82</v>
      </c>
      <c r="H73" s="21"/>
      <c r="M73" s="5"/>
    </row>
    <row r="74" spans="1:20" x14ac:dyDescent="0.2">
      <c r="A74" s="5">
        <v>83</v>
      </c>
      <c r="H74" s="21"/>
      <c r="M74" s="5"/>
    </row>
    <row r="75" spans="1:20" x14ac:dyDescent="0.2">
      <c r="A75" s="5">
        <v>84</v>
      </c>
      <c r="H75" s="21"/>
      <c r="M75" s="5"/>
    </row>
    <row r="76" spans="1:20" x14ac:dyDescent="0.2">
      <c r="A76" s="5">
        <v>85</v>
      </c>
      <c r="H76" s="21"/>
    </row>
    <row r="77" spans="1:20" x14ac:dyDescent="0.2">
      <c r="A77" s="5">
        <v>86</v>
      </c>
      <c r="H77" s="21"/>
    </row>
    <row r="78" spans="1:20" x14ac:dyDescent="0.2">
      <c r="A78" s="5">
        <v>87</v>
      </c>
      <c r="H78" s="21"/>
    </row>
    <row r="79" spans="1:20" x14ac:dyDescent="0.2">
      <c r="A79" s="5">
        <v>88</v>
      </c>
      <c r="H79" s="21"/>
    </row>
    <row r="80" spans="1:20" x14ac:dyDescent="0.2">
      <c r="A80" s="5">
        <v>89</v>
      </c>
      <c r="H80" s="21"/>
    </row>
    <row r="81" spans="1:8" x14ac:dyDescent="0.2">
      <c r="A81" s="5">
        <v>90</v>
      </c>
      <c r="H81" s="21"/>
    </row>
  </sheetData>
  <pageMargins left="0.75" right="0.75" top="1" bottom="1" header="0.5" footer="0.5"/>
  <pageSetup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1"/>
  <sheetViews>
    <sheetView workbookViewId="0">
      <selection activeCell="O12" sqref="O12"/>
    </sheetView>
  </sheetViews>
  <sheetFormatPr defaultRowHeight="12.75" x14ac:dyDescent="0.2"/>
  <cols>
    <col min="1" max="1" width="13.7109375" style="5" customWidth="1"/>
    <col min="2" max="7" width="13.7109375" style="1" customWidth="1"/>
    <col min="8" max="8" width="9.5703125" style="1" customWidth="1"/>
    <col min="9" max="9" width="9.140625" style="1"/>
    <col min="10" max="11" width="9.28515625" style="1" customWidth="1"/>
    <col min="12" max="12" width="9.140625" style="1"/>
    <col min="13" max="13" width="9.5703125" style="1" customWidth="1"/>
    <col min="14" max="14" width="9.28515625" style="1" customWidth="1"/>
    <col min="15" max="17" width="9.140625" style="1"/>
    <col min="18" max="18" width="9.5703125" style="1" bestFit="1" customWidth="1"/>
    <col min="19" max="19" width="10.140625" style="1" bestFit="1" customWidth="1"/>
    <col min="20" max="16384" width="9.140625" style="1"/>
  </cols>
  <sheetData>
    <row r="1" spans="1:20" x14ac:dyDescent="0.2">
      <c r="B1" s="1" t="s">
        <v>11</v>
      </c>
      <c r="C1" s="27" t="s">
        <v>35</v>
      </c>
      <c r="D1" s="27" t="s">
        <v>36</v>
      </c>
      <c r="E1" s="6" t="s">
        <v>9</v>
      </c>
      <c r="F1" s="6" t="s">
        <v>49</v>
      </c>
      <c r="G1" s="1" t="s">
        <v>4</v>
      </c>
      <c r="H1" s="1" t="s">
        <v>8</v>
      </c>
      <c r="J1" s="1" t="s">
        <v>56</v>
      </c>
      <c r="K1" s="1" t="s">
        <v>20</v>
      </c>
      <c r="N1" s="1" t="s">
        <v>43</v>
      </c>
      <c r="O1" s="1" t="s">
        <v>44</v>
      </c>
      <c r="P1" s="1" t="s">
        <v>45</v>
      </c>
      <c r="Q1" s="1" t="s">
        <v>46</v>
      </c>
      <c r="R1" s="1" t="s">
        <v>53</v>
      </c>
      <c r="T1" s="12" t="s">
        <v>57</v>
      </c>
    </row>
    <row r="2" spans="1:20" x14ac:dyDescent="0.2">
      <c r="B2" s="5">
        <f>Meta!A8+6</f>
        <v>20</v>
      </c>
      <c r="C2" s="7">
        <f>Meta!B8</f>
        <v>49675</v>
      </c>
      <c r="D2" s="7">
        <f>Meta!C8</f>
        <v>22610</v>
      </c>
      <c r="E2" s="1">
        <f>Meta!D8</f>
        <v>6.2E-2</v>
      </c>
      <c r="F2" s="1">
        <f>Meta!F8</f>
        <v>0.754</v>
      </c>
      <c r="G2" s="1">
        <f>Meta!I8</f>
        <v>1.8381311833585117</v>
      </c>
      <c r="H2" s="1">
        <f>Meta!E8</f>
        <v>0.57299999999999995</v>
      </c>
      <c r="I2" s="13"/>
      <c r="J2" s="1">
        <f>Meta!X7</f>
        <v>0.745</v>
      </c>
      <c r="K2" s="1">
        <f>Meta!D7</f>
        <v>6.4000000000000001E-2</v>
      </c>
      <c r="L2" s="29"/>
      <c r="N2" s="22">
        <f>Meta!T8</f>
        <v>47896</v>
      </c>
      <c r="O2" s="22">
        <f>Meta!U8</f>
        <v>21904</v>
      </c>
      <c r="P2" s="1">
        <f>Meta!V8</f>
        <v>6.4000000000000001E-2</v>
      </c>
      <c r="Q2" s="1">
        <f>Meta!X8</f>
        <v>0.748</v>
      </c>
      <c r="R2" s="22">
        <f>Meta!W8</f>
        <v>4729</v>
      </c>
      <c r="T2" s="12">
        <f>IRR(S5:S69)+1</f>
        <v>0.96848601505234355</v>
      </c>
    </row>
    <row r="3" spans="1:20" ht="14.25" x14ac:dyDescent="0.2">
      <c r="C3" s="3"/>
      <c r="G3" s="4"/>
      <c r="L3" s="1" t="s">
        <v>10</v>
      </c>
    </row>
    <row r="4" spans="1:20" x14ac:dyDescent="0.2">
      <c r="A4" s="7" t="s">
        <v>0</v>
      </c>
      <c r="B4" s="2" t="s">
        <v>1</v>
      </c>
      <c r="C4" s="1" t="s">
        <v>37</v>
      </c>
      <c r="D4" s="1" t="s">
        <v>2</v>
      </c>
      <c r="E4" t="s">
        <v>12</v>
      </c>
      <c r="F4" t="s">
        <v>19</v>
      </c>
      <c r="G4" t="s">
        <v>18</v>
      </c>
      <c r="H4" t="s">
        <v>38</v>
      </c>
      <c r="I4" t="s">
        <v>6</v>
      </c>
      <c r="J4" s="1" t="s">
        <v>47</v>
      </c>
      <c r="L4" s="1" t="s">
        <v>48</v>
      </c>
      <c r="M4" s="1" t="s">
        <v>54</v>
      </c>
      <c r="N4" s="1" t="s">
        <v>59</v>
      </c>
      <c r="O4" s="1" t="s">
        <v>58</v>
      </c>
      <c r="P4" s="1" t="s">
        <v>55</v>
      </c>
      <c r="Q4" s="1" t="s">
        <v>17</v>
      </c>
      <c r="R4" s="1" t="s">
        <v>7</v>
      </c>
      <c r="S4" s="5" t="s">
        <v>14</v>
      </c>
      <c r="T4" s="5" t="s">
        <v>15</v>
      </c>
    </row>
    <row r="5" spans="1:20" x14ac:dyDescent="0.2">
      <c r="A5" s="5">
        <v>14</v>
      </c>
      <c r="C5" s="5"/>
      <c r="D5" s="5"/>
      <c r="E5" s="5"/>
      <c r="F5" s="5"/>
      <c r="G5" s="5"/>
      <c r="H5" s="22"/>
      <c r="I5" s="5"/>
      <c r="J5" s="26"/>
      <c r="L5" s="22"/>
      <c r="M5" s="5"/>
      <c r="N5" s="5"/>
      <c r="O5" s="5"/>
      <c r="P5" s="22"/>
      <c r="Q5" s="22"/>
      <c r="R5" s="22"/>
      <c r="S5" s="22"/>
      <c r="T5" s="22"/>
    </row>
    <row r="6" spans="1:20" x14ac:dyDescent="0.2">
      <c r="A6" s="5">
        <v>15</v>
      </c>
      <c r="C6" s="5"/>
      <c r="D6" s="5"/>
      <c r="E6" s="5"/>
      <c r="F6" s="5"/>
      <c r="G6" s="5"/>
      <c r="H6" s="22"/>
      <c r="I6" s="5"/>
      <c r="J6" s="26"/>
      <c r="L6" s="22"/>
      <c r="M6" s="5"/>
      <c r="N6" s="5"/>
      <c r="O6" s="5"/>
      <c r="P6" s="22"/>
      <c r="Q6" s="22"/>
      <c r="R6" s="22"/>
      <c r="S6" s="22"/>
      <c r="T6" s="22"/>
    </row>
    <row r="7" spans="1:20" x14ac:dyDescent="0.2">
      <c r="A7" s="5">
        <v>16</v>
      </c>
      <c r="C7" s="5"/>
      <c r="D7" s="5"/>
      <c r="E7" s="5"/>
      <c r="F7" s="5"/>
      <c r="G7" s="5"/>
      <c r="H7" s="22"/>
      <c r="I7" s="5"/>
      <c r="J7" s="26"/>
      <c r="L7" s="22"/>
      <c r="M7" s="5"/>
      <c r="N7" s="5"/>
      <c r="O7" s="5"/>
      <c r="P7" s="22"/>
      <c r="Q7" s="22"/>
      <c r="R7" s="22"/>
      <c r="S7" s="22"/>
      <c r="T7" s="22"/>
    </row>
    <row r="8" spans="1:20" x14ac:dyDescent="0.2">
      <c r="A8" s="5">
        <v>17</v>
      </c>
      <c r="C8" s="5"/>
      <c r="D8" s="5"/>
      <c r="E8" s="5"/>
      <c r="F8" s="5"/>
      <c r="G8" s="5"/>
      <c r="H8" s="22"/>
      <c r="I8" s="5"/>
      <c r="J8" s="26"/>
      <c r="L8" s="22"/>
      <c r="M8" s="5"/>
      <c r="N8" s="5"/>
      <c r="O8" s="5"/>
      <c r="P8" s="22"/>
      <c r="Q8" s="22"/>
      <c r="R8" s="22"/>
      <c r="S8" s="22"/>
      <c r="T8" s="22"/>
    </row>
    <row r="9" spans="1:20" x14ac:dyDescent="0.2">
      <c r="A9" s="5">
        <v>18</v>
      </c>
      <c r="C9" s="5"/>
      <c r="D9" s="5"/>
      <c r="E9" s="5"/>
      <c r="F9" s="5"/>
      <c r="G9" s="5"/>
      <c r="H9" s="22"/>
      <c r="I9" s="5"/>
      <c r="J9" s="26"/>
      <c r="L9" s="22"/>
      <c r="M9" s="5"/>
      <c r="N9" s="5"/>
      <c r="O9" s="5"/>
      <c r="P9" s="22"/>
      <c r="Q9" s="22"/>
      <c r="R9" s="22"/>
      <c r="S9" s="22"/>
      <c r="T9" s="22"/>
    </row>
    <row r="10" spans="1:20" x14ac:dyDescent="0.2">
      <c r="A10" s="5">
        <v>19</v>
      </c>
      <c r="B10" s="1">
        <v>1</v>
      </c>
      <c r="C10" s="5">
        <f>0.1*Grade13!C10</f>
        <v>2563.8054259295782</v>
      </c>
      <c r="D10" s="5">
        <f t="shared" ref="D10:D36" si="0">IF(A10&lt;startage,1,0)*(C10*(1-initialunempprob))+IF(A10=startage,1,0)*(C10*(1-unempprob))+IF(A10&gt;startage,1,0)*(C10*(1-unempprob)+unempprob*300*52)</f>
        <v>2399.7218786700851</v>
      </c>
      <c r="E10" s="5">
        <f t="shared" ref="E10:E56" si="1">IF(D10-9500&gt;0,1,0)*(D10-9500)</f>
        <v>0</v>
      </c>
      <c r="F10" s="5">
        <f t="shared" ref="F10:F56" si="2">IF(E10&lt;=8500,1,0)*(0.1*E10+0.1*E10+0.0765*D10)+IF(AND(E10&gt;8500,E10&lt;=34500),1,0)*(850+0.15*(E10-8500)+0.1*E10+0.0765*D10)+IF(AND(E10&gt;34500,E10&lt;=83600),1,0)*(4750+0.25*(E10-34500)+0.1*E10+0.0765*D10)+IF(AND(E10&gt;83600,E10&lt;=174400,D10&lt;=106800),1,0)*(17025+0.28*(E10-83600)+0.1*E10+0.0765*D10)+IF(AND(E10&gt;83600,E10&lt;=174400,D10&gt;106800),1,0)*(17025+0.28*(E10-83600)+0.1*E10+8170.2+0.0145*(D10-106800))+IF(AND(E10&gt;174400,E10&lt;=379150),1,0)*(42449+0.33*(E10-174400)+0.1*E10+8170.2+0.0145*(D10-106800))+IF(E10&gt;379150,1,0)*(110016.5+0.35*(E10-379150)+0.1*E10+8170.2+0.0145*(D10-106800))</f>
        <v>183.5787237182615</v>
      </c>
      <c r="G10" s="5">
        <f t="shared" ref="G10:G56" si="3">D10-F10</f>
        <v>2216.1431549518234</v>
      </c>
      <c r="H10" s="22">
        <f>0.1*Grade13!H10</f>
        <v>1173.1251375975705</v>
      </c>
      <c r="I10" s="5">
        <f t="shared" ref="I10:I36" si="4">G10+IF(A10&lt;startage,1,0)*(H10*(1-initialunempprob))+IF(A10&gt;=startage,1,0)*(H10*(1-unempprob))</f>
        <v>3314.1882837431494</v>
      </c>
      <c r="J10" s="26">
        <f t="shared" ref="J10:J56" si="5">(F10-(IF(A10&gt;startage,1,0)*(unempprob*300*52)))/(IF(A10&lt;startage,1,0)*((C10+H10)*(1-initialunempprob))+IF(A10&gt;=startage,1,0)*((C10+H10)*(1-unempprob)))</f>
        <v>5.2484548949845063E-2</v>
      </c>
      <c r="L10" s="22">
        <f>0.1*Grade13!L10</f>
        <v>3433.4770479053923</v>
      </c>
      <c r="M10" s="5">
        <f>scrimecost*Meta!O7</f>
        <v>16102.244999999999</v>
      </c>
      <c r="N10" s="5">
        <f>L10-Grade13!L10</f>
        <v>-30901.29343114853</v>
      </c>
      <c r="O10" s="5"/>
      <c r="P10" s="22"/>
      <c r="Q10" s="22">
        <f>0.05*feel*Grade13!G10</f>
        <v>265.46977593980233</v>
      </c>
      <c r="R10" s="22">
        <f>coltuition</f>
        <v>8279</v>
      </c>
      <c r="S10" s="22">
        <f t="shared" ref="S10:S41" si="6">IF(A10&lt;startage,1,0)*(N10-Q10-R10)+IF(A10&gt;=startage,1,0)*completionprob*(N10*spart+O10+P10)</f>
        <v>-39445.763207088334</v>
      </c>
      <c r="T10" s="22">
        <f t="shared" ref="T10:T41" si="7">S10/sreturn^(A10-startage+1)</f>
        <v>-39445.763207088334</v>
      </c>
    </row>
    <row r="11" spans="1:20" x14ac:dyDescent="0.2">
      <c r="A11" s="5">
        <v>20</v>
      </c>
      <c r="B11" s="1">
        <f t="shared" ref="B11:B36" si="8">(1+experiencepremium)^(A11-startage)</f>
        <v>1</v>
      </c>
      <c r="C11" s="5">
        <f t="shared" ref="C11:C36" si="9">pretaxincome*B11/expnorm</f>
        <v>27024.730579477535</v>
      </c>
      <c r="D11" s="5">
        <f t="shared" si="0"/>
        <v>25349.197283549925</v>
      </c>
      <c r="E11" s="5">
        <f t="shared" si="1"/>
        <v>15849.197283549925</v>
      </c>
      <c r="F11" s="5">
        <f t="shared" si="2"/>
        <v>5476.5129130790501</v>
      </c>
      <c r="G11" s="5">
        <f t="shared" si="3"/>
        <v>19872.684370470874</v>
      </c>
      <c r="H11" s="22">
        <f t="shared" ref="H11:H36" si="10">benefits*B11/expnorm</f>
        <v>12300.536656305729</v>
      </c>
      <c r="I11" s="5">
        <f t="shared" si="4"/>
        <v>31410.587754085645</v>
      </c>
      <c r="J11" s="26">
        <f t="shared" si="5"/>
        <v>0.14846688446712228</v>
      </c>
      <c r="L11" s="22">
        <f t="shared" ref="L11:L36" si="11">(sincome+sbenefits)*(1-sunemp)*B11/expnorm</f>
        <v>35543.056225523702</v>
      </c>
      <c r="M11" s="5">
        <f>scrimecost*Meta!O8</f>
        <v>15454.371999999999</v>
      </c>
      <c r="N11" s="5">
        <f>L11-Grade13!L11</f>
        <v>349.91648449343484</v>
      </c>
      <c r="O11" s="5">
        <f>Grade13!M11-M11</f>
        <v>120.91599999999926</v>
      </c>
      <c r="P11" s="22">
        <f t="shared" ref="P11:P56" si="12">(spart-initialspart)*(L11*J11+nptrans)</f>
        <v>35.492900466729807</v>
      </c>
      <c r="Q11" s="22"/>
      <c r="R11" s="22"/>
      <c r="S11" s="22">
        <f t="shared" si="6"/>
        <v>239.59790488725986</v>
      </c>
      <c r="T11" s="22">
        <f t="shared" si="7"/>
        <v>247.3942846498515</v>
      </c>
    </row>
    <row r="12" spans="1:20" x14ac:dyDescent="0.2">
      <c r="A12" s="5">
        <v>21</v>
      </c>
      <c r="B12" s="1">
        <f t="shared" si="8"/>
        <v>1.0249999999999999</v>
      </c>
      <c r="C12" s="5">
        <f t="shared" si="9"/>
        <v>27700.348843964472</v>
      </c>
      <c r="D12" s="5">
        <f t="shared" si="0"/>
        <v>26950.127215638673</v>
      </c>
      <c r="E12" s="5">
        <f t="shared" si="1"/>
        <v>17450.127215638673</v>
      </c>
      <c r="F12" s="5">
        <f t="shared" si="2"/>
        <v>5999.2165359060273</v>
      </c>
      <c r="G12" s="5">
        <f t="shared" si="3"/>
        <v>20950.910679732646</v>
      </c>
      <c r="H12" s="22">
        <f t="shared" si="10"/>
        <v>12608.050072713369</v>
      </c>
      <c r="I12" s="5">
        <f t="shared" si="4"/>
        <v>32777.261647937783</v>
      </c>
      <c r="J12" s="26">
        <f t="shared" si="5"/>
        <v>0.13308946315870812</v>
      </c>
      <c r="L12" s="22">
        <f t="shared" si="11"/>
        <v>36431.632631161796</v>
      </c>
      <c r="M12" s="5">
        <f>scrimecost*Meta!O9</f>
        <v>14239.019</v>
      </c>
      <c r="N12" s="5">
        <f>L12-Grade13!L12</f>
        <v>358.66439660577453</v>
      </c>
      <c r="O12" s="5">
        <f>Grade13!M12-M12</f>
        <v>111.40700000000106</v>
      </c>
      <c r="P12" s="22">
        <f t="shared" si="12"/>
        <v>34.207999286629821</v>
      </c>
      <c r="Q12" s="22"/>
      <c r="R12" s="22"/>
      <c r="S12" s="22">
        <f t="shared" si="6"/>
        <v>237.16238963406087</v>
      </c>
      <c r="T12" s="22">
        <f t="shared" si="7"/>
        <v>252.84775960358564</v>
      </c>
    </row>
    <row r="13" spans="1:20" x14ac:dyDescent="0.2">
      <c r="A13" s="5">
        <v>22</v>
      </c>
      <c r="B13" s="1">
        <f t="shared" si="8"/>
        <v>1.0506249999999999</v>
      </c>
      <c r="C13" s="5">
        <f t="shared" si="9"/>
        <v>28392.857565063583</v>
      </c>
      <c r="D13" s="5">
        <f t="shared" si="0"/>
        <v>27599.700396029639</v>
      </c>
      <c r="E13" s="5">
        <f t="shared" si="1"/>
        <v>18099.700396029639</v>
      </c>
      <c r="F13" s="5">
        <f t="shared" si="2"/>
        <v>6211.3021793036769</v>
      </c>
      <c r="G13" s="5">
        <f t="shared" si="3"/>
        <v>21388.39821672596</v>
      </c>
      <c r="H13" s="22">
        <f t="shared" si="10"/>
        <v>12923.251324531206</v>
      </c>
      <c r="I13" s="5">
        <f t="shared" si="4"/>
        <v>33510.407959136232</v>
      </c>
      <c r="J13" s="26">
        <f t="shared" si="5"/>
        <v>0.13531591963285186</v>
      </c>
      <c r="L13" s="22">
        <f t="shared" si="11"/>
        <v>37342.423446940833</v>
      </c>
      <c r="M13" s="5">
        <f>scrimecost*Meta!O10</f>
        <v>12985.834000000001</v>
      </c>
      <c r="N13" s="5">
        <f>L13-Grade13!L13</f>
        <v>367.63100652091089</v>
      </c>
      <c r="O13" s="5">
        <f>Grade13!M13-M13</f>
        <v>101.60199999999895</v>
      </c>
      <c r="P13" s="22">
        <f t="shared" si="12"/>
        <v>34.821073110126534</v>
      </c>
      <c r="Q13" s="22"/>
      <c r="R13" s="22"/>
      <c r="S13" s="22">
        <f t="shared" si="6"/>
        <v>235.73854081099034</v>
      </c>
      <c r="T13" s="22">
        <f t="shared" si="7"/>
        <v>259.50786776274583</v>
      </c>
    </row>
    <row r="14" spans="1:20" x14ac:dyDescent="0.2">
      <c r="A14" s="5">
        <v>23</v>
      </c>
      <c r="B14" s="1">
        <f t="shared" si="8"/>
        <v>1.0768906249999999</v>
      </c>
      <c r="C14" s="5">
        <f t="shared" si="9"/>
        <v>29102.679004190173</v>
      </c>
      <c r="D14" s="5">
        <f t="shared" si="0"/>
        <v>28265.51290593038</v>
      </c>
      <c r="E14" s="5">
        <f t="shared" si="1"/>
        <v>18765.51290593038</v>
      </c>
      <c r="F14" s="5">
        <f t="shared" si="2"/>
        <v>6428.6899637862689</v>
      </c>
      <c r="G14" s="5">
        <f t="shared" si="3"/>
        <v>21836.82294214411</v>
      </c>
      <c r="H14" s="22">
        <f t="shared" si="10"/>
        <v>13246.332607644485</v>
      </c>
      <c r="I14" s="5">
        <f t="shared" si="4"/>
        <v>34261.882928114632</v>
      </c>
      <c r="J14" s="26">
        <f t="shared" si="5"/>
        <v>0.1374880722905531</v>
      </c>
      <c r="L14" s="22">
        <f t="shared" si="11"/>
        <v>38275.984033114357</v>
      </c>
      <c r="M14" s="5">
        <f>scrimecost*Meta!O11</f>
        <v>12106.24</v>
      </c>
      <c r="N14" s="5">
        <f>L14-Grade13!L14</f>
        <v>376.82178168394603</v>
      </c>
      <c r="O14" s="5">
        <f>Grade13!M14-M14</f>
        <v>94.720000000001164</v>
      </c>
      <c r="P14" s="22">
        <f t="shared" si="12"/>
        <v>35.449473779210678</v>
      </c>
      <c r="Q14" s="22"/>
      <c r="R14" s="22"/>
      <c r="S14" s="22">
        <f t="shared" si="6"/>
        <v>236.09443139235435</v>
      </c>
      <c r="T14" s="22">
        <f t="shared" si="7"/>
        <v>268.35662928014887</v>
      </c>
    </row>
    <row r="15" spans="1:20" x14ac:dyDescent="0.2">
      <c r="A15" s="5">
        <v>24</v>
      </c>
      <c r="B15" s="1">
        <f t="shared" si="8"/>
        <v>1.1038128906249998</v>
      </c>
      <c r="C15" s="5">
        <f t="shared" si="9"/>
        <v>29830.245979294923</v>
      </c>
      <c r="D15" s="5">
        <f t="shared" si="0"/>
        <v>28947.970728578635</v>
      </c>
      <c r="E15" s="5">
        <f t="shared" si="1"/>
        <v>19447.970728578635</v>
      </c>
      <c r="F15" s="5">
        <f t="shared" si="2"/>
        <v>6651.5124428809249</v>
      </c>
      <c r="G15" s="5">
        <f t="shared" si="3"/>
        <v>22296.45828569771</v>
      </c>
      <c r="H15" s="22">
        <f t="shared" si="10"/>
        <v>13577.490922835595</v>
      </c>
      <c r="I15" s="5">
        <f t="shared" si="4"/>
        <v>35032.1447713175</v>
      </c>
      <c r="J15" s="26">
        <f t="shared" si="5"/>
        <v>0.13960724561513968</v>
      </c>
      <c r="L15" s="22">
        <f t="shared" si="11"/>
        <v>39232.883633942212</v>
      </c>
      <c r="M15" s="5">
        <f>scrimecost*Meta!O12</f>
        <v>11548.218000000001</v>
      </c>
      <c r="N15" s="5">
        <f>L15-Grade13!L15</f>
        <v>386.24232622604177</v>
      </c>
      <c r="O15" s="5">
        <f>Grade13!M15-M15</f>
        <v>90.35399999999936</v>
      </c>
      <c r="P15" s="22">
        <f t="shared" si="12"/>
        <v>36.093584465021927</v>
      </c>
      <c r="Q15" s="22"/>
      <c r="R15" s="22"/>
      <c r="S15" s="22">
        <f t="shared" si="6"/>
        <v>237.99947188824359</v>
      </c>
      <c r="T15" s="22">
        <f t="shared" si="7"/>
        <v>279.32462472218776</v>
      </c>
    </row>
    <row r="16" spans="1:20" x14ac:dyDescent="0.2">
      <c r="A16" s="5">
        <v>25</v>
      </c>
      <c r="B16" s="1">
        <f t="shared" si="8"/>
        <v>1.1314082128906247</v>
      </c>
      <c r="C16" s="5">
        <f t="shared" si="9"/>
        <v>30576.002128777294</v>
      </c>
      <c r="D16" s="5">
        <f t="shared" si="0"/>
        <v>29647.489996793101</v>
      </c>
      <c r="E16" s="5">
        <f t="shared" si="1"/>
        <v>20147.489996793101</v>
      </c>
      <c r="F16" s="5">
        <f t="shared" si="2"/>
        <v>6879.9054839529472</v>
      </c>
      <c r="G16" s="5">
        <f t="shared" si="3"/>
        <v>22767.584512840156</v>
      </c>
      <c r="H16" s="22">
        <f t="shared" si="10"/>
        <v>13916.928195906485</v>
      </c>
      <c r="I16" s="5">
        <f t="shared" si="4"/>
        <v>35821.663160600438</v>
      </c>
      <c r="J16" s="26">
        <f t="shared" si="5"/>
        <v>0.14167473178546802</v>
      </c>
      <c r="L16" s="22">
        <f t="shared" si="11"/>
        <v>40213.705724790758</v>
      </c>
      <c r="M16" s="5">
        <f>scrimecost*Meta!O13</f>
        <v>9614.0569999999989</v>
      </c>
      <c r="N16" s="5">
        <f>L16-Grade13!L16</f>
        <v>395.89838438168226</v>
      </c>
      <c r="O16" s="5">
        <f>Grade13!M16-M16</f>
        <v>75.221000000001368</v>
      </c>
      <c r="P16" s="22">
        <f t="shared" si="12"/>
        <v>36.753797917978446</v>
      </c>
      <c r="Q16" s="22"/>
      <c r="R16" s="22"/>
      <c r="S16" s="22">
        <f t="shared" si="6"/>
        <v>233.84519034652894</v>
      </c>
      <c r="T16" s="22">
        <f t="shared" si="7"/>
        <v>283.37942751912323</v>
      </c>
    </row>
    <row r="17" spans="1:20" x14ac:dyDescent="0.2">
      <c r="A17" s="5">
        <v>26</v>
      </c>
      <c r="B17" s="1">
        <f t="shared" si="8"/>
        <v>1.1596934182128902</v>
      </c>
      <c r="C17" s="5">
        <f t="shared" si="9"/>
        <v>31340.402181996724</v>
      </c>
      <c r="D17" s="5">
        <f t="shared" si="0"/>
        <v>30364.497246712926</v>
      </c>
      <c r="E17" s="5">
        <f t="shared" si="1"/>
        <v>20864.497246712926</v>
      </c>
      <c r="F17" s="5">
        <f t="shared" si="2"/>
        <v>7114.0083510517707</v>
      </c>
      <c r="G17" s="5">
        <f t="shared" si="3"/>
        <v>23250.488895661154</v>
      </c>
      <c r="H17" s="22">
        <f t="shared" si="10"/>
        <v>14264.851400804146</v>
      </c>
      <c r="I17" s="5">
        <f t="shared" si="4"/>
        <v>36630.919509615444</v>
      </c>
      <c r="J17" s="26">
        <f t="shared" si="5"/>
        <v>0.14369179146383718</v>
      </c>
      <c r="L17" s="22">
        <f t="shared" si="11"/>
        <v>41219.048367910531</v>
      </c>
      <c r="M17" s="5">
        <f>scrimecost*Meta!O14</f>
        <v>9614.0569999999989</v>
      </c>
      <c r="N17" s="5">
        <f>L17-Grade13!L17</f>
        <v>405.79584399122541</v>
      </c>
      <c r="O17" s="5">
        <f>Grade13!M17-M17</f>
        <v>75.221000000001368</v>
      </c>
      <c r="P17" s="22">
        <f t="shared" si="12"/>
        <v>37.430516707258889</v>
      </c>
      <c r="Q17" s="22"/>
      <c r="R17" s="22"/>
      <c r="S17" s="22">
        <f t="shared" si="6"/>
        <v>238.47504099127528</v>
      </c>
      <c r="T17" s="22">
        <f t="shared" si="7"/>
        <v>298.39356622996968</v>
      </c>
    </row>
    <row r="18" spans="1:20" x14ac:dyDescent="0.2">
      <c r="A18" s="5">
        <v>27</v>
      </c>
      <c r="B18" s="1">
        <f t="shared" si="8"/>
        <v>1.1886857536682125</v>
      </c>
      <c r="C18" s="5">
        <f t="shared" si="9"/>
        <v>32123.912236546643</v>
      </c>
      <c r="D18" s="5">
        <f t="shared" si="0"/>
        <v>31099.429677880751</v>
      </c>
      <c r="E18" s="5">
        <f t="shared" si="1"/>
        <v>21599.429677880751</v>
      </c>
      <c r="F18" s="5">
        <f t="shared" si="2"/>
        <v>7353.9637898280653</v>
      </c>
      <c r="G18" s="5">
        <f t="shared" si="3"/>
        <v>23745.465888052684</v>
      </c>
      <c r="H18" s="22">
        <f t="shared" si="10"/>
        <v>14621.47268582425</v>
      </c>
      <c r="I18" s="5">
        <f t="shared" si="4"/>
        <v>37460.407267355826</v>
      </c>
      <c r="J18" s="26">
        <f t="shared" si="5"/>
        <v>0.1456596545646851</v>
      </c>
      <c r="L18" s="22">
        <f t="shared" si="11"/>
        <v>42249.524577108292</v>
      </c>
      <c r="M18" s="5">
        <f>scrimecost*Meta!O15</f>
        <v>9614.0569999999989</v>
      </c>
      <c r="N18" s="5">
        <f>L18-Grade13!L18</f>
        <v>415.94074009100586</v>
      </c>
      <c r="O18" s="5">
        <f>Grade13!M18-M18</f>
        <v>75.221000000001368</v>
      </c>
      <c r="P18" s="22">
        <f t="shared" si="12"/>
        <v>38.124153466271338</v>
      </c>
      <c r="Q18" s="22"/>
      <c r="R18" s="22"/>
      <c r="S18" s="22">
        <f t="shared" si="6"/>
        <v>243.22063790213971</v>
      </c>
      <c r="T18" s="22">
        <f t="shared" si="7"/>
        <v>314.2343027064972</v>
      </c>
    </row>
    <row r="19" spans="1:20" x14ac:dyDescent="0.2">
      <c r="A19" s="5">
        <v>28</v>
      </c>
      <c r="B19" s="1">
        <f t="shared" si="8"/>
        <v>1.2184028975099177</v>
      </c>
      <c r="C19" s="5">
        <f t="shared" si="9"/>
        <v>32927.010042460308</v>
      </c>
      <c r="D19" s="5">
        <f t="shared" si="0"/>
        <v>31852.735419827768</v>
      </c>
      <c r="E19" s="5">
        <f t="shared" si="1"/>
        <v>22352.735419827768</v>
      </c>
      <c r="F19" s="5">
        <f t="shared" si="2"/>
        <v>7599.9181145737657</v>
      </c>
      <c r="G19" s="5">
        <f t="shared" si="3"/>
        <v>24252.817305254001</v>
      </c>
      <c r="H19" s="22">
        <f t="shared" si="10"/>
        <v>14987.009502969855</v>
      </c>
      <c r="I19" s="5">
        <f t="shared" si="4"/>
        <v>38310.632219039726</v>
      </c>
      <c r="J19" s="26">
        <f t="shared" si="5"/>
        <v>0.14757952100453675</v>
      </c>
      <c r="L19" s="22">
        <f t="shared" si="11"/>
        <v>43305.762691535994</v>
      </c>
      <c r="M19" s="5">
        <f>scrimecost*Meta!O16</f>
        <v>9614.0569999999989</v>
      </c>
      <c r="N19" s="5">
        <f>L19-Grade13!L19</f>
        <v>426.33925859328883</v>
      </c>
      <c r="O19" s="5">
        <f>Grade13!M19-M19</f>
        <v>75.221000000001368</v>
      </c>
      <c r="P19" s="22">
        <f t="shared" si="12"/>
        <v>38.835131144259101</v>
      </c>
      <c r="Q19" s="22"/>
      <c r="R19" s="22"/>
      <c r="S19" s="22">
        <f t="shared" si="6"/>
        <v>248.08487473577918</v>
      </c>
      <c r="T19" s="22">
        <f t="shared" si="7"/>
        <v>330.94825995382672</v>
      </c>
    </row>
    <row r="20" spans="1:20" x14ac:dyDescent="0.2">
      <c r="A20" s="5">
        <v>29</v>
      </c>
      <c r="B20" s="1">
        <f t="shared" si="8"/>
        <v>1.2488629699476654</v>
      </c>
      <c r="C20" s="5">
        <f t="shared" si="9"/>
        <v>33750.185293521805</v>
      </c>
      <c r="D20" s="5">
        <f t="shared" si="0"/>
        <v>32624.873805323452</v>
      </c>
      <c r="E20" s="5">
        <f t="shared" si="1"/>
        <v>23124.873805323452</v>
      </c>
      <c r="F20" s="5">
        <f t="shared" si="2"/>
        <v>7852.0212974381066</v>
      </c>
      <c r="G20" s="5">
        <f t="shared" si="3"/>
        <v>24772.852507885345</v>
      </c>
      <c r="H20" s="22">
        <f t="shared" si="10"/>
        <v>15361.6847405441</v>
      </c>
      <c r="I20" s="5">
        <f t="shared" si="4"/>
        <v>39182.112794515713</v>
      </c>
      <c r="J20" s="26">
        <f t="shared" si="5"/>
        <v>0.14945256143366029</v>
      </c>
      <c r="L20" s="22">
        <f t="shared" si="11"/>
        <v>44388.406758824385</v>
      </c>
      <c r="M20" s="5">
        <f>scrimecost*Meta!O17</f>
        <v>9614.0569999999989</v>
      </c>
      <c r="N20" s="5">
        <f>L20-Grade13!L20</f>
        <v>436.99774005811196</v>
      </c>
      <c r="O20" s="5">
        <f>Grade13!M20-M20</f>
        <v>75.221000000001368</v>
      </c>
      <c r="P20" s="22">
        <f t="shared" si="12"/>
        <v>39.563883264196541</v>
      </c>
      <c r="Q20" s="22"/>
      <c r="R20" s="22"/>
      <c r="S20" s="22">
        <f t="shared" si="6"/>
        <v>253.07071749025241</v>
      </c>
      <c r="T20" s="22">
        <f t="shared" si="7"/>
        <v>348.58472913185034</v>
      </c>
    </row>
    <row r="21" spans="1:20" x14ac:dyDescent="0.2">
      <c r="A21" s="5">
        <v>30</v>
      </c>
      <c r="B21" s="1">
        <f t="shared" si="8"/>
        <v>1.2800845441963571</v>
      </c>
      <c r="C21" s="5">
        <f t="shared" si="9"/>
        <v>34593.939925859857</v>
      </c>
      <c r="D21" s="5">
        <f t="shared" si="0"/>
        <v>33416.315650456541</v>
      </c>
      <c r="E21" s="5">
        <f t="shared" si="1"/>
        <v>23916.315650456541</v>
      </c>
      <c r="F21" s="5">
        <f t="shared" si="2"/>
        <v>8110.4270598740604</v>
      </c>
      <c r="G21" s="5">
        <f t="shared" si="3"/>
        <v>25305.888590582479</v>
      </c>
      <c r="H21" s="22">
        <f t="shared" si="10"/>
        <v>15745.726859057702</v>
      </c>
      <c r="I21" s="5">
        <f t="shared" si="4"/>
        <v>40075.380384378601</v>
      </c>
      <c r="J21" s="26">
        <f t="shared" si="5"/>
        <v>0.15127991794987838</v>
      </c>
      <c r="L21" s="22">
        <f t="shared" si="11"/>
        <v>45498.116927795003</v>
      </c>
      <c r="M21" s="5">
        <f>scrimecost*Meta!O18</f>
        <v>7921.0749999999998</v>
      </c>
      <c r="N21" s="5">
        <f>L21-Grade13!L21</f>
        <v>447.92268355956912</v>
      </c>
      <c r="O21" s="5">
        <f>Grade13!M21-M21</f>
        <v>61.975000000000364</v>
      </c>
      <c r="P21" s="22">
        <f t="shared" si="12"/>
        <v>40.310854187132442</v>
      </c>
      <c r="Q21" s="22"/>
      <c r="R21" s="22"/>
      <c r="S21" s="22">
        <f t="shared" si="6"/>
        <v>250.59124831359264</v>
      </c>
      <c r="T21" s="22">
        <f t="shared" si="7"/>
        <v>356.40107624874361</v>
      </c>
    </row>
    <row r="22" spans="1:20" x14ac:dyDescent="0.2">
      <c r="A22" s="5">
        <v>31</v>
      </c>
      <c r="B22" s="1">
        <f t="shared" si="8"/>
        <v>1.312086657801266</v>
      </c>
      <c r="C22" s="5">
        <f t="shared" si="9"/>
        <v>35458.78842400635</v>
      </c>
      <c r="D22" s="5">
        <f t="shared" si="0"/>
        <v>34227.543541717954</v>
      </c>
      <c r="E22" s="5">
        <f t="shared" si="1"/>
        <v>24727.543541717954</v>
      </c>
      <c r="F22" s="5">
        <f t="shared" si="2"/>
        <v>8375.292966370911</v>
      </c>
      <c r="G22" s="5">
        <f t="shared" si="3"/>
        <v>25852.250575347043</v>
      </c>
      <c r="H22" s="22">
        <f t="shared" si="10"/>
        <v>16139.370030534144</v>
      </c>
      <c r="I22" s="5">
        <f t="shared" si="4"/>
        <v>40990.979663988066</v>
      </c>
      <c r="J22" s="26">
        <f t="shared" si="5"/>
        <v>0.15306270479496922</v>
      </c>
      <c r="L22" s="22">
        <f t="shared" si="11"/>
        <v>46635.569850989872</v>
      </c>
      <c r="M22" s="5">
        <f>scrimecost*Meta!O19</f>
        <v>7921.0749999999998</v>
      </c>
      <c r="N22" s="5">
        <f>L22-Grade13!L22</f>
        <v>459.1207506485589</v>
      </c>
      <c r="O22" s="5">
        <f>Grade13!M22-M22</f>
        <v>61.975000000000364</v>
      </c>
      <c r="P22" s="22">
        <f t="shared" si="12"/>
        <v>41.076499383141723</v>
      </c>
      <c r="Q22" s="22"/>
      <c r="R22" s="22"/>
      <c r="S22" s="22">
        <f t="shared" si="6"/>
        <v>255.82949935751532</v>
      </c>
      <c r="T22" s="22">
        <f t="shared" si="7"/>
        <v>375.6906393126323</v>
      </c>
    </row>
    <row r="23" spans="1:20" x14ac:dyDescent="0.2">
      <c r="A23" s="5">
        <v>32</v>
      </c>
      <c r="B23" s="1">
        <f t="shared" si="8"/>
        <v>1.3448888242462975</v>
      </c>
      <c r="C23" s="5">
        <f t="shared" si="9"/>
        <v>36345.258134606505</v>
      </c>
      <c r="D23" s="5">
        <f t="shared" si="0"/>
        <v>35059.052130260898</v>
      </c>
      <c r="E23" s="5">
        <f t="shared" si="1"/>
        <v>25559.052130260898</v>
      </c>
      <c r="F23" s="5">
        <f t="shared" si="2"/>
        <v>8646.7805205301829</v>
      </c>
      <c r="G23" s="5">
        <f t="shared" si="3"/>
        <v>26412.271609730713</v>
      </c>
      <c r="H23" s="22">
        <f t="shared" si="10"/>
        <v>16542.854281297496</v>
      </c>
      <c r="I23" s="5">
        <f t="shared" si="4"/>
        <v>41929.46892558776</v>
      </c>
      <c r="J23" s="26">
        <f t="shared" si="5"/>
        <v>0.15480200903408223</v>
      </c>
      <c r="L23" s="22">
        <f t="shared" si="11"/>
        <v>47801.459097264618</v>
      </c>
      <c r="M23" s="5">
        <f>scrimecost*Meta!O20</f>
        <v>7921.0749999999998</v>
      </c>
      <c r="N23" s="5">
        <f>L23-Grade13!L23</f>
        <v>470.59876941477705</v>
      </c>
      <c r="O23" s="5">
        <f>Grade13!M23-M23</f>
        <v>61.975000000000364</v>
      </c>
      <c r="P23" s="22">
        <f t="shared" si="12"/>
        <v>41.861285709051245</v>
      </c>
      <c r="Q23" s="22"/>
      <c r="R23" s="22"/>
      <c r="S23" s="22">
        <f t="shared" si="6"/>
        <v>261.19870667753764</v>
      </c>
      <c r="T23" s="22">
        <f t="shared" si="7"/>
        <v>396.05675213385325</v>
      </c>
    </row>
    <row r="24" spans="1:20" x14ac:dyDescent="0.2">
      <c r="A24" s="5">
        <v>33</v>
      </c>
      <c r="B24" s="1">
        <f t="shared" si="8"/>
        <v>1.3785110448524549</v>
      </c>
      <c r="C24" s="5">
        <f t="shared" si="9"/>
        <v>37253.889587971673</v>
      </c>
      <c r="D24" s="5">
        <f t="shared" si="0"/>
        <v>35911.348433517422</v>
      </c>
      <c r="E24" s="5">
        <f t="shared" si="1"/>
        <v>26411.348433517422</v>
      </c>
      <c r="F24" s="5">
        <f t="shared" si="2"/>
        <v>8925.0552635434378</v>
      </c>
      <c r="G24" s="5">
        <f t="shared" si="3"/>
        <v>26986.293169973986</v>
      </c>
      <c r="H24" s="22">
        <f t="shared" si="10"/>
        <v>16956.425638329933</v>
      </c>
      <c r="I24" s="5">
        <f t="shared" si="4"/>
        <v>42891.420418727459</v>
      </c>
      <c r="J24" s="26">
        <f t="shared" si="5"/>
        <v>0.15649889121858271</v>
      </c>
      <c r="L24" s="22">
        <f t="shared" si="11"/>
        <v>48996.49557469623</v>
      </c>
      <c r="M24" s="5">
        <f>scrimecost*Meta!O21</f>
        <v>7921.0749999999998</v>
      </c>
      <c r="N24" s="5">
        <f>L24-Grade13!L24</f>
        <v>482.3637386501432</v>
      </c>
      <c r="O24" s="5">
        <f>Grade13!M24-M24</f>
        <v>61.975000000000364</v>
      </c>
      <c r="P24" s="22">
        <f t="shared" si="12"/>
        <v>42.665691693108499</v>
      </c>
      <c r="Q24" s="22"/>
      <c r="R24" s="22"/>
      <c r="S24" s="22">
        <f t="shared" si="6"/>
        <v>266.70214418055735</v>
      </c>
      <c r="T24" s="22">
        <f t="shared" si="7"/>
        <v>417.56063839046465</v>
      </c>
    </row>
    <row r="25" spans="1:20" x14ac:dyDescent="0.2">
      <c r="A25" s="5">
        <v>34</v>
      </c>
      <c r="B25" s="1">
        <f t="shared" si="8"/>
        <v>1.4129738209737661</v>
      </c>
      <c r="C25" s="5">
        <f t="shared" si="9"/>
        <v>38185.236827670953</v>
      </c>
      <c r="D25" s="5">
        <f t="shared" si="0"/>
        <v>36784.952144355346</v>
      </c>
      <c r="E25" s="5">
        <f t="shared" si="1"/>
        <v>27284.952144355346</v>
      </c>
      <c r="F25" s="5">
        <f t="shared" si="2"/>
        <v>9210.2868751320202</v>
      </c>
      <c r="G25" s="5">
        <f t="shared" si="3"/>
        <v>27574.665269223326</v>
      </c>
      <c r="H25" s="22">
        <f t="shared" si="10"/>
        <v>17380.336279288178</v>
      </c>
      <c r="I25" s="5">
        <f t="shared" si="4"/>
        <v>43877.420699195638</v>
      </c>
      <c r="J25" s="26">
        <f t="shared" si="5"/>
        <v>0.15815438603272952</v>
      </c>
      <c r="L25" s="22">
        <f t="shared" si="11"/>
        <v>50221.407964063626</v>
      </c>
      <c r="M25" s="5">
        <f>scrimecost*Meta!O22</f>
        <v>7921.0749999999998</v>
      </c>
      <c r="N25" s="5">
        <f>L25-Grade13!L25</f>
        <v>494.42283211638278</v>
      </c>
      <c r="O25" s="5">
        <f>Grade13!M25-M25</f>
        <v>61.975000000000364</v>
      </c>
      <c r="P25" s="22">
        <f t="shared" si="12"/>
        <v>43.49020782676719</v>
      </c>
      <c r="Q25" s="22"/>
      <c r="R25" s="22"/>
      <c r="S25" s="22">
        <f t="shared" si="6"/>
        <v>272.34316762114793</v>
      </c>
      <c r="T25" s="22">
        <f t="shared" si="7"/>
        <v>440.26704240324995</v>
      </c>
    </row>
    <row r="26" spans="1:20" x14ac:dyDescent="0.2">
      <c r="A26" s="5">
        <v>35</v>
      </c>
      <c r="B26" s="1">
        <f t="shared" si="8"/>
        <v>1.4482981664981105</v>
      </c>
      <c r="C26" s="5">
        <f t="shared" si="9"/>
        <v>39139.867748362733</v>
      </c>
      <c r="D26" s="5">
        <f t="shared" si="0"/>
        <v>37680.395947964236</v>
      </c>
      <c r="E26" s="5">
        <f t="shared" si="1"/>
        <v>28180.395947964236</v>
      </c>
      <c r="F26" s="5">
        <f t="shared" si="2"/>
        <v>9502.6492770103232</v>
      </c>
      <c r="G26" s="5">
        <f t="shared" si="3"/>
        <v>28177.746670953915</v>
      </c>
      <c r="H26" s="22">
        <f t="shared" si="10"/>
        <v>17814.844686270386</v>
      </c>
      <c r="I26" s="5">
        <f t="shared" si="4"/>
        <v>44888.070986675535</v>
      </c>
      <c r="J26" s="26">
        <f t="shared" si="5"/>
        <v>0.15976950292458011</v>
      </c>
      <c r="L26" s="22">
        <f t="shared" si="11"/>
        <v>51476.943163165233</v>
      </c>
      <c r="M26" s="5">
        <f>scrimecost*Meta!O23</f>
        <v>5986.9139999999998</v>
      </c>
      <c r="N26" s="5">
        <f>L26-Grade13!L26</f>
        <v>506.7834029193109</v>
      </c>
      <c r="O26" s="5">
        <f>Grade13!M26-M26</f>
        <v>46.842000000000553</v>
      </c>
      <c r="P26" s="22">
        <f t="shared" si="12"/>
        <v>44.33533686376736</v>
      </c>
      <c r="Q26" s="22"/>
      <c r="R26" s="22"/>
      <c r="S26" s="22">
        <f t="shared" si="6"/>
        <v>269.4540076477673</v>
      </c>
      <c r="T26" s="22">
        <f t="shared" si="7"/>
        <v>449.77051875014996</v>
      </c>
    </row>
    <row r="27" spans="1:20" x14ac:dyDescent="0.2">
      <c r="A27" s="5">
        <v>36</v>
      </c>
      <c r="B27" s="1">
        <f t="shared" si="8"/>
        <v>1.4845056206605631</v>
      </c>
      <c r="C27" s="5">
        <f t="shared" si="9"/>
        <v>40118.364442071797</v>
      </c>
      <c r="D27" s="5">
        <f t="shared" si="0"/>
        <v>38598.225846663343</v>
      </c>
      <c r="E27" s="5">
        <f t="shared" si="1"/>
        <v>29098.225846663343</v>
      </c>
      <c r="F27" s="5">
        <f t="shared" si="2"/>
        <v>9802.3207389355812</v>
      </c>
      <c r="G27" s="5">
        <f t="shared" si="3"/>
        <v>28795.905107727762</v>
      </c>
      <c r="H27" s="22">
        <f t="shared" si="10"/>
        <v>18260.215803427142</v>
      </c>
      <c r="I27" s="5">
        <f t="shared" si="4"/>
        <v>45923.98753134242</v>
      </c>
      <c r="J27" s="26">
        <f t="shared" si="5"/>
        <v>0.1613452267215075</v>
      </c>
      <c r="L27" s="22">
        <f t="shared" si="11"/>
        <v>52763.866742244354</v>
      </c>
      <c r="M27" s="5">
        <f>scrimecost*Meta!O24</f>
        <v>5986.9139999999998</v>
      </c>
      <c r="N27" s="5">
        <f>L27-Grade13!L27</f>
        <v>519.45298799229204</v>
      </c>
      <c r="O27" s="5">
        <f>Grade13!M27-M27</f>
        <v>46.842000000000553</v>
      </c>
      <c r="P27" s="22">
        <f t="shared" si="12"/>
        <v>45.201594126692513</v>
      </c>
      <c r="Q27" s="22"/>
      <c r="R27" s="22"/>
      <c r="S27" s="22">
        <f t="shared" si="6"/>
        <v>275.38060790004346</v>
      </c>
      <c r="T27" s="22">
        <f t="shared" si="7"/>
        <v>474.62033144519643</v>
      </c>
    </row>
    <row r="28" spans="1:20" x14ac:dyDescent="0.2">
      <c r="A28" s="5">
        <v>37</v>
      </c>
      <c r="B28" s="1">
        <f t="shared" si="8"/>
        <v>1.521618261177077</v>
      </c>
      <c r="C28" s="5">
        <f t="shared" si="9"/>
        <v>41121.323553123591</v>
      </c>
      <c r="D28" s="5">
        <f t="shared" si="0"/>
        <v>39539.001492829921</v>
      </c>
      <c r="E28" s="5">
        <f t="shared" si="1"/>
        <v>30039.001492829921</v>
      </c>
      <c r="F28" s="5">
        <f t="shared" si="2"/>
        <v>10109.483987408968</v>
      </c>
      <c r="G28" s="5">
        <f t="shared" si="3"/>
        <v>29429.517505420954</v>
      </c>
      <c r="H28" s="22">
        <f t="shared" si="10"/>
        <v>18716.72119851282</v>
      </c>
      <c r="I28" s="5">
        <f t="shared" si="4"/>
        <v>46985.801989625979</v>
      </c>
      <c r="J28" s="26">
        <f t="shared" si="5"/>
        <v>0.1628825182307049</v>
      </c>
      <c r="L28" s="22">
        <f t="shared" si="11"/>
        <v>54082.963410800454</v>
      </c>
      <c r="M28" s="5">
        <f>scrimecost*Meta!O25</f>
        <v>5986.9139999999998</v>
      </c>
      <c r="N28" s="5">
        <f>L28-Grade13!L28</f>
        <v>532.43931269208406</v>
      </c>
      <c r="O28" s="5">
        <f>Grade13!M28-M28</f>
        <v>46.842000000000553</v>
      </c>
      <c r="P28" s="22">
        <f t="shared" si="12"/>
        <v>46.089507821190793</v>
      </c>
      <c r="Q28" s="22"/>
      <c r="R28" s="22"/>
      <c r="S28" s="22">
        <f t="shared" si="6"/>
        <v>281.4553731586206</v>
      </c>
      <c r="T28" s="22">
        <f t="shared" si="7"/>
        <v>500.87479088123655</v>
      </c>
    </row>
    <row r="29" spans="1:20" x14ac:dyDescent="0.2">
      <c r="A29" s="5">
        <v>38</v>
      </c>
      <c r="B29" s="1">
        <f t="shared" si="8"/>
        <v>1.559658717706504</v>
      </c>
      <c r="C29" s="5">
        <f t="shared" si="9"/>
        <v>42149.356641951679</v>
      </c>
      <c r="D29" s="5">
        <f t="shared" si="0"/>
        <v>40503.29653015067</v>
      </c>
      <c r="E29" s="5">
        <f t="shared" si="1"/>
        <v>31003.29653015067</v>
      </c>
      <c r="F29" s="5">
        <f t="shared" si="2"/>
        <v>10424.326317094194</v>
      </c>
      <c r="G29" s="5">
        <f t="shared" si="3"/>
        <v>30078.970213056476</v>
      </c>
      <c r="H29" s="22">
        <f t="shared" si="10"/>
        <v>19184.63922847564</v>
      </c>
      <c r="I29" s="5">
        <f t="shared" si="4"/>
        <v>48074.161809366626</v>
      </c>
      <c r="J29" s="26">
        <f t="shared" si="5"/>
        <v>0.1643823148250439</v>
      </c>
      <c r="L29" s="22">
        <f t="shared" si="11"/>
        <v>55435.037496070472</v>
      </c>
      <c r="M29" s="5">
        <f>scrimecost*Meta!O26</f>
        <v>5986.9139999999998</v>
      </c>
      <c r="N29" s="5">
        <f>L29-Grade13!L29</f>
        <v>545.75029550939507</v>
      </c>
      <c r="O29" s="5">
        <f>Grade13!M29-M29</f>
        <v>46.842000000000553</v>
      </c>
      <c r="P29" s="22">
        <f t="shared" si="12"/>
        <v>46.999619358051547</v>
      </c>
      <c r="Q29" s="22"/>
      <c r="R29" s="22"/>
      <c r="S29" s="22">
        <f t="shared" si="6"/>
        <v>287.68200754867257</v>
      </c>
      <c r="T29" s="22">
        <f t="shared" si="7"/>
        <v>528.61438460254737</v>
      </c>
    </row>
    <row r="30" spans="1:20" x14ac:dyDescent="0.2">
      <c r="A30" s="5">
        <v>39</v>
      </c>
      <c r="B30" s="1">
        <f t="shared" si="8"/>
        <v>1.5986501856491666</v>
      </c>
      <c r="C30" s="5">
        <f t="shared" si="9"/>
        <v>43203.090558000469</v>
      </c>
      <c r="D30" s="5">
        <f t="shared" si="0"/>
        <v>41491.698943404437</v>
      </c>
      <c r="E30" s="5">
        <f t="shared" si="1"/>
        <v>31991.698943404437</v>
      </c>
      <c r="F30" s="5">
        <f t="shared" si="2"/>
        <v>10747.039705021549</v>
      </c>
      <c r="G30" s="5">
        <f t="shared" si="3"/>
        <v>30744.65923838289</v>
      </c>
      <c r="H30" s="22">
        <f t="shared" si="10"/>
        <v>19664.255209187533</v>
      </c>
      <c r="I30" s="5">
        <f t="shared" si="4"/>
        <v>49189.730624600794</v>
      </c>
      <c r="J30" s="26">
        <f t="shared" si="5"/>
        <v>0.16584553101464289</v>
      </c>
      <c r="L30" s="22">
        <f t="shared" si="11"/>
        <v>56820.913433472233</v>
      </c>
      <c r="M30" s="5">
        <f>scrimecost*Meta!O27</f>
        <v>5986.9139999999998</v>
      </c>
      <c r="N30" s="5">
        <f>L30-Grade13!L30</f>
        <v>559.39405289714341</v>
      </c>
      <c r="O30" s="5">
        <f>Grade13!M30-M30</f>
        <v>46.842000000000553</v>
      </c>
      <c r="P30" s="22">
        <f t="shared" si="12"/>
        <v>47.932483683333814</v>
      </c>
      <c r="Q30" s="22"/>
      <c r="R30" s="22"/>
      <c r="S30" s="22">
        <f t="shared" si="6"/>
        <v>294.06430779847784</v>
      </c>
      <c r="T30" s="22">
        <f t="shared" si="7"/>
        <v>557.92424875317647</v>
      </c>
    </row>
    <row r="31" spans="1:20" x14ac:dyDescent="0.2">
      <c r="A31" s="5">
        <v>40</v>
      </c>
      <c r="B31" s="1">
        <f t="shared" si="8"/>
        <v>1.6386164402903955</v>
      </c>
      <c r="C31" s="5">
        <f t="shared" si="9"/>
        <v>44283.167821950483</v>
      </c>
      <c r="D31" s="5">
        <f t="shared" si="0"/>
        <v>42504.811416989549</v>
      </c>
      <c r="E31" s="5">
        <f t="shared" si="1"/>
        <v>33004.811416989549</v>
      </c>
      <c r="F31" s="5">
        <f t="shared" si="2"/>
        <v>11077.820927647088</v>
      </c>
      <c r="G31" s="5">
        <f t="shared" si="3"/>
        <v>31426.990489342461</v>
      </c>
      <c r="H31" s="22">
        <f t="shared" si="10"/>
        <v>20155.861589417222</v>
      </c>
      <c r="I31" s="5">
        <f t="shared" si="4"/>
        <v>50333.188660215812</v>
      </c>
      <c r="J31" s="26">
        <f t="shared" si="5"/>
        <v>0.16727305900449557</v>
      </c>
      <c r="L31" s="22">
        <f t="shared" si="11"/>
        <v>58241.43626930903</v>
      </c>
      <c r="M31" s="5">
        <f>scrimecost*Meta!O28</f>
        <v>5348.4989999999998</v>
      </c>
      <c r="N31" s="5">
        <f>L31-Grade13!L31</f>
        <v>573.37890421956399</v>
      </c>
      <c r="O31" s="5">
        <f>Grade13!M31-M31</f>
        <v>41.847000000000662</v>
      </c>
      <c r="P31" s="22">
        <f t="shared" si="12"/>
        <v>48.888669616748132</v>
      </c>
      <c r="Q31" s="22"/>
      <c r="R31" s="22"/>
      <c r="S31" s="22">
        <f t="shared" si="6"/>
        <v>297.74403055451899</v>
      </c>
      <c r="T31" s="22">
        <f t="shared" si="7"/>
        <v>583.28744904433631</v>
      </c>
    </row>
    <row r="32" spans="1:20" x14ac:dyDescent="0.2">
      <c r="A32" s="5">
        <v>41</v>
      </c>
      <c r="B32" s="1">
        <f t="shared" si="8"/>
        <v>1.6795818512976552</v>
      </c>
      <c r="C32" s="5">
        <f t="shared" si="9"/>
        <v>45390.247017499234</v>
      </c>
      <c r="D32" s="5">
        <f t="shared" si="0"/>
        <v>43543.251702414273</v>
      </c>
      <c r="E32" s="5">
        <f t="shared" si="1"/>
        <v>34043.251702414273</v>
      </c>
      <c r="F32" s="5">
        <f t="shared" si="2"/>
        <v>11416.87168083826</v>
      </c>
      <c r="G32" s="5">
        <f t="shared" si="3"/>
        <v>32126.380021576013</v>
      </c>
      <c r="H32" s="22">
        <f t="shared" si="10"/>
        <v>20659.758129152648</v>
      </c>
      <c r="I32" s="5">
        <f t="shared" si="4"/>
        <v>51505.233146721192</v>
      </c>
      <c r="J32" s="26">
        <f t="shared" si="5"/>
        <v>0.16866576923849816</v>
      </c>
      <c r="L32" s="22">
        <f t="shared" si="11"/>
        <v>59697.472176041745</v>
      </c>
      <c r="M32" s="5">
        <f>scrimecost*Meta!O29</f>
        <v>5348.4989999999998</v>
      </c>
      <c r="N32" s="5">
        <f>L32-Grade13!L32</f>
        <v>587.71337682504236</v>
      </c>
      <c r="O32" s="5">
        <f>Grade13!M32-M32</f>
        <v>41.847000000000662</v>
      </c>
      <c r="P32" s="22">
        <f t="shared" si="12"/>
        <v>49.868760198497803</v>
      </c>
      <c r="Q32" s="22"/>
      <c r="R32" s="22"/>
      <c r="S32" s="22">
        <f t="shared" si="6"/>
        <v>304.44943475446007</v>
      </c>
      <c r="T32" s="22">
        <f t="shared" si="7"/>
        <v>615.83077281628141</v>
      </c>
    </row>
    <row r="33" spans="1:20" x14ac:dyDescent="0.2">
      <c r="A33" s="5">
        <v>42</v>
      </c>
      <c r="B33" s="1">
        <f t="shared" si="8"/>
        <v>1.7215713975800966</v>
      </c>
      <c r="C33" s="5">
        <f t="shared" si="9"/>
        <v>46525.003192936718</v>
      </c>
      <c r="D33" s="5">
        <f t="shared" si="0"/>
        <v>44607.652994974633</v>
      </c>
      <c r="E33" s="5">
        <f t="shared" si="1"/>
        <v>35107.652994974633</v>
      </c>
      <c r="F33" s="5">
        <f t="shared" si="2"/>
        <v>11825.16400235668</v>
      </c>
      <c r="G33" s="5">
        <f t="shared" si="3"/>
        <v>32782.488992617953</v>
      </c>
      <c r="H33" s="22">
        <f t="shared" si="10"/>
        <v>21176.252082381459</v>
      </c>
      <c r="I33" s="5">
        <f t="shared" si="4"/>
        <v>52645.813445891763</v>
      </c>
      <c r="J33" s="26">
        <f t="shared" si="5"/>
        <v>0.17098138785846606</v>
      </c>
      <c r="L33" s="22">
        <f t="shared" si="11"/>
        <v>61189.908980442793</v>
      </c>
      <c r="M33" s="5">
        <f>scrimecost*Meta!O30</f>
        <v>5348.4989999999998</v>
      </c>
      <c r="N33" s="5">
        <f>L33-Grade13!L33</f>
        <v>602.40621124567406</v>
      </c>
      <c r="O33" s="5">
        <f>Grade13!M33-M33</f>
        <v>41.847000000000662</v>
      </c>
      <c r="P33" s="22">
        <f t="shared" si="12"/>
        <v>51.049006681228015</v>
      </c>
      <c r="Q33" s="22"/>
      <c r="R33" s="22"/>
      <c r="S33" s="22">
        <f t="shared" si="6"/>
        <v>311.42312359308494</v>
      </c>
      <c r="T33" s="22">
        <f t="shared" si="7"/>
        <v>650.43472202904786</v>
      </c>
    </row>
    <row r="34" spans="1:20" x14ac:dyDescent="0.2">
      <c r="A34" s="5">
        <v>43</v>
      </c>
      <c r="B34" s="1">
        <f t="shared" si="8"/>
        <v>1.7646106825195991</v>
      </c>
      <c r="C34" s="5">
        <f t="shared" si="9"/>
        <v>47688.128272760136</v>
      </c>
      <c r="D34" s="5">
        <f t="shared" si="0"/>
        <v>45698.664319848998</v>
      </c>
      <c r="E34" s="5">
        <f t="shared" si="1"/>
        <v>36198.664319848998</v>
      </c>
      <c r="F34" s="5">
        <f t="shared" si="2"/>
        <v>12290.480332415598</v>
      </c>
      <c r="G34" s="5">
        <f t="shared" si="3"/>
        <v>33408.183987433396</v>
      </c>
      <c r="H34" s="22">
        <f t="shared" si="10"/>
        <v>21705.658384441002</v>
      </c>
      <c r="I34" s="5">
        <f t="shared" si="4"/>
        <v>53768.091552039055</v>
      </c>
      <c r="J34" s="26">
        <f t="shared" si="5"/>
        <v>0.17395977384707512</v>
      </c>
      <c r="L34" s="22">
        <f t="shared" si="11"/>
        <v>62719.656704953857</v>
      </c>
      <c r="M34" s="5">
        <f>scrimecost*Meta!O31</f>
        <v>5348.4989999999998</v>
      </c>
      <c r="N34" s="5">
        <f>L34-Grade13!L34</f>
        <v>617.466366526809</v>
      </c>
      <c r="O34" s="5">
        <f>Grade13!M34-M34</f>
        <v>41.847000000000662</v>
      </c>
      <c r="P34" s="22">
        <f t="shared" si="12"/>
        <v>52.394091888479927</v>
      </c>
      <c r="Q34" s="22"/>
      <c r="R34" s="22"/>
      <c r="S34" s="22">
        <f t="shared" si="6"/>
        <v>318.64870021095578</v>
      </c>
      <c r="T34" s="22">
        <f t="shared" si="7"/>
        <v>687.18181487422908</v>
      </c>
    </row>
    <row r="35" spans="1:20" x14ac:dyDescent="0.2">
      <c r="A35" s="5">
        <v>44</v>
      </c>
      <c r="B35" s="1">
        <f t="shared" si="8"/>
        <v>1.8087259495825889</v>
      </c>
      <c r="C35" s="5">
        <f t="shared" si="9"/>
        <v>48880.331479579138</v>
      </c>
      <c r="D35" s="5">
        <f t="shared" si="0"/>
        <v>46816.950927845224</v>
      </c>
      <c r="E35" s="5">
        <f t="shared" si="1"/>
        <v>37316.950927845224</v>
      </c>
      <c r="F35" s="5">
        <f t="shared" si="2"/>
        <v>12767.429570725988</v>
      </c>
      <c r="G35" s="5">
        <f t="shared" si="3"/>
        <v>34049.521357119236</v>
      </c>
      <c r="H35" s="22">
        <f t="shared" si="10"/>
        <v>22248.299844052024</v>
      </c>
      <c r="I35" s="5">
        <f t="shared" si="4"/>
        <v>54918.426610840033</v>
      </c>
      <c r="J35" s="26">
        <f t="shared" si="5"/>
        <v>0.1768655162749864</v>
      </c>
      <c r="L35" s="22">
        <f t="shared" si="11"/>
        <v>64287.648122577702</v>
      </c>
      <c r="M35" s="5">
        <f>scrimecost*Meta!O32</f>
        <v>5348.4989999999998</v>
      </c>
      <c r="N35" s="5">
        <f>L35-Grade13!L35</f>
        <v>632.90302568999323</v>
      </c>
      <c r="O35" s="5">
        <f>Grade13!M35-M35</f>
        <v>41.847000000000662</v>
      </c>
      <c r="P35" s="22">
        <f t="shared" si="12"/>
        <v>53.772804225913148</v>
      </c>
      <c r="Q35" s="22"/>
      <c r="R35" s="22"/>
      <c r="S35" s="22">
        <f t="shared" si="6"/>
        <v>326.05491624428248</v>
      </c>
      <c r="T35" s="22">
        <f t="shared" si="7"/>
        <v>726.03391088025955</v>
      </c>
    </row>
    <row r="36" spans="1:20" x14ac:dyDescent="0.2">
      <c r="A36" s="5">
        <v>45</v>
      </c>
      <c r="B36" s="1">
        <f t="shared" si="8"/>
        <v>1.8539440983221533</v>
      </c>
      <c r="C36" s="5">
        <f t="shared" si="9"/>
        <v>50102.339766568606</v>
      </c>
      <c r="D36" s="5">
        <f t="shared" si="0"/>
        <v>47963.19470104135</v>
      </c>
      <c r="E36" s="5">
        <f t="shared" si="1"/>
        <v>38463.19470104135</v>
      </c>
      <c r="F36" s="5">
        <f t="shared" si="2"/>
        <v>13256.302539994136</v>
      </c>
      <c r="G36" s="5">
        <f t="shared" si="3"/>
        <v>34706.892161047217</v>
      </c>
      <c r="H36" s="22">
        <f t="shared" si="10"/>
        <v>22804.507340153323</v>
      </c>
      <c r="I36" s="5">
        <f t="shared" si="4"/>
        <v>56097.520046111036</v>
      </c>
      <c r="J36" s="26">
        <f t="shared" si="5"/>
        <v>0.17970038693636323</v>
      </c>
      <c r="L36" s="22">
        <f t="shared" si="11"/>
        <v>65894.83932564214</v>
      </c>
      <c r="M36" s="5">
        <f>scrimecost*Meta!O33</f>
        <v>4535.1109999999999</v>
      </c>
      <c r="N36" s="5">
        <f>L36-Grade13!L36</f>
        <v>648.72560133224033</v>
      </c>
      <c r="O36" s="5">
        <f>Grade13!M36-M36</f>
        <v>35.483000000000175</v>
      </c>
      <c r="P36" s="22">
        <f t="shared" si="12"/>
        <v>55.185984371782183</v>
      </c>
      <c r="Q36" s="22"/>
      <c r="R36" s="22"/>
      <c r="S36" s="22">
        <f t="shared" si="6"/>
        <v>329.99971567843482</v>
      </c>
      <c r="T36" s="22">
        <f t="shared" si="7"/>
        <v>758.72844237137849</v>
      </c>
    </row>
    <row r="37" spans="1:20" x14ac:dyDescent="0.2">
      <c r="A37" s="5">
        <v>46</v>
      </c>
      <c r="B37" s="1">
        <f t="shared" ref="B37:B56" si="13">(1+experiencepremium)^(A37-startage)</f>
        <v>1.9002927007802071</v>
      </c>
      <c r="C37" s="5">
        <f t="shared" ref="C37:C56" si="14">pretaxincome*B37/expnorm</f>
        <v>51354.898260732814</v>
      </c>
      <c r="D37" s="5">
        <f t="shared" ref="D37:D56" si="15">IF(A37&lt;startage,1,0)*(C37*(1-initialunempprob))+IF(A37=startage,1,0)*(C37*(1-unempprob))+IF(A37&gt;startage,1,0)*(C37*(1-unempprob)+unempprob*300*52)</f>
        <v>49138.094568567372</v>
      </c>
      <c r="E37" s="5">
        <f t="shared" si="1"/>
        <v>39638.094568567372</v>
      </c>
      <c r="F37" s="5">
        <f t="shared" si="2"/>
        <v>13757.397333493984</v>
      </c>
      <c r="G37" s="5">
        <f t="shared" si="3"/>
        <v>35380.697235073385</v>
      </c>
      <c r="H37" s="22">
        <f t="shared" ref="H37:H56" si="16">benefits*B37/expnorm</f>
        <v>23374.620023657153</v>
      </c>
      <c r="I37" s="5">
        <f t="shared" ref="I37:I56" si="17">G37+IF(A37&lt;startage,1,0)*(H37*(1-initialunempprob))+IF(A37&gt;=startage,1,0)*(H37*(1-unempprob))</f>
        <v>57306.090817263794</v>
      </c>
      <c r="J37" s="26">
        <f t="shared" si="5"/>
        <v>0.18246611441087715</v>
      </c>
      <c r="L37" s="22">
        <f t="shared" ref="L37:L56" si="18">(sincome+sbenefits)*(1-sunemp)*B37/expnorm</f>
        <v>67542.210308783193</v>
      </c>
      <c r="M37" s="5">
        <f>scrimecost*Meta!O34</f>
        <v>4535.1109999999999</v>
      </c>
      <c r="N37" s="5">
        <f>L37-Grade13!L37</f>
        <v>664.94374136555416</v>
      </c>
      <c r="O37" s="5">
        <f>Grade13!M37-M37</f>
        <v>35.483000000000175</v>
      </c>
      <c r="P37" s="22">
        <f t="shared" si="12"/>
        <v>56.634494021297932</v>
      </c>
      <c r="Q37" s="22"/>
      <c r="R37" s="22"/>
      <c r="S37" s="22">
        <f t="shared" si="6"/>
        <v>337.78087139844575</v>
      </c>
      <c r="T37" s="22">
        <f t="shared" si="7"/>
        <v>801.88944470351873</v>
      </c>
    </row>
    <row r="38" spans="1:20" x14ac:dyDescent="0.2">
      <c r="A38" s="5">
        <v>47</v>
      </c>
      <c r="B38" s="1">
        <f t="shared" si="13"/>
        <v>1.9478000182997122</v>
      </c>
      <c r="C38" s="5">
        <f t="shared" si="14"/>
        <v>52638.770717251136</v>
      </c>
      <c r="D38" s="5">
        <f t="shared" si="15"/>
        <v>50342.366932781559</v>
      </c>
      <c r="E38" s="5">
        <f t="shared" si="1"/>
        <v>40842.366932781559</v>
      </c>
      <c r="F38" s="5">
        <f t="shared" si="2"/>
        <v>14271.019496831334</v>
      </c>
      <c r="G38" s="5">
        <f t="shared" si="3"/>
        <v>36071.347435950229</v>
      </c>
      <c r="H38" s="22">
        <f t="shared" si="16"/>
        <v>23958.985524248579</v>
      </c>
      <c r="I38" s="5">
        <f t="shared" si="17"/>
        <v>58544.875857695399</v>
      </c>
      <c r="J38" s="26">
        <f t="shared" si="5"/>
        <v>0.1851643851177201</v>
      </c>
      <c r="L38" s="22">
        <f t="shared" si="18"/>
        <v>69230.765566502756</v>
      </c>
      <c r="M38" s="5">
        <f>scrimecost*Meta!O35</f>
        <v>4535.1109999999999</v>
      </c>
      <c r="N38" s="5">
        <f>L38-Grade13!L38</f>
        <v>681.56733489967883</v>
      </c>
      <c r="O38" s="5">
        <f>Grade13!M38-M38</f>
        <v>35.483000000000175</v>
      </c>
      <c r="P38" s="22">
        <f t="shared" si="12"/>
        <v>58.119216412051586</v>
      </c>
      <c r="Q38" s="22"/>
      <c r="R38" s="22"/>
      <c r="S38" s="22">
        <f t="shared" si="6"/>
        <v>345.75655601144757</v>
      </c>
      <c r="T38" s="22">
        <f t="shared" si="7"/>
        <v>847.53280054742027</v>
      </c>
    </row>
    <row r="39" spans="1:20" x14ac:dyDescent="0.2">
      <c r="A39" s="5">
        <v>48</v>
      </c>
      <c r="B39" s="1">
        <f t="shared" si="13"/>
        <v>1.9964950187572048</v>
      </c>
      <c r="C39" s="5">
        <f t="shared" si="14"/>
        <v>53954.739985182416</v>
      </c>
      <c r="D39" s="5">
        <f t="shared" si="15"/>
        <v>51576.746106101098</v>
      </c>
      <c r="E39" s="5">
        <f t="shared" si="1"/>
        <v>42076.746106101098</v>
      </c>
      <c r="F39" s="5">
        <f t="shared" si="2"/>
        <v>14797.482214252117</v>
      </c>
      <c r="G39" s="5">
        <f t="shared" si="3"/>
        <v>36779.263891848983</v>
      </c>
      <c r="H39" s="22">
        <f t="shared" si="16"/>
        <v>24557.960162354793</v>
      </c>
      <c r="I39" s="5">
        <f t="shared" si="17"/>
        <v>59814.630524137778</v>
      </c>
      <c r="J39" s="26">
        <f t="shared" si="5"/>
        <v>0.18779684434390828</v>
      </c>
      <c r="L39" s="22">
        <f t="shared" si="18"/>
        <v>70961.534705665326</v>
      </c>
      <c r="M39" s="5">
        <f>scrimecost*Meta!O36</f>
        <v>4535.1109999999999</v>
      </c>
      <c r="N39" s="5">
        <f>L39-Grade13!L39</f>
        <v>698.60651827216498</v>
      </c>
      <c r="O39" s="5">
        <f>Grade13!M39-M39</f>
        <v>35.483000000000175</v>
      </c>
      <c r="P39" s="22">
        <f t="shared" si="12"/>
        <v>59.641056862574089</v>
      </c>
      <c r="Q39" s="22"/>
      <c r="R39" s="22"/>
      <c r="S39" s="22">
        <f t="shared" si="6"/>
        <v>353.93163273977797</v>
      </c>
      <c r="T39" s="22">
        <f t="shared" si="7"/>
        <v>895.80218399600381</v>
      </c>
    </row>
    <row r="40" spans="1:20" x14ac:dyDescent="0.2">
      <c r="A40" s="5">
        <v>49</v>
      </c>
      <c r="B40" s="1">
        <f t="shared" si="13"/>
        <v>2.0464073942261352</v>
      </c>
      <c r="C40" s="5">
        <f t="shared" si="14"/>
        <v>55303.608484811979</v>
      </c>
      <c r="D40" s="5">
        <f t="shared" si="15"/>
        <v>52841.984758753628</v>
      </c>
      <c r="E40" s="5">
        <f t="shared" si="1"/>
        <v>43341.984758753628</v>
      </c>
      <c r="F40" s="5">
        <f t="shared" si="2"/>
        <v>15337.106499608422</v>
      </c>
      <c r="G40" s="5">
        <f t="shared" si="3"/>
        <v>37504.878259145204</v>
      </c>
      <c r="H40" s="22">
        <f t="shared" si="16"/>
        <v>25171.909166413665</v>
      </c>
      <c r="I40" s="5">
        <f t="shared" si="17"/>
        <v>61116.129057241225</v>
      </c>
      <c r="J40" s="26">
        <f t="shared" si="5"/>
        <v>0.19036509724750658</v>
      </c>
      <c r="L40" s="22">
        <f t="shared" si="18"/>
        <v>72735.573073306965</v>
      </c>
      <c r="M40" s="5">
        <f>scrimecost*Meta!O37</f>
        <v>4535.1109999999999</v>
      </c>
      <c r="N40" s="5">
        <f>L40-Grade13!L40</f>
        <v>716.0716812289902</v>
      </c>
      <c r="O40" s="5">
        <f>Grade13!M40-M40</f>
        <v>35.483000000000175</v>
      </c>
      <c r="P40" s="22">
        <f t="shared" si="12"/>
        <v>61.200943324359656</v>
      </c>
      <c r="Q40" s="22"/>
      <c r="R40" s="22"/>
      <c r="S40" s="22">
        <f t="shared" si="6"/>
        <v>362.31108638632827</v>
      </c>
      <c r="T40" s="22">
        <f t="shared" si="7"/>
        <v>946.84961459773285</v>
      </c>
    </row>
    <row r="41" spans="1:20" x14ac:dyDescent="0.2">
      <c r="A41" s="5">
        <v>50</v>
      </c>
      <c r="B41" s="1">
        <f t="shared" si="13"/>
        <v>2.097567579081788</v>
      </c>
      <c r="C41" s="5">
        <f t="shared" si="14"/>
        <v>56686.198696932268</v>
      </c>
      <c r="D41" s="5">
        <f t="shared" si="15"/>
        <v>54138.854377722462</v>
      </c>
      <c r="E41" s="5">
        <f t="shared" si="1"/>
        <v>44638.854377722462</v>
      </c>
      <c r="F41" s="5">
        <f t="shared" si="2"/>
        <v>15890.221392098632</v>
      </c>
      <c r="G41" s="5">
        <f t="shared" si="3"/>
        <v>38248.63298562383</v>
      </c>
      <c r="H41" s="22">
        <f t="shared" si="16"/>
        <v>25801.206895574003</v>
      </c>
      <c r="I41" s="5">
        <f t="shared" si="17"/>
        <v>62450.165053672245</v>
      </c>
      <c r="J41" s="26">
        <f t="shared" si="5"/>
        <v>0.19287070983638294</v>
      </c>
      <c r="L41" s="22">
        <f t="shared" si="18"/>
        <v>74553.962400139615</v>
      </c>
      <c r="M41" s="5">
        <f>scrimecost*Meta!O38</f>
        <v>3281.9259999999999</v>
      </c>
      <c r="N41" s="5">
        <f>L41-Grade13!L41</f>
        <v>733.97347325966984</v>
      </c>
      <c r="O41" s="5">
        <f>Grade13!M41-M41</f>
        <v>25.677999999999884</v>
      </c>
      <c r="P41" s="22">
        <f t="shared" si="12"/>
        <v>62.799826947689844</v>
      </c>
      <c r="Q41" s="22"/>
      <c r="R41" s="22"/>
      <c r="S41" s="22">
        <f t="shared" si="6"/>
        <v>365.28176137401374</v>
      </c>
      <c r="T41" s="22">
        <f t="shared" si="7"/>
        <v>985.675627237144</v>
      </c>
    </row>
    <row r="42" spans="1:20" x14ac:dyDescent="0.2">
      <c r="A42" s="5">
        <v>51</v>
      </c>
      <c r="B42" s="1">
        <f t="shared" si="13"/>
        <v>2.1500067685588333</v>
      </c>
      <c r="C42" s="5">
        <f t="shared" si="14"/>
        <v>58103.353664355585</v>
      </c>
      <c r="D42" s="5">
        <f t="shared" si="15"/>
        <v>55468.145737165534</v>
      </c>
      <c r="E42" s="5">
        <f t="shared" si="1"/>
        <v>45968.145737165534</v>
      </c>
      <c r="F42" s="5">
        <f t="shared" si="2"/>
        <v>16457.164156901097</v>
      </c>
      <c r="G42" s="5">
        <f t="shared" si="3"/>
        <v>39010.981580264437</v>
      </c>
      <c r="H42" s="22">
        <f t="shared" si="16"/>
        <v>26446.237067963357</v>
      </c>
      <c r="I42" s="5">
        <f t="shared" si="17"/>
        <v>63817.551950014065</v>
      </c>
      <c r="J42" s="26">
        <f t="shared" si="5"/>
        <v>0.19531520992309151</v>
      </c>
      <c r="L42" s="22">
        <f t="shared" si="18"/>
        <v>76417.811460143144</v>
      </c>
      <c r="M42" s="5">
        <f>scrimecost*Meta!O39</f>
        <v>3281.9259999999999</v>
      </c>
      <c r="N42" s="5">
        <f>L42-Grade13!L42</f>
        <v>752.32281009120925</v>
      </c>
      <c r="O42" s="5">
        <f>Grade13!M42-M42</f>
        <v>25.677999999999884</v>
      </c>
      <c r="P42" s="22">
        <f t="shared" si="12"/>
        <v>64.438682661603309</v>
      </c>
      <c r="Q42" s="22"/>
      <c r="R42" s="22"/>
      <c r="S42" s="22">
        <f t="shared" ref="S42:S69" si="19">IF(A42&lt;startage,1,0)*(N42-Q42-R42)+IF(A42&gt;=startage,1,0)*completionprob*(N42*spart+O42+P42)</f>
        <v>374.08542486143125</v>
      </c>
      <c r="T42" s="22">
        <f t="shared" ref="T42:T69" si="20">S42/sreturn^(A42-startage+1)</f>
        <v>1042.2777415168657</v>
      </c>
    </row>
    <row r="43" spans="1:20" x14ac:dyDescent="0.2">
      <c r="A43" s="5">
        <v>52</v>
      </c>
      <c r="B43" s="1">
        <f t="shared" si="13"/>
        <v>2.2037569377728037</v>
      </c>
      <c r="C43" s="5">
        <f t="shared" si="14"/>
        <v>59555.937505964459</v>
      </c>
      <c r="D43" s="5">
        <f t="shared" si="15"/>
        <v>56830.669380594656</v>
      </c>
      <c r="E43" s="5">
        <f t="shared" si="1"/>
        <v>47330.669380594656</v>
      </c>
      <c r="F43" s="5">
        <f t="shared" si="2"/>
        <v>17038.280490823621</v>
      </c>
      <c r="G43" s="5">
        <f t="shared" si="3"/>
        <v>39792.388889771035</v>
      </c>
      <c r="H43" s="22">
        <f t="shared" si="16"/>
        <v>27107.392994662434</v>
      </c>
      <c r="I43" s="5">
        <f t="shared" si="17"/>
        <v>65219.123518764398</v>
      </c>
      <c r="J43" s="26">
        <f t="shared" si="5"/>
        <v>0.1977000880564658</v>
      </c>
      <c r="L43" s="22">
        <f t="shared" si="18"/>
        <v>78328.256746646701</v>
      </c>
      <c r="M43" s="5">
        <f>scrimecost*Meta!O40</f>
        <v>3281.9259999999999</v>
      </c>
      <c r="N43" s="5">
        <f>L43-Grade13!L43</f>
        <v>771.13088034346583</v>
      </c>
      <c r="O43" s="5">
        <f>Grade13!M43-M43</f>
        <v>25.677999999999884</v>
      </c>
      <c r="P43" s="22">
        <f t="shared" si="12"/>
        <v>66.118509768364589</v>
      </c>
      <c r="Q43" s="22"/>
      <c r="R43" s="22"/>
      <c r="S43" s="22">
        <f t="shared" si="19"/>
        <v>383.10917993600361</v>
      </c>
      <c r="T43" s="22">
        <f t="shared" si="20"/>
        <v>1102.1529828699679</v>
      </c>
    </row>
    <row r="44" spans="1:20" x14ac:dyDescent="0.2">
      <c r="A44" s="5">
        <v>53</v>
      </c>
      <c r="B44" s="1">
        <f t="shared" si="13"/>
        <v>2.2588508612171236</v>
      </c>
      <c r="C44" s="5">
        <f t="shared" si="14"/>
        <v>61044.835943613572</v>
      </c>
      <c r="D44" s="5">
        <f t="shared" si="15"/>
        <v>58227.256115109521</v>
      </c>
      <c r="E44" s="5">
        <f t="shared" si="1"/>
        <v>48727.256115109521</v>
      </c>
      <c r="F44" s="5">
        <f t="shared" si="2"/>
        <v>17633.924733094209</v>
      </c>
      <c r="G44" s="5">
        <f t="shared" si="3"/>
        <v>40593.331382015313</v>
      </c>
      <c r="H44" s="22">
        <f t="shared" si="16"/>
        <v>27785.077819528993</v>
      </c>
      <c r="I44" s="5">
        <f t="shared" si="17"/>
        <v>66655.734376733511</v>
      </c>
      <c r="J44" s="26">
        <f t="shared" si="5"/>
        <v>0.20002679843048943</v>
      </c>
      <c r="L44" s="22">
        <f t="shared" si="18"/>
        <v>80286.46316531286</v>
      </c>
      <c r="M44" s="5">
        <f>scrimecost*Meta!O41</f>
        <v>3281.9259999999999</v>
      </c>
      <c r="N44" s="5">
        <f>L44-Grade13!L44</f>
        <v>790.40915235206194</v>
      </c>
      <c r="O44" s="5">
        <f>Grade13!M44-M44</f>
        <v>25.677999999999884</v>
      </c>
      <c r="P44" s="22">
        <f t="shared" si="12"/>
        <v>67.840332552794905</v>
      </c>
      <c r="Q44" s="22"/>
      <c r="R44" s="22"/>
      <c r="S44" s="22">
        <f t="shared" si="19"/>
        <v>392.3585288874545</v>
      </c>
      <c r="T44" s="22">
        <f t="shared" si="20"/>
        <v>1165.4913790657936</v>
      </c>
    </row>
    <row r="45" spans="1:20" x14ac:dyDescent="0.2">
      <c r="A45" s="5">
        <v>54</v>
      </c>
      <c r="B45" s="1">
        <f t="shared" si="13"/>
        <v>2.3153221327475517</v>
      </c>
      <c r="C45" s="5">
        <f t="shared" si="14"/>
        <v>62570.956842203908</v>
      </c>
      <c r="D45" s="5">
        <f t="shared" si="15"/>
        <v>59658.757517987258</v>
      </c>
      <c r="E45" s="5">
        <f t="shared" si="1"/>
        <v>50158.757517987258</v>
      </c>
      <c r="F45" s="5">
        <f t="shared" si="2"/>
        <v>18244.460081421566</v>
      </c>
      <c r="G45" s="5">
        <f t="shared" si="3"/>
        <v>41414.297436565692</v>
      </c>
      <c r="H45" s="22">
        <f t="shared" si="16"/>
        <v>28479.704765017221</v>
      </c>
      <c r="I45" s="5">
        <f t="shared" si="17"/>
        <v>68128.260506151841</v>
      </c>
      <c r="J45" s="26">
        <f t="shared" si="5"/>
        <v>0.20229675977100034</v>
      </c>
      <c r="L45" s="22">
        <f t="shared" si="18"/>
        <v>82293.624744445682</v>
      </c>
      <c r="M45" s="5">
        <f>scrimecost*Meta!O42</f>
        <v>3281.9259999999999</v>
      </c>
      <c r="N45" s="5">
        <f>L45-Grade13!L45</f>
        <v>810.16938116087113</v>
      </c>
      <c r="O45" s="5">
        <f>Grade13!M45-M45</f>
        <v>25.677999999999884</v>
      </c>
      <c r="P45" s="22">
        <f t="shared" si="12"/>
        <v>69.605200906835989</v>
      </c>
      <c r="Q45" s="22"/>
      <c r="R45" s="22"/>
      <c r="S45" s="22">
        <f t="shared" si="19"/>
        <v>401.83911156269096</v>
      </c>
      <c r="T45" s="22">
        <f t="shared" si="20"/>
        <v>1232.4940150258908</v>
      </c>
    </row>
    <row r="46" spans="1:20" x14ac:dyDescent="0.2">
      <c r="A46" s="5">
        <v>55</v>
      </c>
      <c r="B46" s="1">
        <f t="shared" si="13"/>
        <v>2.3732051860662402</v>
      </c>
      <c r="C46" s="5">
        <f t="shared" si="14"/>
        <v>64135.230763258995</v>
      </c>
      <c r="D46" s="5">
        <f t="shared" si="15"/>
        <v>61126.046455936928</v>
      </c>
      <c r="E46" s="5">
        <f t="shared" si="1"/>
        <v>51626.046455936928</v>
      </c>
      <c r="F46" s="5">
        <f t="shared" si="2"/>
        <v>18870.258813457098</v>
      </c>
      <c r="G46" s="5">
        <f t="shared" si="3"/>
        <v>42255.787642479831</v>
      </c>
      <c r="H46" s="22">
        <f t="shared" si="16"/>
        <v>29191.697384142648</v>
      </c>
      <c r="I46" s="5">
        <f t="shared" si="17"/>
        <v>69637.59978880563</v>
      </c>
      <c r="J46" s="26">
        <f t="shared" si="5"/>
        <v>0.20451135620076705</v>
      </c>
      <c r="L46" s="22">
        <f t="shared" si="18"/>
        <v>84350.965363056806</v>
      </c>
      <c r="M46" s="5">
        <f>scrimecost*Meta!O43</f>
        <v>1962.5349999999999</v>
      </c>
      <c r="N46" s="5">
        <f>L46-Grade13!L46</f>
        <v>830.42361568985507</v>
      </c>
      <c r="O46" s="5">
        <f>Grade13!M46-M46</f>
        <v>15.355000000000018</v>
      </c>
      <c r="P46" s="22">
        <f t="shared" si="12"/>
        <v>71.414190969728082</v>
      </c>
      <c r="Q46" s="22"/>
      <c r="R46" s="22"/>
      <c r="S46" s="22">
        <f t="shared" si="19"/>
        <v>405.64162980478881</v>
      </c>
      <c r="T46" s="22">
        <f t="shared" si="20"/>
        <v>1284.6410015394003</v>
      </c>
    </row>
    <row r="47" spans="1:20" x14ac:dyDescent="0.2">
      <c r="A47" s="5">
        <v>56</v>
      </c>
      <c r="B47" s="1">
        <f t="shared" si="13"/>
        <v>2.4325353157178964</v>
      </c>
      <c r="C47" s="5">
        <f t="shared" si="14"/>
        <v>65738.611532340481</v>
      </c>
      <c r="D47" s="5">
        <f t="shared" si="15"/>
        <v>62630.017617335361</v>
      </c>
      <c r="E47" s="5">
        <f t="shared" si="1"/>
        <v>53130.017617335361</v>
      </c>
      <c r="F47" s="5">
        <f t="shared" si="2"/>
        <v>19511.702513793531</v>
      </c>
      <c r="G47" s="5">
        <f t="shared" si="3"/>
        <v>43118.315103541827</v>
      </c>
      <c r="H47" s="22">
        <f t="shared" si="16"/>
        <v>29921.489818746213</v>
      </c>
      <c r="I47" s="5">
        <f t="shared" si="17"/>
        <v>71184.672553525772</v>
      </c>
      <c r="J47" s="26">
        <f t="shared" si="5"/>
        <v>0.20667193808346634</v>
      </c>
      <c r="L47" s="22">
        <f t="shared" si="18"/>
        <v>86459.739497133225</v>
      </c>
      <c r="M47" s="5">
        <f>scrimecost*Meta!O44</f>
        <v>1962.5349999999999</v>
      </c>
      <c r="N47" s="5">
        <f>L47-Grade13!L47</f>
        <v>851.18420608212182</v>
      </c>
      <c r="O47" s="5">
        <f>Grade13!M47-M47</f>
        <v>15.355000000000018</v>
      </c>
      <c r="P47" s="22">
        <f t="shared" si="12"/>
        <v>73.26840578419251</v>
      </c>
      <c r="Q47" s="22"/>
      <c r="R47" s="22"/>
      <c r="S47" s="22">
        <f t="shared" si="19"/>
        <v>415.60216697796403</v>
      </c>
      <c r="T47" s="22">
        <f t="shared" si="20"/>
        <v>1359.0133082941611</v>
      </c>
    </row>
    <row r="48" spans="1:20" x14ac:dyDescent="0.2">
      <c r="A48" s="5">
        <v>57</v>
      </c>
      <c r="B48" s="1">
        <f t="shared" si="13"/>
        <v>2.4933486986108435</v>
      </c>
      <c r="C48" s="5">
        <f t="shared" si="14"/>
        <v>67382.076820648988</v>
      </c>
      <c r="D48" s="5">
        <f t="shared" si="15"/>
        <v>64171.588057768742</v>
      </c>
      <c r="E48" s="5">
        <f t="shared" si="1"/>
        <v>54671.588057768742</v>
      </c>
      <c r="F48" s="5">
        <f t="shared" si="2"/>
        <v>20169.182306638369</v>
      </c>
      <c r="G48" s="5">
        <f t="shared" si="3"/>
        <v>44002.405751130369</v>
      </c>
      <c r="H48" s="22">
        <f t="shared" si="16"/>
        <v>30669.527064214864</v>
      </c>
      <c r="I48" s="5">
        <f t="shared" si="17"/>
        <v>72770.422137363901</v>
      </c>
      <c r="J48" s="26">
        <f t="shared" si="5"/>
        <v>0.20877982284707539</v>
      </c>
      <c r="L48" s="22">
        <f t="shared" si="18"/>
        <v>88621.23298456156</v>
      </c>
      <c r="M48" s="5">
        <f>scrimecost*Meta!O45</f>
        <v>1962.5349999999999</v>
      </c>
      <c r="N48" s="5">
        <f>L48-Grade13!L48</f>
        <v>872.46381123420724</v>
      </c>
      <c r="O48" s="5">
        <f>Grade13!M48-M48</f>
        <v>15.355000000000018</v>
      </c>
      <c r="P48" s="22">
        <f t="shared" si="12"/>
        <v>75.168975969018533</v>
      </c>
      <c r="Q48" s="22"/>
      <c r="R48" s="22"/>
      <c r="S48" s="22">
        <f t="shared" si="19"/>
        <v>425.81171758047378</v>
      </c>
      <c r="T48" s="22">
        <f t="shared" si="20"/>
        <v>1437.7062499507433</v>
      </c>
    </row>
    <row r="49" spans="1:20" x14ac:dyDescent="0.2">
      <c r="A49" s="5">
        <v>58</v>
      </c>
      <c r="B49" s="1">
        <f t="shared" si="13"/>
        <v>2.555682416076114</v>
      </c>
      <c r="C49" s="5">
        <f t="shared" si="14"/>
        <v>69066.628741165187</v>
      </c>
      <c r="D49" s="5">
        <f t="shared" si="15"/>
        <v>65751.697759212941</v>
      </c>
      <c r="E49" s="5">
        <f t="shared" si="1"/>
        <v>56251.697759212941</v>
      </c>
      <c r="F49" s="5">
        <f t="shared" si="2"/>
        <v>20843.099094304322</v>
      </c>
      <c r="G49" s="5">
        <f t="shared" si="3"/>
        <v>44908.598664908619</v>
      </c>
      <c r="H49" s="22">
        <f t="shared" si="16"/>
        <v>31436.26524082023</v>
      </c>
      <c r="I49" s="5">
        <f t="shared" si="17"/>
        <v>74395.815460797996</v>
      </c>
      <c r="J49" s="26">
        <f t="shared" si="5"/>
        <v>0.21083629578718177</v>
      </c>
      <c r="L49" s="22">
        <f t="shared" si="18"/>
        <v>90836.76380917558</v>
      </c>
      <c r="M49" s="5">
        <f>scrimecost*Meta!O46</f>
        <v>1962.5349999999999</v>
      </c>
      <c r="N49" s="5">
        <f>L49-Grade13!L49</f>
        <v>894.27540651502204</v>
      </c>
      <c r="O49" s="5">
        <f>Grade13!M49-M49</f>
        <v>15.355000000000018</v>
      </c>
      <c r="P49" s="22">
        <f t="shared" si="12"/>
        <v>77.117060408465193</v>
      </c>
      <c r="Q49" s="22"/>
      <c r="R49" s="22"/>
      <c r="S49" s="22">
        <f t="shared" si="19"/>
        <v>436.27650694801508</v>
      </c>
      <c r="T49" s="22">
        <f t="shared" si="20"/>
        <v>1520.9713232036593</v>
      </c>
    </row>
    <row r="50" spans="1:20" x14ac:dyDescent="0.2">
      <c r="A50" s="5">
        <v>59</v>
      </c>
      <c r="B50" s="1">
        <f t="shared" si="13"/>
        <v>2.6195744764780171</v>
      </c>
      <c r="C50" s="5">
        <f t="shared" si="14"/>
        <v>70793.294459694327</v>
      </c>
      <c r="D50" s="5">
        <f t="shared" si="15"/>
        <v>67371.310203193265</v>
      </c>
      <c r="E50" s="5">
        <f t="shared" si="1"/>
        <v>57871.310203193265</v>
      </c>
      <c r="F50" s="5">
        <f t="shared" si="2"/>
        <v>21533.86380166193</v>
      </c>
      <c r="G50" s="5">
        <f t="shared" si="3"/>
        <v>45837.446401531335</v>
      </c>
      <c r="H50" s="22">
        <f t="shared" si="16"/>
        <v>32222.171871840743</v>
      </c>
      <c r="I50" s="5">
        <f t="shared" si="17"/>
        <v>76061.843617317951</v>
      </c>
      <c r="J50" s="26">
        <f t="shared" si="5"/>
        <v>0.21284261085070014</v>
      </c>
      <c r="L50" s="22">
        <f t="shared" si="18"/>
        <v>93107.682904404966</v>
      </c>
      <c r="M50" s="5">
        <f>scrimecost*Meta!O47</f>
        <v>1962.5349999999999</v>
      </c>
      <c r="N50" s="5">
        <f>L50-Grade13!L50</f>
        <v>916.63229167790269</v>
      </c>
      <c r="O50" s="5">
        <f>Grade13!M50-M50</f>
        <v>15.355000000000018</v>
      </c>
      <c r="P50" s="22">
        <f t="shared" si="12"/>
        <v>79.113846958898037</v>
      </c>
      <c r="Q50" s="22"/>
      <c r="R50" s="22"/>
      <c r="S50" s="22">
        <f t="shared" si="19"/>
        <v>447.00291604976439</v>
      </c>
      <c r="T50" s="22">
        <f t="shared" si="20"/>
        <v>1609.074679977879</v>
      </c>
    </row>
    <row r="51" spans="1:20" x14ac:dyDescent="0.2">
      <c r="A51" s="5">
        <v>60</v>
      </c>
      <c r="B51" s="1">
        <f t="shared" si="13"/>
        <v>2.6850638383899672</v>
      </c>
      <c r="C51" s="5">
        <f t="shared" si="14"/>
        <v>72563.126821186685</v>
      </c>
      <c r="D51" s="5">
        <f t="shared" si="15"/>
        <v>69031.412958273097</v>
      </c>
      <c r="E51" s="5">
        <f t="shared" si="1"/>
        <v>59531.412958273097</v>
      </c>
      <c r="F51" s="5">
        <f t="shared" si="2"/>
        <v>22241.897626703474</v>
      </c>
      <c r="G51" s="5">
        <f t="shared" si="3"/>
        <v>46789.515331569623</v>
      </c>
      <c r="H51" s="22">
        <f t="shared" si="16"/>
        <v>33027.726168636756</v>
      </c>
      <c r="I51" s="5">
        <f t="shared" si="17"/>
        <v>77769.522477750899</v>
      </c>
      <c r="J51" s="26">
        <f t="shared" si="5"/>
        <v>0.21479999140047421</v>
      </c>
      <c r="L51" s="22">
        <f t="shared" si="18"/>
        <v>95435.37497701509</v>
      </c>
      <c r="M51" s="5">
        <f>scrimecost*Meta!O48</f>
        <v>1078.212</v>
      </c>
      <c r="N51" s="5">
        <f>L51-Grade13!L51</f>
        <v>939.54809896985535</v>
      </c>
      <c r="O51" s="5">
        <f>Grade13!M51-M51</f>
        <v>8.4360000000001492</v>
      </c>
      <c r="P51" s="22">
        <f t="shared" si="12"/>
        <v>81.160553173091685</v>
      </c>
      <c r="Q51" s="22"/>
      <c r="R51" s="22"/>
      <c r="S51" s="22">
        <f t="shared" si="19"/>
        <v>454.03289837905749</v>
      </c>
      <c r="T51" s="22">
        <f t="shared" si="20"/>
        <v>1687.5622930686561</v>
      </c>
    </row>
    <row r="52" spans="1:20" x14ac:dyDescent="0.2">
      <c r="A52" s="5">
        <v>61</v>
      </c>
      <c r="B52" s="1">
        <f t="shared" si="13"/>
        <v>2.7521904343497163</v>
      </c>
      <c r="C52" s="5">
        <f t="shared" si="14"/>
        <v>74377.204991716339</v>
      </c>
      <c r="D52" s="5">
        <f t="shared" si="15"/>
        <v>70733.018282229925</v>
      </c>
      <c r="E52" s="5">
        <f t="shared" si="1"/>
        <v>61233.018282229925</v>
      </c>
      <c r="F52" s="5">
        <f t="shared" si="2"/>
        <v>22967.632297371063</v>
      </c>
      <c r="G52" s="5">
        <f t="shared" si="3"/>
        <v>47765.385984858862</v>
      </c>
      <c r="H52" s="22">
        <f t="shared" si="16"/>
        <v>33853.419322852671</v>
      </c>
      <c r="I52" s="5">
        <f t="shared" si="17"/>
        <v>79519.893309694657</v>
      </c>
      <c r="J52" s="26">
        <f t="shared" si="5"/>
        <v>0.21670963096122942</v>
      </c>
      <c r="L52" s="22">
        <f t="shared" si="18"/>
        <v>97821.259351440473</v>
      </c>
      <c r="M52" s="5">
        <f>scrimecost*Meta!O49</f>
        <v>1078.212</v>
      </c>
      <c r="N52" s="5">
        <f>L52-Grade13!L52</f>
        <v>963.03680144411919</v>
      </c>
      <c r="O52" s="5">
        <f>Grade13!M52-M52</f>
        <v>8.4360000000001492</v>
      </c>
      <c r="P52" s="22">
        <f t="shared" si="12"/>
        <v>83.258427042640207</v>
      </c>
      <c r="Q52" s="22"/>
      <c r="R52" s="22"/>
      <c r="S52" s="22">
        <f t="shared" si="19"/>
        <v>465.30233194158814</v>
      </c>
      <c r="T52" s="22">
        <f t="shared" si="20"/>
        <v>1785.7241250430441</v>
      </c>
    </row>
    <row r="53" spans="1:20" x14ac:dyDescent="0.2">
      <c r="A53" s="5">
        <v>62</v>
      </c>
      <c r="B53" s="1">
        <f t="shared" si="13"/>
        <v>2.8209951952084591</v>
      </c>
      <c r="C53" s="5">
        <f t="shared" si="14"/>
        <v>76236.635116509249</v>
      </c>
      <c r="D53" s="5">
        <f t="shared" si="15"/>
        <v>72477.163739285665</v>
      </c>
      <c r="E53" s="5">
        <f t="shared" si="1"/>
        <v>62977.163739285665</v>
      </c>
      <c r="F53" s="5">
        <f t="shared" si="2"/>
        <v>23711.510334805338</v>
      </c>
      <c r="G53" s="5">
        <f t="shared" si="3"/>
        <v>48765.653404480327</v>
      </c>
      <c r="H53" s="22">
        <f t="shared" si="16"/>
        <v>34699.754805923985</v>
      </c>
      <c r="I53" s="5">
        <f t="shared" si="17"/>
        <v>81314.023412437018</v>
      </c>
      <c r="J53" s="26">
        <f t="shared" si="5"/>
        <v>0.218572693947332</v>
      </c>
      <c r="L53" s="22">
        <f t="shared" si="18"/>
        <v>100266.79083522648</v>
      </c>
      <c r="M53" s="5">
        <f>scrimecost*Meta!O50</f>
        <v>1078.212</v>
      </c>
      <c r="N53" s="5">
        <f>L53-Grade13!L53</f>
        <v>987.11272148021089</v>
      </c>
      <c r="O53" s="5">
        <f>Grade13!M53-M53</f>
        <v>8.4360000000001492</v>
      </c>
      <c r="P53" s="22">
        <f t="shared" si="12"/>
        <v>85.408747758927419</v>
      </c>
      <c r="Q53" s="22"/>
      <c r="R53" s="22"/>
      <c r="S53" s="22">
        <f t="shared" si="19"/>
        <v>476.8535013431698</v>
      </c>
      <c r="T53" s="22">
        <f t="shared" si="20"/>
        <v>1889.6038225850343</v>
      </c>
    </row>
    <row r="54" spans="1:20" x14ac:dyDescent="0.2">
      <c r="A54" s="5">
        <v>63</v>
      </c>
      <c r="B54" s="1">
        <f t="shared" si="13"/>
        <v>2.8915200750886707</v>
      </c>
      <c r="C54" s="5">
        <f t="shared" si="14"/>
        <v>78142.550994421981</v>
      </c>
      <c r="D54" s="5">
        <f t="shared" si="15"/>
        <v>74264.912832767805</v>
      </c>
      <c r="E54" s="5">
        <f t="shared" si="1"/>
        <v>64764.912832767805</v>
      </c>
      <c r="F54" s="5">
        <f t="shared" si="2"/>
        <v>24473.985323175468</v>
      </c>
      <c r="G54" s="5">
        <f t="shared" si="3"/>
        <v>49790.927509592337</v>
      </c>
      <c r="H54" s="22">
        <f t="shared" si="16"/>
        <v>35567.248676072086</v>
      </c>
      <c r="I54" s="5">
        <f t="shared" si="17"/>
        <v>83153.006767747953</v>
      </c>
      <c r="J54" s="26">
        <f t="shared" si="5"/>
        <v>0.22039031637279793</v>
      </c>
      <c r="L54" s="22">
        <f t="shared" si="18"/>
        <v>102773.46060610714</v>
      </c>
      <c r="M54" s="5">
        <f>scrimecost*Meta!O51</f>
        <v>1078.212</v>
      </c>
      <c r="N54" s="5">
        <f>L54-Grade13!L54</f>
        <v>1011.790539517242</v>
      </c>
      <c r="O54" s="5">
        <f>Grade13!M54-M54</f>
        <v>8.4360000000001492</v>
      </c>
      <c r="P54" s="22">
        <f t="shared" si="12"/>
        <v>87.612826493121787</v>
      </c>
      <c r="Q54" s="22"/>
      <c r="R54" s="22"/>
      <c r="S54" s="22">
        <f t="shared" si="19"/>
        <v>488.69344997980687</v>
      </c>
      <c r="T54" s="22">
        <f t="shared" si="20"/>
        <v>1999.5347091120323</v>
      </c>
    </row>
    <row r="55" spans="1:20" x14ac:dyDescent="0.2">
      <c r="A55" s="5">
        <v>64</v>
      </c>
      <c r="B55" s="1">
        <f t="shared" si="13"/>
        <v>2.9638080769658868</v>
      </c>
      <c r="C55" s="5">
        <f t="shared" si="14"/>
        <v>80096.114769282503</v>
      </c>
      <c r="D55" s="5">
        <f t="shared" si="15"/>
        <v>76097.355653586987</v>
      </c>
      <c r="E55" s="5">
        <f t="shared" si="1"/>
        <v>66597.355653586987</v>
      </c>
      <c r="F55" s="5">
        <f t="shared" si="2"/>
        <v>25255.52218625485</v>
      </c>
      <c r="G55" s="5">
        <f t="shared" si="3"/>
        <v>50841.833467332137</v>
      </c>
      <c r="H55" s="22">
        <f t="shared" si="16"/>
        <v>36456.42989297388</v>
      </c>
      <c r="I55" s="5">
        <f t="shared" si="17"/>
        <v>85037.964706941624</v>
      </c>
      <c r="J55" s="26">
        <f t="shared" si="5"/>
        <v>0.22216360654398429</v>
      </c>
      <c r="L55" s="22">
        <f t="shared" si="18"/>
        <v>105342.79712125979</v>
      </c>
      <c r="M55" s="5">
        <f>scrimecost*Meta!O52</f>
        <v>1078.212</v>
      </c>
      <c r="N55" s="5">
        <f>L55-Grade13!L55</f>
        <v>1037.0853030051367</v>
      </c>
      <c r="O55" s="5">
        <f>Grade13!M55-M55</f>
        <v>8.4360000000001492</v>
      </c>
      <c r="P55" s="22">
        <f t="shared" si="12"/>
        <v>89.872007195671046</v>
      </c>
      <c r="Q55" s="22"/>
      <c r="R55" s="22"/>
      <c r="S55" s="22">
        <f t="shared" si="19"/>
        <v>500.82939733233314</v>
      </c>
      <c r="T55" s="22">
        <f t="shared" si="20"/>
        <v>2115.8695476736389</v>
      </c>
    </row>
    <row r="56" spans="1:20" x14ac:dyDescent="0.2">
      <c r="A56" s="5">
        <v>65</v>
      </c>
      <c r="B56" s="1">
        <f t="shared" si="13"/>
        <v>3.0379032788900342</v>
      </c>
      <c r="C56" s="5">
        <f t="shared" si="14"/>
        <v>82098.51763851459</v>
      </c>
      <c r="D56" s="5">
        <f t="shared" si="15"/>
        <v>77975.609544926672</v>
      </c>
      <c r="E56" s="5">
        <f t="shared" si="1"/>
        <v>68475.609544926672</v>
      </c>
      <c r="F56" s="5">
        <f t="shared" si="2"/>
        <v>26056.597470911227</v>
      </c>
      <c r="G56" s="5">
        <f t="shared" si="3"/>
        <v>51919.012074015445</v>
      </c>
      <c r="H56" s="22">
        <f t="shared" si="16"/>
        <v>37367.840640298229</v>
      </c>
      <c r="I56" s="5">
        <f t="shared" si="17"/>
        <v>86970.046594615182</v>
      </c>
      <c r="J56" s="26">
        <f t="shared" si="5"/>
        <v>0.22389364573538559</v>
      </c>
      <c r="L56" s="22">
        <f t="shared" si="18"/>
        <v>107976.36704929131</v>
      </c>
      <c r="M56" s="5">
        <f>scrimecost*Meta!O53</f>
        <v>340.488</v>
      </c>
      <c r="N56" s="5">
        <f>L56-Grade13!L56</f>
        <v>1063.0124355803127</v>
      </c>
      <c r="O56" s="5">
        <f>Grade13!M56-M56</f>
        <v>2.6639999999999873</v>
      </c>
      <c r="P56" s="22">
        <f t="shared" si="12"/>
        <v>92.187667415784048</v>
      </c>
      <c r="Q56" s="22"/>
      <c r="R56" s="22"/>
      <c r="S56" s="22">
        <f t="shared" si="19"/>
        <v>509.96138736870859</v>
      </c>
      <c r="T56" s="22">
        <f t="shared" si="20"/>
        <v>2224.5543217040467</v>
      </c>
    </row>
    <row r="57" spans="1:20" x14ac:dyDescent="0.2">
      <c r="A57" s="5">
        <v>66</v>
      </c>
      <c r="C57" s="5"/>
      <c r="H57" s="21"/>
      <c r="I57" s="5"/>
      <c r="M57" s="5">
        <f>scrimecost*Meta!O54</f>
        <v>340.488</v>
      </c>
      <c r="N57" s="5">
        <f>L57-Grade13!L57</f>
        <v>0</v>
      </c>
      <c r="O57" s="5">
        <f>Grade13!M57-M57</f>
        <v>2.6639999999999873</v>
      </c>
      <c r="Q57" s="22"/>
      <c r="R57" s="22"/>
      <c r="S57" s="22">
        <f t="shared" si="19"/>
        <v>1.5264719999999925</v>
      </c>
      <c r="T57" s="22">
        <f t="shared" si="20"/>
        <v>6.8754512951257549</v>
      </c>
    </row>
    <row r="58" spans="1:20" x14ac:dyDescent="0.2">
      <c r="A58" s="5">
        <v>67</v>
      </c>
      <c r="C58" s="5"/>
      <c r="H58" s="21"/>
      <c r="I58" s="5"/>
      <c r="M58" s="5">
        <f>scrimecost*Meta!O55</f>
        <v>340.488</v>
      </c>
      <c r="N58" s="5">
        <f>L58-Grade13!L58</f>
        <v>0</v>
      </c>
      <c r="O58" s="5">
        <f>Grade13!M58-M58</f>
        <v>2.6639999999999873</v>
      </c>
      <c r="Q58" s="22"/>
      <c r="R58" s="22"/>
      <c r="S58" s="22">
        <f t="shared" si="19"/>
        <v>1.5264719999999925</v>
      </c>
      <c r="T58" s="22">
        <f t="shared" si="20"/>
        <v>7.0991745758498732</v>
      </c>
    </row>
    <row r="59" spans="1:20" x14ac:dyDescent="0.2">
      <c r="A59" s="5">
        <v>68</v>
      </c>
      <c r="H59" s="21"/>
      <c r="I59" s="5"/>
      <c r="M59" s="5">
        <f>scrimecost*Meta!O56</f>
        <v>340.488</v>
      </c>
      <c r="N59" s="5">
        <f>L59-Grade13!L59</f>
        <v>0</v>
      </c>
      <c r="O59" s="5">
        <f>Grade13!M59-M59</f>
        <v>2.6639999999999873</v>
      </c>
      <c r="Q59" s="22"/>
      <c r="R59" s="22"/>
      <c r="S59" s="22">
        <f t="shared" si="19"/>
        <v>1.5264719999999925</v>
      </c>
      <c r="T59" s="22">
        <f t="shared" si="20"/>
        <v>7.3301776850811686</v>
      </c>
    </row>
    <row r="60" spans="1:20" x14ac:dyDescent="0.2">
      <c r="A60" s="5">
        <v>69</v>
      </c>
      <c r="H60" s="21"/>
      <c r="I60" s="5"/>
      <c r="M60" s="5">
        <f>scrimecost*Meta!O57</f>
        <v>340.488</v>
      </c>
      <c r="N60" s="5">
        <f>L60-Grade13!L60</f>
        <v>0</v>
      </c>
      <c r="O60" s="5">
        <f>Grade13!M60-M60</f>
        <v>2.6639999999999873</v>
      </c>
      <c r="Q60" s="22"/>
      <c r="R60" s="22"/>
      <c r="S60" s="22">
        <f t="shared" si="19"/>
        <v>1.5264719999999925</v>
      </c>
      <c r="T60" s="22">
        <f t="shared" si="20"/>
        <v>7.5686975043052076</v>
      </c>
    </row>
    <row r="61" spans="1:20" x14ac:dyDescent="0.2">
      <c r="A61" s="5">
        <v>70</v>
      </c>
      <c r="H61" s="21"/>
      <c r="I61" s="5"/>
      <c r="M61" s="5">
        <f>scrimecost*Meta!O58</f>
        <v>340.488</v>
      </c>
      <c r="N61" s="5">
        <f>L61-Grade13!L61</f>
        <v>0</v>
      </c>
      <c r="O61" s="5">
        <f>Grade13!M61-M61</f>
        <v>2.6639999999999873</v>
      </c>
      <c r="Q61" s="22"/>
      <c r="R61" s="22"/>
      <c r="S61" s="22">
        <f t="shared" si="19"/>
        <v>1.5264719999999925</v>
      </c>
      <c r="T61" s="22">
        <f t="shared" si="20"/>
        <v>7.8149786229965787</v>
      </c>
    </row>
    <row r="62" spans="1:20" x14ac:dyDescent="0.2">
      <c r="A62" s="5">
        <v>71</v>
      </c>
      <c r="H62" s="21"/>
      <c r="I62" s="5"/>
      <c r="M62" s="5">
        <f>scrimecost*Meta!O59</f>
        <v>340.488</v>
      </c>
      <c r="N62" s="5">
        <f>L62-Grade13!L62</f>
        <v>0</v>
      </c>
      <c r="O62" s="5">
        <f>Grade13!M62-M62</f>
        <v>2.6639999999999873</v>
      </c>
      <c r="Q62" s="22"/>
      <c r="R62" s="22"/>
      <c r="S62" s="22">
        <f t="shared" si="19"/>
        <v>1.5264719999999925</v>
      </c>
      <c r="T62" s="22">
        <f t="shared" si="20"/>
        <v>8.069273589432477</v>
      </c>
    </row>
    <row r="63" spans="1:20" x14ac:dyDescent="0.2">
      <c r="A63" s="5">
        <v>72</v>
      </c>
      <c r="H63" s="21"/>
      <c r="M63" s="5">
        <f>scrimecost*Meta!O60</f>
        <v>340.488</v>
      </c>
      <c r="N63" s="5">
        <f>L63-Grade13!L63</f>
        <v>0</v>
      </c>
      <c r="O63" s="5">
        <f>Grade13!M63-M63</f>
        <v>2.6639999999999873</v>
      </c>
      <c r="Q63" s="22"/>
      <c r="R63" s="22"/>
      <c r="S63" s="22">
        <f t="shared" si="19"/>
        <v>1.5264719999999925</v>
      </c>
      <c r="T63" s="22">
        <f t="shared" si="20"/>
        <v>8.3318431696676161</v>
      </c>
    </row>
    <row r="64" spans="1:20" x14ac:dyDescent="0.2">
      <c r="A64" s="5">
        <v>73</v>
      </c>
      <c r="H64" s="21"/>
      <c r="M64" s="5">
        <f>scrimecost*Meta!O61</f>
        <v>340.488</v>
      </c>
      <c r="N64" s="5">
        <f>L64-Grade13!L64</f>
        <v>0</v>
      </c>
      <c r="O64" s="5">
        <f>Grade13!M64-M64</f>
        <v>2.6639999999999873</v>
      </c>
      <c r="Q64" s="22"/>
      <c r="R64" s="22"/>
      <c r="S64" s="22">
        <f t="shared" si="19"/>
        <v>1.5264719999999925</v>
      </c>
      <c r="T64" s="22">
        <f t="shared" si="20"/>
        <v>8.6029566149360512</v>
      </c>
    </row>
    <row r="65" spans="1:20" x14ac:dyDescent="0.2">
      <c r="A65" s="5">
        <v>74</v>
      </c>
      <c r="H65" s="21"/>
      <c r="M65" s="5">
        <f>scrimecost*Meta!O62</f>
        <v>340.488</v>
      </c>
      <c r="N65" s="5">
        <f>L65-Grade13!L65</f>
        <v>0</v>
      </c>
      <c r="O65" s="5">
        <f>Grade13!M65-M65</f>
        <v>2.6639999999999873</v>
      </c>
      <c r="Q65" s="22"/>
      <c r="R65" s="22"/>
      <c r="S65" s="22">
        <f t="shared" si="19"/>
        <v>1.5264719999999925</v>
      </c>
      <c r="T65" s="22">
        <f t="shared" si="20"/>
        <v>8.8828919377540938</v>
      </c>
    </row>
    <row r="66" spans="1:20" x14ac:dyDescent="0.2">
      <c r="A66" s="5">
        <v>75</v>
      </c>
      <c r="H66" s="21"/>
      <c r="M66" s="5">
        <f>scrimecost*Meta!O63</f>
        <v>340.488</v>
      </c>
      <c r="N66" s="5">
        <f>L66-Grade13!L66</f>
        <v>0</v>
      </c>
      <c r="O66" s="5">
        <f>Grade13!M66-M66</f>
        <v>2.6639999999999873</v>
      </c>
      <c r="Q66" s="22"/>
      <c r="R66" s="22"/>
      <c r="S66" s="22">
        <f t="shared" si="19"/>
        <v>1.5264719999999925</v>
      </c>
      <c r="T66" s="22">
        <f t="shared" si="20"/>
        <v>9.1719361970074509</v>
      </c>
    </row>
    <row r="67" spans="1:20" x14ac:dyDescent="0.2">
      <c r="A67" s="5">
        <v>76</v>
      </c>
      <c r="H67" s="21"/>
      <c r="M67" s="5">
        <f>scrimecost*Meta!O64</f>
        <v>340.488</v>
      </c>
      <c r="N67" s="5">
        <f>L67-Grade13!L67</f>
        <v>0</v>
      </c>
      <c r="O67" s="5">
        <f>Grade13!M67-M67</f>
        <v>2.6639999999999873</v>
      </c>
      <c r="Q67" s="22"/>
      <c r="R67" s="22"/>
      <c r="S67" s="22">
        <f t="shared" si="19"/>
        <v>1.5264719999999925</v>
      </c>
      <c r="T67" s="22">
        <f t="shared" si="20"/>
        <v>9.4703857923149659</v>
      </c>
    </row>
    <row r="68" spans="1:20" x14ac:dyDescent="0.2">
      <c r="A68" s="5">
        <v>77</v>
      </c>
      <c r="H68" s="21"/>
      <c r="M68" s="5">
        <f>scrimecost*Meta!O65</f>
        <v>340.488</v>
      </c>
      <c r="N68" s="5">
        <f>L68-Grade13!L68</f>
        <v>0</v>
      </c>
      <c r="O68" s="5">
        <f>Grade13!M68-M68</f>
        <v>2.6639999999999873</v>
      </c>
      <c r="Q68" s="22"/>
      <c r="R68" s="22"/>
      <c r="S68" s="22">
        <f t="shared" si="19"/>
        <v>1.5264719999999925</v>
      </c>
      <c r="T68" s="22">
        <f t="shared" si="20"/>
        <v>9.7785467679707505</v>
      </c>
    </row>
    <row r="69" spans="1:20" x14ac:dyDescent="0.2">
      <c r="A69" s="5">
        <v>78</v>
      </c>
      <c r="H69" s="21"/>
      <c r="M69" s="5">
        <f>scrimecost*Meta!O66</f>
        <v>340.488</v>
      </c>
      <c r="N69" s="5">
        <f>L69-Grade13!L69</f>
        <v>0</v>
      </c>
      <c r="O69" s="5">
        <f>Grade13!M69-M69</f>
        <v>2.6639999999999873</v>
      </c>
      <c r="Q69" s="22"/>
      <c r="R69" s="22"/>
      <c r="S69" s="22">
        <f t="shared" si="19"/>
        <v>1.5264719999999925</v>
      </c>
      <c r="T69" s="22">
        <f t="shared" si="20"/>
        <v>10.096735126776458</v>
      </c>
    </row>
    <row r="70" spans="1:20" x14ac:dyDescent="0.2">
      <c r="A70" s="5">
        <v>79</v>
      </c>
      <c r="H70" s="21"/>
      <c r="M70" s="5"/>
      <c r="Q70" s="22"/>
      <c r="R70" s="22"/>
      <c r="S70" s="22">
        <f>SUM(T5:T69)</f>
        <v>9.6148866646217357E-11</v>
      </c>
    </row>
    <row r="71" spans="1:20" x14ac:dyDescent="0.2">
      <c r="A71" s="5">
        <v>80</v>
      </c>
      <c r="H71" s="21"/>
      <c r="M71" s="5"/>
      <c r="Q71" s="22"/>
      <c r="R71" s="22"/>
    </row>
    <row r="72" spans="1:20" x14ac:dyDescent="0.2">
      <c r="A72" s="5">
        <v>81</v>
      </c>
      <c r="H72" s="21"/>
      <c r="M72" s="5"/>
      <c r="Q72" s="22"/>
      <c r="R72" s="22"/>
    </row>
    <row r="73" spans="1:20" x14ac:dyDescent="0.2">
      <c r="A73" s="5">
        <v>82</v>
      </c>
      <c r="H73" s="21"/>
      <c r="M73" s="5"/>
    </row>
    <row r="74" spans="1:20" x14ac:dyDescent="0.2">
      <c r="A74" s="5">
        <v>83</v>
      </c>
      <c r="H74" s="21"/>
      <c r="M74" s="5"/>
    </row>
    <row r="75" spans="1:20" x14ac:dyDescent="0.2">
      <c r="A75" s="5">
        <v>84</v>
      </c>
      <c r="H75" s="21"/>
      <c r="M75" s="5"/>
    </row>
    <row r="76" spans="1:20" x14ac:dyDescent="0.2">
      <c r="A76" s="5">
        <v>85</v>
      </c>
      <c r="H76" s="21"/>
    </row>
    <row r="77" spans="1:20" x14ac:dyDescent="0.2">
      <c r="A77" s="5">
        <v>86</v>
      </c>
      <c r="H77" s="21"/>
    </row>
    <row r="78" spans="1:20" x14ac:dyDescent="0.2">
      <c r="A78" s="5">
        <v>87</v>
      </c>
      <c r="H78" s="21"/>
    </row>
    <row r="79" spans="1:20" x14ac:dyDescent="0.2">
      <c r="A79" s="5">
        <v>88</v>
      </c>
      <c r="H79" s="21"/>
    </row>
    <row r="80" spans="1:20" x14ac:dyDescent="0.2">
      <c r="A80" s="5">
        <v>89</v>
      </c>
      <c r="H80" s="21"/>
    </row>
    <row r="81" spans="1:8" x14ac:dyDescent="0.2">
      <c r="A81" s="5">
        <v>90</v>
      </c>
      <c r="H81" s="21"/>
    </row>
  </sheetData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13</vt:i4>
      </vt:variant>
      <vt:variant>
        <vt:lpstr>Named Ranges</vt:lpstr>
      </vt:variant>
      <vt:variant>
        <vt:i4>272</vt:i4>
      </vt:variant>
    </vt:vector>
  </HeadingPairs>
  <TitlesOfParts>
    <vt:vector size="285" baseType="lpstr">
      <vt:lpstr>Meta</vt:lpstr>
      <vt:lpstr>Output</vt:lpstr>
      <vt:lpstr>Grade8</vt:lpstr>
      <vt:lpstr>Grade9</vt:lpstr>
      <vt:lpstr>Grade10</vt:lpstr>
      <vt:lpstr>Grade11</vt:lpstr>
      <vt:lpstr>Grade12</vt:lpstr>
      <vt:lpstr>Grade13</vt:lpstr>
      <vt:lpstr>Grade14</vt:lpstr>
      <vt:lpstr>Grade15</vt:lpstr>
      <vt:lpstr>Grade16</vt:lpstr>
      <vt:lpstr>Grade17</vt:lpstr>
      <vt:lpstr>Grade18</vt:lpstr>
      <vt:lpstr>Meta!_edn1</vt:lpstr>
      <vt:lpstr>Output!_edn1</vt:lpstr>
      <vt:lpstr>Meta!_ednref1</vt:lpstr>
      <vt:lpstr>Output!_ednref1</vt:lpstr>
      <vt:lpstr>Meta!baseincome</vt:lpstr>
      <vt:lpstr>Grade10!benefits</vt:lpstr>
      <vt:lpstr>Grade11!benefits</vt:lpstr>
      <vt:lpstr>Grade12!benefits</vt:lpstr>
      <vt:lpstr>Grade13!benefits</vt:lpstr>
      <vt:lpstr>Grade14!benefits</vt:lpstr>
      <vt:lpstr>Grade15!benefits</vt:lpstr>
      <vt:lpstr>Grade16!benefits</vt:lpstr>
      <vt:lpstr>Grade17!benefits</vt:lpstr>
      <vt:lpstr>Grade18!benefits</vt:lpstr>
      <vt:lpstr>Grade9!benefits</vt:lpstr>
      <vt:lpstr>benefits</vt:lpstr>
      <vt:lpstr>Grade10!benrat</vt:lpstr>
      <vt:lpstr>Grade11!benrat</vt:lpstr>
      <vt:lpstr>Grade12!benrat</vt:lpstr>
      <vt:lpstr>Grade13!benrat</vt:lpstr>
      <vt:lpstr>Grade14!benrat</vt:lpstr>
      <vt:lpstr>Grade15!benrat</vt:lpstr>
      <vt:lpstr>Grade16!benrat</vt:lpstr>
      <vt:lpstr>Grade17!benrat</vt:lpstr>
      <vt:lpstr>Grade18!benrat</vt:lpstr>
      <vt:lpstr>Grade9!benrat</vt:lpstr>
      <vt:lpstr>benrat</vt:lpstr>
      <vt:lpstr>coltuition</vt:lpstr>
      <vt:lpstr>Grade10!completionprob</vt:lpstr>
      <vt:lpstr>Grade11!completionprob</vt:lpstr>
      <vt:lpstr>Grade12!completionprob</vt:lpstr>
      <vt:lpstr>Grade13!completionprob</vt:lpstr>
      <vt:lpstr>Grade14!completionprob</vt:lpstr>
      <vt:lpstr>Grade15!completionprob</vt:lpstr>
      <vt:lpstr>Grade16!completionprob</vt:lpstr>
      <vt:lpstr>Grade17!completionprob</vt:lpstr>
      <vt:lpstr>Grade18!completionprob</vt:lpstr>
      <vt:lpstr>completionprob</vt:lpstr>
      <vt:lpstr>Grade10!comprat</vt:lpstr>
      <vt:lpstr>Grade11!comprat</vt:lpstr>
      <vt:lpstr>Grade12!comprat</vt:lpstr>
      <vt:lpstr>Grade13!comprat</vt:lpstr>
      <vt:lpstr>Grade14!comprat</vt:lpstr>
      <vt:lpstr>Grade15!comprat</vt:lpstr>
      <vt:lpstr>Grade16!comprat</vt:lpstr>
      <vt:lpstr>Grade17!comprat</vt:lpstr>
      <vt:lpstr>Grade18!comprat</vt:lpstr>
      <vt:lpstr>Grade9!comprat</vt:lpstr>
      <vt:lpstr>comprat</vt:lpstr>
      <vt:lpstr>experiencepremium</vt:lpstr>
      <vt:lpstr>Grade10!expnorm</vt:lpstr>
      <vt:lpstr>Grade11!expnorm</vt:lpstr>
      <vt:lpstr>Grade12!expnorm</vt:lpstr>
      <vt:lpstr>Grade13!expnorm</vt:lpstr>
      <vt:lpstr>Grade14!expnorm</vt:lpstr>
      <vt:lpstr>Grade15!expnorm</vt:lpstr>
      <vt:lpstr>Grade16!expnorm</vt:lpstr>
      <vt:lpstr>Grade17!expnorm</vt:lpstr>
      <vt:lpstr>Grade18!expnorm</vt:lpstr>
      <vt:lpstr>Grade9!expnorm</vt:lpstr>
      <vt:lpstr>expnorm</vt:lpstr>
      <vt:lpstr>Grade10!expnorm8</vt:lpstr>
      <vt:lpstr>Grade11!expnorm8</vt:lpstr>
      <vt:lpstr>Grade12!expnorm8</vt:lpstr>
      <vt:lpstr>Grade13!expnorm8</vt:lpstr>
      <vt:lpstr>Grade14!expnorm8</vt:lpstr>
      <vt:lpstr>Grade15!expnorm8</vt:lpstr>
      <vt:lpstr>Grade16!expnorm8</vt:lpstr>
      <vt:lpstr>Grade17!expnorm8</vt:lpstr>
      <vt:lpstr>Grade18!expnorm8</vt:lpstr>
      <vt:lpstr>Grade9!expnorm8</vt:lpstr>
      <vt:lpstr>expnorm8</vt:lpstr>
      <vt:lpstr>feel</vt:lpstr>
      <vt:lpstr>hstuition</vt:lpstr>
      <vt:lpstr>Meta!incomeindex</vt:lpstr>
      <vt:lpstr>Grade10!initialbenrat</vt:lpstr>
      <vt:lpstr>Grade11!initialbenrat</vt:lpstr>
      <vt:lpstr>Grade12!initialbenrat</vt:lpstr>
      <vt:lpstr>Grade13!initialbenrat</vt:lpstr>
      <vt:lpstr>Grade14!initialbenrat</vt:lpstr>
      <vt:lpstr>Grade15!initialbenrat</vt:lpstr>
      <vt:lpstr>Grade16!initialbenrat</vt:lpstr>
      <vt:lpstr>Grade17!initialbenrat</vt:lpstr>
      <vt:lpstr>Grade18!initialbenrat</vt:lpstr>
      <vt:lpstr>Grade9!initialbenrat</vt:lpstr>
      <vt:lpstr>initialbenrat</vt:lpstr>
      <vt:lpstr>Grade10!initialpart</vt:lpstr>
      <vt:lpstr>Grade11!initialpart</vt:lpstr>
      <vt:lpstr>Grade12!initialpart</vt:lpstr>
      <vt:lpstr>Grade13!initialpart</vt:lpstr>
      <vt:lpstr>Grade14!initialpart</vt:lpstr>
      <vt:lpstr>Grade15!initialpart</vt:lpstr>
      <vt:lpstr>Grade16!initialpart</vt:lpstr>
      <vt:lpstr>Grade17!initialpart</vt:lpstr>
      <vt:lpstr>Grade18!initialpart</vt:lpstr>
      <vt:lpstr>initialpart</vt:lpstr>
      <vt:lpstr>Grade10!initialspart</vt:lpstr>
      <vt:lpstr>Grade11!initialspart</vt:lpstr>
      <vt:lpstr>Grade12!initialspart</vt:lpstr>
      <vt:lpstr>Grade13!initialspart</vt:lpstr>
      <vt:lpstr>Grade14!initialspart</vt:lpstr>
      <vt:lpstr>Grade15!initialspart</vt:lpstr>
      <vt:lpstr>Grade16!initialspart</vt:lpstr>
      <vt:lpstr>Grade17!initialspart</vt:lpstr>
      <vt:lpstr>Grade18!initialspart</vt:lpstr>
      <vt:lpstr>initialspart</vt:lpstr>
      <vt:lpstr>Grade10!initialunempprob</vt:lpstr>
      <vt:lpstr>Grade11!initialunempprob</vt:lpstr>
      <vt:lpstr>Grade12!initialunempprob</vt:lpstr>
      <vt:lpstr>Grade13!initialunempprob</vt:lpstr>
      <vt:lpstr>Grade14!initialunempprob</vt:lpstr>
      <vt:lpstr>Grade15!initialunempprob</vt:lpstr>
      <vt:lpstr>Grade16!initialunempprob</vt:lpstr>
      <vt:lpstr>Grade17!initialunempprob</vt:lpstr>
      <vt:lpstr>Grade18!initialunempprob</vt:lpstr>
      <vt:lpstr>Grade9!initialunempprob</vt:lpstr>
      <vt:lpstr>initialunempprob</vt:lpstr>
      <vt:lpstr>nptrans</vt:lpstr>
      <vt:lpstr>part10</vt:lpstr>
      <vt:lpstr>part11</vt:lpstr>
      <vt:lpstr>part12</vt:lpstr>
      <vt:lpstr>part13</vt:lpstr>
      <vt:lpstr>part14</vt:lpstr>
      <vt:lpstr>part15</vt:lpstr>
      <vt:lpstr>part16</vt:lpstr>
      <vt:lpstr>part17</vt:lpstr>
      <vt:lpstr>part18</vt:lpstr>
      <vt:lpstr>part8</vt:lpstr>
      <vt:lpstr>part9</vt:lpstr>
      <vt:lpstr>Grade10!pretaxincome</vt:lpstr>
      <vt:lpstr>Grade11!pretaxincome</vt:lpstr>
      <vt:lpstr>Grade12!pretaxincome</vt:lpstr>
      <vt:lpstr>Grade13!pretaxincome</vt:lpstr>
      <vt:lpstr>Grade14!pretaxincome</vt:lpstr>
      <vt:lpstr>Grade15!pretaxincome</vt:lpstr>
      <vt:lpstr>Grade16!pretaxincome</vt:lpstr>
      <vt:lpstr>Grade17!pretaxincome</vt:lpstr>
      <vt:lpstr>Grade18!pretaxincome</vt:lpstr>
      <vt:lpstr>Grade9!pretaxincome</vt:lpstr>
      <vt:lpstr>pretaxincome</vt:lpstr>
      <vt:lpstr>Grade10!pretaxincome8</vt:lpstr>
      <vt:lpstr>Grade11!pretaxincome8</vt:lpstr>
      <vt:lpstr>Grade12!pretaxincome8</vt:lpstr>
      <vt:lpstr>Grade13!pretaxincome8</vt:lpstr>
      <vt:lpstr>Grade14!pretaxincome8</vt:lpstr>
      <vt:lpstr>Grade15!pretaxincome8</vt:lpstr>
      <vt:lpstr>Grade16!pretaxincome8</vt:lpstr>
      <vt:lpstr>Grade17!pretaxincome8</vt:lpstr>
      <vt:lpstr>Grade18!pretaxincome8</vt:lpstr>
      <vt:lpstr>Grade9!pretaxincome8</vt:lpstr>
      <vt:lpstr>pretaxincome8</vt:lpstr>
      <vt:lpstr>Grade10!pretaxincomey8</vt:lpstr>
      <vt:lpstr>Grade11!pretaxincomey8</vt:lpstr>
      <vt:lpstr>Grade12!pretaxincomey8</vt:lpstr>
      <vt:lpstr>Grade13!pretaxincomey8</vt:lpstr>
      <vt:lpstr>Grade14!pretaxincomey8</vt:lpstr>
      <vt:lpstr>Grade15!pretaxincomey8</vt:lpstr>
      <vt:lpstr>Grade16!pretaxincomey8</vt:lpstr>
      <vt:lpstr>Grade17!pretaxincomey8</vt:lpstr>
      <vt:lpstr>Grade18!pretaxincomey8</vt:lpstr>
      <vt:lpstr>Grade9!pretaxincomey8</vt:lpstr>
      <vt:lpstr>pretaxincomey8</vt:lpstr>
      <vt:lpstr>returntoexperience</vt:lpstr>
      <vt:lpstr>Grade10!sbenefits</vt:lpstr>
      <vt:lpstr>Grade11!sbenefits</vt:lpstr>
      <vt:lpstr>Grade12!sbenefits</vt:lpstr>
      <vt:lpstr>Grade13!sbenefits</vt:lpstr>
      <vt:lpstr>Grade14!sbenefits</vt:lpstr>
      <vt:lpstr>Grade15!sbenefits</vt:lpstr>
      <vt:lpstr>Grade16!sbenefits</vt:lpstr>
      <vt:lpstr>Grade17!sbenefits</vt:lpstr>
      <vt:lpstr>Grade18!sbenefits</vt:lpstr>
      <vt:lpstr>Grade9!sbenefits</vt:lpstr>
      <vt:lpstr>sbenefits</vt:lpstr>
      <vt:lpstr>Grade10!scrimecost</vt:lpstr>
      <vt:lpstr>Grade11!scrimecost</vt:lpstr>
      <vt:lpstr>Grade12!scrimecost</vt:lpstr>
      <vt:lpstr>Grade13!scrimecost</vt:lpstr>
      <vt:lpstr>Grade14!scrimecost</vt:lpstr>
      <vt:lpstr>Grade15!scrimecost</vt:lpstr>
      <vt:lpstr>Grade16!scrimecost</vt:lpstr>
      <vt:lpstr>Grade17!scrimecost</vt:lpstr>
      <vt:lpstr>Grade18!scrimecost</vt:lpstr>
      <vt:lpstr>Grade9!scrimecost</vt:lpstr>
      <vt:lpstr>scrimecost</vt:lpstr>
      <vt:lpstr>Grade10!sincome</vt:lpstr>
      <vt:lpstr>Grade11!sincome</vt:lpstr>
      <vt:lpstr>Grade12!sincome</vt:lpstr>
      <vt:lpstr>Grade13!sincome</vt:lpstr>
      <vt:lpstr>Grade14!sincome</vt:lpstr>
      <vt:lpstr>Grade15!sincome</vt:lpstr>
      <vt:lpstr>Grade16!sincome</vt:lpstr>
      <vt:lpstr>Grade17!sincome</vt:lpstr>
      <vt:lpstr>Grade18!sincome</vt:lpstr>
      <vt:lpstr>Grade9!sincome</vt:lpstr>
      <vt:lpstr>sincome</vt:lpstr>
      <vt:lpstr>Grade10!spart</vt:lpstr>
      <vt:lpstr>Grade11!spart</vt:lpstr>
      <vt:lpstr>Grade12!spart</vt:lpstr>
      <vt:lpstr>Grade13!spart</vt:lpstr>
      <vt:lpstr>Grade14!spart</vt:lpstr>
      <vt:lpstr>Grade15!spart</vt:lpstr>
      <vt:lpstr>Grade16!spart</vt:lpstr>
      <vt:lpstr>Grade17!spart</vt:lpstr>
      <vt:lpstr>Grade18!spart</vt:lpstr>
      <vt:lpstr>Grade9!spart</vt:lpstr>
      <vt:lpstr>spart</vt:lpstr>
      <vt:lpstr>Grade10!sreturn</vt:lpstr>
      <vt:lpstr>Grade11!sreturn</vt:lpstr>
      <vt:lpstr>Grade12!sreturn</vt:lpstr>
      <vt:lpstr>Grade13!sreturn</vt:lpstr>
      <vt:lpstr>Grade14!sreturn</vt:lpstr>
      <vt:lpstr>Grade15!sreturn</vt:lpstr>
      <vt:lpstr>Grade16!sreturn</vt:lpstr>
      <vt:lpstr>Grade17!sreturn</vt:lpstr>
      <vt:lpstr>Grade18!sreturn</vt:lpstr>
      <vt:lpstr>sreturn</vt:lpstr>
      <vt:lpstr>Grade10!startage</vt:lpstr>
      <vt:lpstr>Grade11!startage</vt:lpstr>
      <vt:lpstr>Grade12!startage</vt:lpstr>
      <vt:lpstr>Grade13!startage</vt:lpstr>
      <vt:lpstr>Grade14!startage</vt:lpstr>
      <vt:lpstr>Grade15!startage</vt:lpstr>
      <vt:lpstr>Grade16!startage</vt:lpstr>
      <vt:lpstr>Grade17!startage</vt:lpstr>
      <vt:lpstr>Grade18!startage</vt:lpstr>
      <vt:lpstr>Grade9!startage</vt:lpstr>
      <vt:lpstr>startage</vt:lpstr>
      <vt:lpstr>Grade10!sunemp</vt:lpstr>
      <vt:lpstr>Grade11!sunemp</vt:lpstr>
      <vt:lpstr>Grade12!sunemp</vt:lpstr>
      <vt:lpstr>Grade13!sunemp</vt:lpstr>
      <vt:lpstr>Grade14!sunemp</vt:lpstr>
      <vt:lpstr>Grade15!sunemp</vt:lpstr>
      <vt:lpstr>Grade16!sunemp</vt:lpstr>
      <vt:lpstr>Grade17!sunemp</vt:lpstr>
      <vt:lpstr>Grade18!sunemp</vt:lpstr>
      <vt:lpstr>Grade9!sunemp</vt:lpstr>
      <vt:lpstr>sunemp</vt:lpstr>
      <vt:lpstr>Grade10!unempprob</vt:lpstr>
      <vt:lpstr>Grade11!unempprob</vt:lpstr>
      <vt:lpstr>Grade12!unempprob</vt:lpstr>
      <vt:lpstr>Grade13!unempprob</vt:lpstr>
      <vt:lpstr>Grade14!unempprob</vt:lpstr>
      <vt:lpstr>Grade15!unempprob</vt:lpstr>
      <vt:lpstr>Grade16!unempprob</vt:lpstr>
      <vt:lpstr>Grade17!unempprob</vt:lpstr>
      <vt:lpstr>Grade18!unempprob</vt:lpstr>
      <vt:lpstr>Grade9!unempprob</vt:lpstr>
      <vt:lpstr>unempprob</vt:lpstr>
      <vt:lpstr>Grade10!unempprob8</vt:lpstr>
      <vt:lpstr>Grade11!unempprob8</vt:lpstr>
      <vt:lpstr>Grade12!unempprob8</vt:lpstr>
      <vt:lpstr>Grade13!unempprob8</vt:lpstr>
      <vt:lpstr>Grade14!unempprob8</vt:lpstr>
      <vt:lpstr>Grade15!unempprob8</vt:lpstr>
      <vt:lpstr>Grade16!unempprob8</vt:lpstr>
      <vt:lpstr>Grade17!unempprob8</vt:lpstr>
      <vt:lpstr>Grade18!unempprob8</vt:lpstr>
      <vt:lpstr>Grade9!unempprob8</vt:lpstr>
      <vt:lpstr>unempprob8</vt:lpstr>
      <vt:lpstr>Grade10!unempproby8</vt:lpstr>
      <vt:lpstr>Grade11!unempproby8</vt:lpstr>
      <vt:lpstr>Grade12!unempproby8</vt:lpstr>
      <vt:lpstr>Grade13!unempproby8</vt:lpstr>
      <vt:lpstr>Grade14!unempproby8</vt:lpstr>
      <vt:lpstr>Grade15!unempproby8</vt:lpstr>
      <vt:lpstr>Grade16!unempproby8</vt:lpstr>
      <vt:lpstr>Grade17!unempproby8</vt:lpstr>
      <vt:lpstr>Grade18!unempproby8</vt:lpstr>
      <vt:lpstr>Grade9!unempproby8</vt:lpstr>
      <vt:lpstr>unempproby8</vt:lpstr>
    </vt:vector>
  </TitlesOfParts>
  <Company>GMU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bcaplan</dc:creator>
  <cp:lastModifiedBy>Caleb</cp:lastModifiedBy>
  <dcterms:created xsi:type="dcterms:W3CDTF">2014-05-28T17:05:58Z</dcterms:created>
  <dcterms:modified xsi:type="dcterms:W3CDTF">2015-04-20T20:37:58Z</dcterms:modified>
</cp:coreProperties>
</file>