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45" windowWidth="15180" windowHeight="11760" activeTab="1"/>
  </bookViews>
  <sheets>
    <sheet name="Meta" sheetId="4" r:id="rId1"/>
    <sheet name="Output" sheetId="50" r:id="rId2"/>
    <sheet name="Grade8" sheetId="1" r:id="rId3"/>
    <sheet name="Grade9" sheetId="52" r:id="rId4"/>
    <sheet name="Grade10" sheetId="53" r:id="rId5"/>
    <sheet name="Grade11" sheetId="54" r:id="rId6"/>
    <sheet name="Grade12" sheetId="55" r:id="rId7"/>
    <sheet name="Grade13" sheetId="56" r:id="rId8"/>
    <sheet name="Grade14" sheetId="57" r:id="rId9"/>
    <sheet name="Grade15" sheetId="58" r:id="rId10"/>
    <sheet name="Grade16" sheetId="59" r:id="rId11"/>
    <sheet name="Grade17" sheetId="60" r:id="rId12"/>
    <sheet name="Grade18" sheetId="61" r:id="rId13"/>
  </sheets>
  <definedNames>
    <definedName name="_edn1" localSheetId="0">Meta!$E$10</definedName>
    <definedName name="_edn1" localSheetId="1">Output!$B$10</definedName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benrat" localSheetId="4">Grade10!$I$2</definedName>
    <definedName name="benrat" localSheetId="5">Grade11!$I$2</definedName>
    <definedName name="benrat" localSheetId="6">Grade12!$I$2</definedName>
    <definedName name="benrat" localSheetId="7">Grade13!$I$2</definedName>
    <definedName name="benrat" localSheetId="8">Grade14!$I$2</definedName>
    <definedName name="benrat" localSheetId="9">Grade15!$I$2</definedName>
    <definedName name="benrat" localSheetId="10">Grade16!$I$2</definedName>
    <definedName name="benrat" localSheetId="11">Grade17!$I$2</definedName>
    <definedName name="benrat" localSheetId="12">Grade18!$I$2</definedName>
    <definedName name="benrat" localSheetId="3">Grade9!$I$2</definedName>
    <definedName name="benrat">Grade8!$I$2</definedName>
    <definedName name="coltuition">Meta!$Q$2</definedName>
    <definedName name="compensationratio">#REF!</definedName>
    <definedName name="completionprob" localSheetId="4">Grade10!$H$2</definedName>
    <definedName name="completionprob" localSheetId="5">Grade11!$H$2</definedName>
    <definedName name="completionprob" localSheetId="6">Grade12!$H$2</definedName>
    <definedName name="completionprob" localSheetId="7">Grade13!$H$2</definedName>
    <definedName name="completionprob" localSheetId="8">Grade14!$H$2</definedName>
    <definedName name="completionprob" localSheetId="9">Grade15!$H$2</definedName>
    <definedName name="completionprob" localSheetId="10">Grade16!$H$2</definedName>
    <definedName name="completionprob" localSheetId="11">Grade17!$H$2</definedName>
    <definedName name="completionprob" localSheetId="12">Grade18!$H$2</definedName>
    <definedName name="completionprob">Grade9!$H$2</definedName>
    <definedName name="comprat" localSheetId="4">Grade10!$I$2</definedName>
    <definedName name="comprat" localSheetId="5">Grade11!$I$2</definedName>
    <definedName name="comprat" localSheetId="6">Grade12!$I$2</definedName>
    <definedName name="comprat" localSheetId="7">Grade13!$I$2</definedName>
    <definedName name="comprat" localSheetId="8">Grade14!$I$2</definedName>
    <definedName name="comprat" localSheetId="9">Grade15!$I$2</definedName>
    <definedName name="comprat" localSheetId="10">Grade16!$I$2</definedName>
    <definedName name="comprat" localSheetId="11">Grade17!$I$2</definedName>
    <definedName name="comprat" localSheetId="12">Grade18!$I$2</definedName>
    <definedName name="comprat" localSheetId="3">Grade9!$I$2</definedName>
    <definedName name="comprat">Grade8!$I$2</definedName>
    <definedName name="experiencepremium" localSheetId="1">Output!#REF!</definedName>
    <definedName name="experiencepremium">Meta!$H$2</definedName>
    <definedName name="expnorm" localSheetId="4">Grade10!$G$2</definedName>
    <definedName name="expnorm" localSheetId="5">Grade11!$G$2</definedName>
    <definedName name="expnorm" localSheetId="6">Grade12!$G$2</definedName>
    <definedName name="expnorm" localSheetId="7">Grade13!$G$2</definedName>
    <definedName name="expnorm" localSheetId="8">Grade14!$G$2</definedName>
    <definedName name="expnorm" localSheetId="9">Grade15!$G$2</definedName>
    <definedName name="expnorm" localSheetId="10">Grade16!$G$2</definedName>
    <definedName name="expnorm" localSheetId="11">Grade17!$G$2</definedName>
    <definedName name="expnorm" localSheetId="12">Grade18!$G$2</definedName>
    <definedName name="expnorm" localSheetId="3">Grade9!$G$2</definedName>
    <definedName name="expnorm">Grade8!$G$2</definedName>
    <definedName name="expnorm8" localSheetId="4">Grade10!$G$2</definedName>
    <definedName name="expnorm8" localSheetId="5">Grade11!$G$2</definedName>
    <definedName name="expnorm8" localSheetId="6">Grade12!$G$2</definedName>
    <definedName name="expnorm8" localSheetId="7">Grade13!$G$2</definedName>
    <definedName name="expnorm8" localSheetId="8">Grade14!$G$2</definedName>
    <definedName name="expnorm8" localSheetId="9">Grade15!$G$2</definedName>
    <definedName name="expnorm8" localSheetId="10">Grade16!$G$2</definedName>
    <definedName name="expnorm8" localSheetId="11">Grade17!$G$2</definedName>
    <definedName name="expnorm8" localSheetId="12">Grade18!$G$2</definedName>
    <definedName name="expnorm8" localSheetId="3">Grade9!$G$2</definedName>
    <definedName name="expnorm8">Grade8!$G$2</definedName>
    <definedName name="feel">Meta!$R$2</definedName>
    <definedName name="hstuition">Meta!$P$2</definedName>
    <definedName name="incomeindex" localSheetId="0">Meta!$E$2</definedName>
    <definedName name="initialbenrat" localSheetId="4">Grade10!$L$2</definedName>
    <definedName name="initialbenrat" localSheetId="5">Grade11!$L$2</definedName>
    <definedName name="initialbenrat" localSheetId="6">Grade12!$L$2</definedName>
    <definedName name="initialbenrat" localSheetId="7">Grade13!$L$2</definedName>
    <definedName name="initialbenrat" localSheetId="8">Grade14!$L$2</definedName>
    <definedName name="initialbenrat" localSheetId="9">Grade15!$L$2</definedName>
    <definedName name="initialbenrat" localSheetId="10">Grade16!$L$2</definedName>
    <definedName name="initialbenrat" localSheetId="11">Grade17!$L$2</definedName>
    <definedName name="initialbenrat" localSheetId="12">Grade18!$L$2</definedName>
    <definedName name="initialbenrat" localSheetId="3">Grade9!$L$2</definedName>
    <definedName name="initialbenrat">Grade8!$L$2</definedName>
    <definedName name="initialcompensationratio">#REF!</definedName>
    <definedName name="initialcomprat">#REF!</definedName>
    <definedName name="initialpart" localSheetId="4">Grade10!$L$2</definedName>
    <definedName name="initialpart" localSheetId="5">Grade11!$L$2</definedName>
    <definedName name="initialpart" localSheetId="6">Grade12!$L$2</definedName>
    <definedName name="initialpart" localSheetId="7">Grade13!$L$2</definedName>
    <definedName name="initialpart" localSheetId="8">Grade14!$L$2</definedName>
    <definedName name="initialpart" localSheetId="9">Grade15!$L$2</definedName>
    <definedName name="initialpart" localSheetId="10">Grade16!$L$2</definedName>
    <definedName name="initialpart" localSheetId="11">Grade17!$L$2</definedName>
    <definedName name="initialpart" localSheetId="12">Grade18!$L$2</definedName>
    <definedName name="initialpart">Grade9!$L$2</definedName>
    <definedName name="initialspart" localSheetId="4">Grade10!$J$2</definedName>
    <definedName name="initialspart" localSheetId="5">Grade11!$J$2</definedName>
    <definedName name="initialspart" localSheetId="6">Grade12!$J$2</definedName>
    <definedName name="initialspart" localSheetId="7">Grade13!$J$2</definedName>
    <definedName name="initialspart" localSheetId="8">Grade14!$J$2</definedName>
    <definedName name="initialspart" localSheetId="9">Grade15!$J$2</definedName>
    <definedName name="initialspart" localSheetId="10">Grade16!$J$2</definedName>
    <definedName name="initialspart" localSheetId="11">Grade17!$J$2</definedName>
    <definedName name="initialspart" localSheetId="12">Grade18!$J$2</definedName>
    <definedName name="initialspart">Grade9!$J$2</definedName>
    <definedName name="initialunempprob" localSheetId="4">Grade10!$K$2</definedName>
    <definedName name="initialunempprob" localSheetId="5">Grade11!$K$2</definedName>
    <definedName name="initialunempprob" localSheetId="6">Grade12!$K$2</definedName>
    <definedName name="initialunempprob" localSheetId="7">Grade13!$K$2</definedName>
    <definedName name="initialunempprob" localSheetId="8">Grade14!$K$2</definedName>
    <definedName name="initialunempprob" localSheetId="9">Grade15!$K$2</definedName>
    <definedName name="initialunempprob" localSheetId="10">Grade16!$K$2</definedName>
    <definedName name="initialunempprob" localSheetId="11">Grade17!$K$2</definedName>
    <definedName name="initialunempprob" localSheetId="12">Grade18!$K$2</definedName>
    <definedName name="initialunempprob" localSheetId="3">Grade9!$K$2</definedName>
    <definedName name="initialunempprob">Grade8!$K$2</definedName>
    <definedName name="nptrans">Meta!$S$2</definedName>
    <definedName name="part10">Meta!$F$4</definedName>
    <definedName name="part11">Meta!$F$5</definedName>
    <definedName name="part12">Meta!$F$6</definedName>
    <definedName name="part13">Meta!$F$7</definedName>
    <definedName name="part14">Meta!$F$8</definedName>
    <definedName name="part15">Meta!$F$9</definedName>
    <definedName name="part16">Meta!$F$10</definedName>
    <definedName name="part17">Meta!$F$11</definedName>
    <definedName name="part18">Meta!$F$12</definedName>
    <definedName name="part8">Meta!$F$2</definedName>
    <definedName name="part9">Meta!$F$3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>#REF!</definedName>
    <definedName name="returntoeducation">#REF!</definedName>
    <definedName name="returntoexperience" localSheetId="1">Output!#REF!</definedName>
    <definedName name="returntoexperience">Meta!$H$2</definedName>
    <definedName name="sbenefits" localSheetId="4">Grade10!$O$2</definedName>
    <definedName name="sbenefits" localSheetId="5">Grade11!$O$2</definedName>
    <definedName name="sbenefits" localSheetId="6">Grade12!$O$2</definedName>
    <definedName name="sbenefits" localSheetId="7">Grade13!$O$2</definedName>
    <definedName name="sbenefits" localSheetId="8">Grade14!$O$2</definedName>
    <definedName name="sbenefits" localSheetId="9">Grade15!$O$2</definedName>
    <definedName name="sbenefits" localSheetId="10">Grade16!$O$2</definedName>
    <definedName name="sbenefits" localSheetId="11">Grade17!$O$2</definedName>
    <definedName name="sbenefits" localSheetId="12">Grade18!$O$2</definedName>
    <definedName name="sbenefits" localSheetId="3">Grade9!$O$2</definedName>
    <definedName name="sbenefits">Grade8!$O$2</definedName>
    <definedName name="scrimecost" localSheetId="4">Grade10!$R$2</definedName>
    <definedName name="scrimecost" localSheetId="5">Grade11!$R$2</definedName>
    <definedName name="scrimecost" localSheetId="6">Grade12!$R$2</definedName>
    <definedName name="scrimecost" localSheetId="7">Grade13!$R$2</definedName>
    <definedName name="scrimecost" localSheetId="8">Grade14!$R$2</definedName>
    <definedName name="scrimecost" localSheetId="9">Grade15!$R$2</definedName>
    <definedName name="scrimecost" localSheetId="10">Grade16!$R$2</definedName>
    <definedName name="scrimecost" localSheetId="11">Grade17!$R$2</definedName>
    <definedName name="scrimecost" localSheetId="12">Grade18!$R$2</definedName>
    <definedName name="scrimecost" localSheetId="3">Grade9!$R$2</definedName>
    <definedName name="scrimecost">Grade8!$R$2</definedName>
    <definedName name="sincome" localSheetId="4">Grade10!$N$2</definedName>
    <definedName name="sincome" localSheetId="5">Grade11!$N$2</definedName>
    <definedName name="sincome" localSheetId="6">Grade12!$N$2</definedName>
    <definedName name="sincome" localSheetId="7">Grade13!$N$2</definedName>
    <definedName name="sincome" localSheetId="8">Grade14!$N$2</definedName>
    <definedName name="sincome" localSheetId="9">Grade15!$N$2</definedName>
    <definedName name="sincome" localSheetId="10">Grade16!$N$2</definedName>
    <definedName name="sincome" localSheetId="11">Grade17!$N$2</definedName>
    <definedName name="sincome" localSheetId="12">Grade18!$N$2</definedName>
    <definedName name="sincome" localSheetId="3">Grade9!$N$2</definedName>
    <definedName name="sincome">Grade8!$N$2</definedName>
    <definedName name="spart" localSheetId="4">Grade10!$Q$2</definedName>
    <definedName name="spart" localSheetId="5">Grade11!$Q$2</definedName>
    <definedName name="spart" localSheetId="6">Grade12!$Q$2</definedName>
    <definedName name="spart" localSheetId="7">Grade13!$Q$2</definedName>
    <definedName name="spart" localSheetId="8">Grade14!$Q$2</definedName>
    <definedName name="spart" localSheetId="9">Grade15!$Q$2</definedName>
    <definedName name="spart" localSheetId="10">Grade16!$Q$2</definedName>
    <definedName name="spart" localSheetId="11">Grade17!$Q$2</definedName>
    <definedName name="spart" localSheetId="12">Grade18!$Q$2</definedName>
    <definedName name="spart" localSheetId="3">Grade9!$Q$2</definedName>
    <definedName name="spart">Grade8!$Q$2</definedName>
    <definedName name="sreturn" localSheetId="4">Grade10!$T$2</definedName>
    <definedName name="sreturn" localSheetId="5">Grade11!$T$2</definedName>
    <definedName name="sreturn" localSheetId="6">Grade12!$T$2</definedName>
    <definedName name="sreturn" localSheetId="7">Grade13!$T$2</definedName>
    <definedName name="sreturn" localSheetId="8">Grade14!$T$2</definedName>
    <definedName name="sreturn" localSheetId="9">Grade15!$T$2</definedName>
    <definedName name="sreturn" localSheetId="10">Grade16!$T$2</definedName>
    <definedName name="sreturn" localSheetId="11">Grade17!$T$2</definedName>
    <definedName name="sreturn" localSheetId="12">Grade18!$T$2</definedName>
    <definedName name="sreturn">Grade9!$T$2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sunemp" localSheetId="4">Grade10!$P$2</definedName>
    <definedName name="sunemp" localSheetId="5">Grade11!$P$2</definedName>
    <definedName name="sunemp" localSheetId="6">Grade12!$P$2</definedName>
    <definedName name="sunemp" localSheetId="7">Grade13!$P$2</definedName>
    <definedName name="sunemp" localSheetId="8">Grade14!$P$2</definedName>
    <definedName name="sunemp" localSheetId="9">Grade15!$P$2</definedName>
    <definedName name="sunemp" localSheetId="10">Grade16!$P$2</definedName>
    <definedName name="sunemp" localSheetId="11">Grade17!$P$2</definedName>
    <definedName name="sunemp" localSheetId="12">Grade18!$P$2</definedName>
    <definedName name="sunemp" localSheetId="3">Grade9!$P$2</definedName>
    <definedName name="sunemp">Grade8!$P$2</definedName>
    <definedName name="ttd">#REF!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  <definedName name="unempprob8" localSheetId="4">Grade10!$E$2</definedName>
    <definedName name="unempprob8" localSheetId="5">Grade11!$E$2</definedName>
    <definedName name="unempprob8" localSheetId="6">Grade12!$E$2</definedName>
    <definedName name="unempprob8" localSheetId="7">Grade13!$E$2</definedName>
    <definedName name="unempprob8" localSheetId="8">Grade14!$E$2</definedName>
    <definedName name="unempprob8" localSheetId="9">Grade15!$E$2</definedName>
    <definedName name="unempprob8" localSheetId="10">Grade16!$E$2</definedName>
    <definedName name="unempprob8" localSheetId="11">Grade17!$E$2</definedName>
    <definedName name="unempprob8" localSheetId="12">Grade18!$E$2</definedName>
    <definedName name="unempprob8" localSheetId="3">Grade9!$E$2</definedName>
    <definedName name="unempprob8">Grade8!$E$2</definedName>
    <definedName name="unempproby8" localSheetId="4">Grade10!$E$2</definedName>
    <definedName name="unempproby8" localSheetId="5">Grade11!$E$2</definedName>
    <definedName name="unempproby8" localSheetId="6">Grade12!$E$2</definedName>
    <definedName name="unempproby8" localSheetId="7">Grade13!$E$2</definedName>
    <definedName name="unempproby8" localSheetId="8">Grade14!$E$2</definedName>
    <definedName name="unempproby8" localSheetId="9">Grade15!$E$2</definedName>
    <definedName name="unempproby8" localSheetId="10">Grade16!$E$2</definedName>
    <definedName name="unempproby8" localSheetId="11">Grade17!$E$2</definedName>
    <definedName name="unempproby8" localSheetId="12">Grade18!$E$2</definedName>
    <definedName name="unempproby8" localSheetId="3">Grade9!$E$2</definedName>
    <definedName name="unempproby8">Grade8!$E$2</definedName>
  </definedNames>
  <calcPr calcId="145621"/>
</workbook>
</file>

<file path=xl/calcChain.xml><?xml version="1.0" encoding="utf-8"?>
<calcChain xmlns="http://schemas.openxmlformats.org/spreadsheetml/2006/main">
  <c r="R14" i="61" l="1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R2" i="61"/>
  <c r="Q2" i="61"/>
  <c r="P2" i="61"/>
  <c r="O2" i="61"/>
  <c r="L46" i="61"/>
  <c r="N46" i="61"/>
  <c r="N2" i="61"/>
  <c r="K2" i="61"/>
  <c r="J2" i="61"/>
  <c r="H2" i="61"/>
  <c r="F2" i="61"/>
  <c r="E2" i="61"/>
  <c r="D2" i="61"/>
  <c r="C2" i="61"/>
  <c r="B2" i="61"/>
  <c r="B47" i="61"/>
  <c r="R13" i="60"/>
  <c r="N57" i="60"/>
  <c r="N58" i="60"/>
  <c r="N59" i="60"/>
  <c r="N60" i="60"/>
  <c r="N61" i="60"/>
  <c r="N62" i="60"/>
  <c r="N63" i="60"/>
  <c r="N64" i="60"/>
  <c r="N65" i="60"/>
  <c r="N66" i="60"/>
  <c r="N67" i="60"/>
  <c r="N68" i="60"/>
  <c r="N69" i="60"/>
  <c r="R2" i="60"/>
  <c r="M25" i="60"/>
  <c r="Q2" i="60"/>
  <c r="P2" i="60"/>
  <c r="O2" i="60"/>
  <c r="N2" i="60"/>
  <c r="K2" i="60"/>
  <c r="J2" i="60"/>
  <c r="H2" i="60"/>
  <c r="F2" i="60"/>
  <c r="E2" i="60"/>
  <c r="D2" i="60"/>
  <c r="C2" i="60"/>
  <c r="B2" i="60"/>
  <c r="B50" i="60"/>
  <c r="R12" i="59"/>
  <c r="N57" i="59"/>
  <c r="N58" i="59"/>
  <c r="N59" i="59"/>
  <c r="N60" i="59"/>
  <c r="N61" i="59"/>
  <c r="N62" i="59"/>
  <c r="N63" i="59"/>
  <c r="N64" i="59"/>
  <c r="N65" i="59"/>
  <c r="N66" i="59"/>
  <c r="N67" i="59"/>
  <c r="N68" i="59"/>
  <c r="N69" i="59"/>
  <c r="R2" i="59"/>
  <c r="M15" i="59"/>
  <c r="Q2" i="59"/>
  <c r="P2" i="59"/>
  <c r="O2" i="59"/>
  <c r="N2" i="59"/>
  <c r="K2" i="59"/>
  <c r="J2" i="59"/>
  <c r="H2" i="59"/>
  <c r="F2" i="59"/>
  <c r="E2" i="59"/>
  <c r="D2" i="59"/>
  <c r="C2" i="59"/>
  <c r="B2" i="59"/>
  <c r="B54" i="59"/>
  <c r="R11" i="58"/>
  <c r="N57" i="58"/>
  <c r="N58" i="58"/>
  <c r="N59" i="58"/>
  <c r="N60" i="58"/>
  <c r="N61" i="58"/>
  <c r="N62" i="58"/>
  <c r="N63" i="58"/>
  <c r="N64" i="58"/>
  <c r="N65" i="58"/>
  <c r="N66" i="58"/>
  <c r="N67" i="58"/>
  <c r="N68" i="58"/>
  <c r="N69" i="58"/>
  <c r="R2" i="58"/>
  <c r="M53" i="58"/>
  <c r="O53" i="59" s="1"/>
  <c r="Q2" i="58"/>
  <c r="P2" i="58"/>
  <c r="O2" i="58"/>
  <c r="N2" i="58"/>
  <c r="K2" i="58"/>
  <c r="J2" i="58"/>
  <c r="H2" i="58"/>
  <c r="F2" i="58"/>
  <c r="E2" i="58"/>
  <c r="D2" i="58"/>
  <c r="C2" i="58"/>
  <c r="B2" i="58"/>
  <c r="B31" i="58"/>
  <c r="R10" i="57"/>
  <c r="N57" i="57"/>
  <c r="N58" i="57"/>
  <c r="N59" i="57"/>
  <c r="N60" i="57"/>
  <c r="N61" i="57"/>
  <c r="N62" i="57"/>
  <c r="N63" i="57"/>
  <c r="N64" i="57"/>
  <c r="N65" i="57"/>
  <c r="N66" i="57"/>
  <c r="N67" i="57"/>
  <c r="N68" i="57"/>
  <c r="N69" i="57"/>
  <c r="R2" i="57"/>
  <c r="M17" i="57"/>
  <c r="Q2" i="57"/>
  <c r="P2" i="57"/>
  <c r="O2" i="57"/>
  <c r="N2" i="57"/>
  <c r="K2" i="57"/>
  <c r="J2" i="57"/>
  <c r="H2" i="57"/>
  <c r="F2" i="57"/>
  <c r="E2" i="57"/>
  <c r="D2" i="57"/>
  <c r="C2" i="57"/>
  <c r="B2" i="57"/>
  <c r="B45" i="57"/>
  <c r="R9" i="56"/>
  <c r="N57" i="56"/>
  <c r="N58" i="56"/>
  <c r="N59" i="56"/>
  <c r="N60" i="56"/>
  <c r="N61" i="56"/>
  <c r="N62" i="56"/>
  <c r="N63" i="56"/>
  <c r="N64" i="56"/>
  <c r="N65" i="56"/>
  <c r="N66" i="56"/>
  <c r="N67" i="56"/>
  <c r="N68" i="56"/>
  <c r="N69" i="56"/>
  <c r="R2" i="56"/>
  <c r="M39" i="56"/>
  <c r="Q2" i="56"/>
  <c r="P2" i="56"/>
  <c r="O2" i="56"/>
  <c r="N2" i="56"/>
  <c r="K2" i="56"/>
  <c r="J2" i="56"/>
  <c r="H2" i="56"/>
  <c r="F2" i="56"/>
  <c r="E2" i="56"/>
  <c r="D2" i="56"/>
  <c r="C2" i="56"/>
  <c r="B2" i="56"/>
  <c r="R8" i="55"/>
  <c r="N57" i="55"/>
  <c r="N58" i="55"/>
  <c r="N59" i="55"/>
  <c r="N60" i="55"/>
  <c r="N61" i="55"/>
  <c r="N62" i="55"/>
  <c r="N63" i="55"/>
  <c r="N64" i="55"/>
  <c r="N65" i="55"/>
  <c r="N66" i="55"/>
  <c r="N67" i="55"/>
  <c r="N68" i="55"/>
  <c r="N69" i="55"/>
  <c r="R2" i="55"/>
  <c r="M66" i="55"/>
  <c r="Q2" i="55"/>
  <c r="P2" i="55"/>
  <c r="O2" i="55"/>
  <c r="N2" i="55"/>
  <c r="K2" i="55"/>
  <c r="J2" i="55"/>
  <c r="H2" i="55"/>
  <c r="F2" i="55"/>
  <c r="E2" i="55"/>
  <c r="D2" i="55"/>
  <c r="C2" i="55"/>
  <c r="B2" i="55"/>
  <c r="B45" i="55"/>
  <c r="R7" i="54"/>
  <c r="R6" i="53"/>
  <c r="N57" i="54"/>
  <c r="N58" i="54"/>
  <c r="N59" i="54"/>
  <c r="N60" i="54"/>
  <c r="N61" i="54"/>
  <c r="N62" i="54"/>
  <c r="N63" i="54"/>
  <c r="N64" i="54"/>
  <c r="N65" i="54"/>
  <c r="N66" i="54"/>
  <c r="N67" i="54"/>
  <c r="N68" i="54"/>
  <c r="N69" i="54"/>
  <c r="R2" i="54"/>
  <c r="M40" i="54"/>
  <c r="Q2" i="54"/>
  <c r="P2" i="54"/>
  <c r="O2" i="54"/>
  <c r="N2" i="54"/>
  <c r="L15" i="54"/>
  <c r="K2" i="54"/>
  <c r="J2" i="54"/>
  <c r="H2" i="54"/>
  <c r="F2" i="54"/>
  <c r="E2" i="54"/>
  <c r="D2" i="54"/>
  <c r="C2" i="54"/>
  <c r="B2" i="54"/>
  <c r="N57" i="53"/>
  <c r="N58" i="53"/>
  <c r="N59" i="53"/>
  <c r="N60" i="53"/>
  <c r="N61" i="53"/>
  <c r="N62" i="53"/>
  <c r="N63" i="53"/>
  <c r="N64" i="53"/>
  <c r="N65" i="53"/>
  <c r="N66" i="53"/>
  <c r="N67" i="53"/>
  <c r="N68" i="53"/>
  <c r="N69" i="53"/>
  <c r="R2" i="53"/>
  <c r="M66" i="53"/>
  <c r="Q2" i="53"/>
  <c r="P2" i="53"/>
  <c r="O2" i="53"/>
  <c r="N2" i="53"/>
  <c r="K2" i="53"/>
  <c r="J2" i="53"/>
  <c r="H2" i="53"/>
  <c r="F2" i="53"/>
  <c r="E2" i="53"/>
  <c r="D2" i="53"/>
  <c r="C2" i="53"/>
  <c r="B2" i="53"/>
  <c r="B8" i="53"/>
  <c r="N57" i="52"/>
  <c r="N58" i="52"/>
  <c r="N59" i="52"/>
  <c r="N60" i="52"/>
  <c r="N61" i="52"/>
  <c r="N62" i="52"/>
  <c r="N63" i="52"/>
  <c r="N64" i="52"/>
  <c r="N65" i="52"/>
  <c r="N66" i="52"/>
  <c r="N67" i="52"/>
  <c r="N68" i="52"/>
  <c r="N69" i="52"/>
  <c r="J2" i="52"/>
  <c r="Q2" i="52"/>
  <c r="R5" i="52"/>
  <c r="R2" i="52"/>
  <c r="M13" i="52"/>
  <c r="P2" i="52"/>
  <c r="O2" i="52"/>
  <c r="L38" i="52"/>
  <c r="N2" i="52"/>
  <c r="H2" i="52"/>
  <c r="F2" i="52"/>
  <c r="E2" i="52"/>
  <c r="D2" i="52"/>
  <c r="C2" i="52"/>
  <c r="B2" i="52"/>
  <c r="B49" i="52"/>
  <c r="B6" i="52"/>
  <c r="K2" i="52"/>
  <c r="R2" i="1"/>
  <c r="M29" i="1"/>
  <c r="S2" i="4"/>
  <c r="F2" i="1"/>
  <c r="E2" i="1"/>
  <c r="Q2" i="1"/>
  <c r="P2" i="1"/>
  <c r="O2" i="1"/>
  <c r="N2" i="1"/>
  <c r="D2" i="1"/>
  <c r="C2" i="1"/>
  <c r="B7" i="50"/>
  <c r="B3" i="50"/>
  <c r="K4" i="50"/>
  <c r="K3" i="50"/>
  <c r="B4" i="50"/>
  <c r="N4" i="50"/>
  <c r="B5" i="50"/>
  <c r="B6" i="50"/>
  <c r="B8" i="50"/>
  <c r="K8" i="50"/>
  <c r="B9" i="50"/>
  <c r="B10" i="50"/>
  <c r="B11" i="50"/>
  <c r="B12" i="50"/>
  <c r="B2" i="50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B2" i="1"/>
  <c r="B11" i="1"/>
  <c r="K2" i="1"/>
  <c r="H2" i="1"/>
  <c r="B23" i="59"/>
  <c r="B17" i="57"/>
  <c r="B48" i="52"/>
  <c r="B54" i="52"/>
  <c r="B38" i="52"/>
  <c r="B29" i="52"/>
  <c r="B20" i="52"/>
  <c r="B16" i="52"/>
  <c r="B13" i="52"/>
  <c r="B27" i="52"/>
  <c r="B11" i="52"/>
  <c r="M63" i="55"/>
  <c r="M66" i="56"/>
  <c r="B48" i="60"/>
  <c r="B7" i="53"/>
  <c r="M59" i="55"/>
  <c r="M29" i="55"/>
  <c r="M58" i="55"/>
  <c r="M47" i="54"/>
  <c r="M34" i="56"/>
  <c r="B38" i="57"/>
  <c r="B23" i="60"/>
  <c r="B37" i="57"/>
  <c r="B42" i="57"/>
  <c r="B35" i="57"/>
  <c r="M11" i="54"/>
  <c r="M29" i="54"/>
  <c r="B47" i="55"/>
  <c r="B21" i="55"/>
  <c r="B10" i="55"/>
  <c r="B44" i="55"/>
  <c r="M32" i="55"/>
  <c r="M13" i="56"/>
  <c r="B33" i="1"/>
  <c r="B34" i="1"/>
  <c r="M69" i="57"/>
  <c r="M33" i="54"/>
  <c r="M57" i="58"/>
  <c r="M59" i="54"/>
  <c r="M32" i="54"/>
  <c r="M55" i="54"/>
  <c r="O55" i="55" s="1"/>
  <c r="M19" i="54"/>
  <c r="M45" i="53"/>
  <c r="M30" i="53"/>
  <c r="M63" i="53"/>
  <c r="O63" i="54" s="1"/>
  <c r="S63" i="54" s="1"/>
  <c r="M11" i="53"/>
  <c r="M43" i="53"/>
  <c r="M69" i="53"/>
  <c r="M69" i="1"/>
  <c r="M64" i="1"/>
  <c r="M41" i="1"/>
  <c r="M22" i="1"/>
  <c r="M10" i="1"/>
  <c r="M54" i="1"/>
  <c r="M43" i="58"/>
  <c r="M56" i="58"/>
  <c r="M49" i="58"/>
  <c r="M16" i="1"/>
  <c r="M44" i="1"/>
  <c r="M66" i="58"/>
  <c r="M40" i="58"/>
  <c r="O40" i="59" s="1"/>
  <c r="M16" i="56"/>
  <c r="M48" i="56"/>
  <c r="M20" i="56"/>
  <c r="M32" i="1"/>
  <c r="M57" i="1"/>
  <c r="M60" i="1"/>
  <c r="M38" i="1"/>
  <c r="M67" i="58"/>
  <c r="O67" i="59" s="1"/>
  <c r="S67" i="59" s="1"/>
  <c r="M46" i="58"/>
  <c r="M55" i="58"/>
  <c r="M43" i="1"/>
  <c r="M67" i="56"/>
  <c r="M16" i="58"/>
  <c r="M30" i="56"/>
  <c r="M25" i="1"/>
  <c r="M58" i="1"/>
  <c r="M53" i="1"/>
  <c r="M30" i="58"/>
  <c r="M47" i="58"/>
  <c r="M24" i="56"/>
  <c r="M45" i="56"/>
  <c r="M49" i="53"/>
  <c r="M13" i="53"/>
  <c r="O13" i="53" s="1"/>
  <c r="M18" i="53"/>
  <c r="M59" i="53"/>
  <c r="M57" i="53"/>
  <c r="M42" i="53"/>
  <c r="M14" i="57"/>
  <c r="M33" i="57"/>
  <c r="M16" i="57"/>
  <c r="O16" i="58"/>
  <c r="B51" i="57"/>
  <c r="B19" i="57"/>
  <c r="B44" i="57"/>
  <c r="B23" i="53"/>
  <c r="M53" i="56"/>
  <c r="M61" i="56"/>
  <c r="M43" i="56"/>
  <c r="M59" i="56"/>
  <c r="M60" i="56"/>
  <c r="M47" i="56"/>
  <c r="M28" i="56"/>
  <c r="M23" i="56"/>
  <c r="M52" i="56"/>
  <c r="M62" i="56"/>
  <c r="M14" i="56"/>
  <c r="O14" i="57" s="1"/>
  <c r="M69" i="56"/>
  <c r="M44" i="56"/>
  <c r="M32" i="56"/>
  <c r="M17" i="56"/>
  <c r="O17" i="57"/>
  <c r="M18" i="56"/>
  <c r="M50" i="56"/>
  <c r="M49" i="56"/>
  <c r="M65" i="56"/>
  <c r="M12" i="56"/>
  <c r="M57" i="56"/>
  <c r="M41" i="56"/>
  <c r="M22" i="56"/>
  <c r="M55" i="56"/>
  <c r="M36" i="56"/>
  <c r="M21" i="56"/>
  <c r="M27" i="56"/>
  <c r="M46" i="56"/>
  <c r="M38" i="56"/>
  <c r="M42" i="56"/>
  <c r="M54" i="56"/>
  <c r="M56" i="56"/>
  <c r="M37" i="56"/>
  <c r="M25" i="56"/>
  <c r="M51" i="56"/>
  <c r="M64" i="56"/>
  <c r="M9" i="56"/>
  <c r="B17" i="60"/>
  <c r="B34" i="60"/>
  <c r="B28" i="60"/>
  <c r="B47" i="60"/>
  <c r="B41" i="60"/>
  <c r="B45" i="60"/>
  <c r="M48" i="60"/>
  <c r="M68" i="60"/>
  <c r="M67" i="53"/>
  <c r="M24" i="53"/>
  <c r="M21" i="53"/>
  <c r="M28" i="53"/>
  <c r="M31" i="53"/>
  <c r="M16" i="53"/>
  <c r="M57" i="57"/>
  <c r="M15" i="56"/>
  <c r="M59" i="60"/>
  <c r="M58" i="56"/>
  <c r="M68" i="56"/>
  <c r="M10" i="56"/>
  <c r="B31" i="57"/>
  <c r="B43" i="57"/>
  <c r="B14" i="57"/>
  <c r="B50" i="57"/>
  <c r="B31" i="60"/>
  <c r="M26" i="56"/>
  <c r="M63" i="56"/>
  <c r="B22" i="53"/>
  <c r="B24" i="53"/>
  <c r="B55" i="53"/>
  <c r="M40" i="53"/>
  <c r="M47" i="53"/>
  <c r="M53" i="53"/>
  <c r="M22" i="53"/>
  <c r="M38" i="53"/>
  <c r="M61" i="53"/>
  <c r="M27" i="57"/>
  <c r="M19" i="56"/>
  <c r="M40" i="56"/>
  <c r="M33" i="56"/>
  <c r="O33" i="57" s="1"/>
  <c r="M29" i="56"/>
  <c r="B18" i="57"/>
  <c r="B24" i="57"/>
  <c r="B16" i="60"/>
  <c r="M35" i="56"/>
  <c r="M11" i="56"/>
  <c r="M6" i="53"/>
  <c r="M31" i="56"/>
  <c r="B10" i="53"/>
  <c r="B31" i="53"/>
  <c r="B44" i="53"/>
  <c r="B54" i="53"/>
  <c r="B47" i="53"/>
  <c r="B36" i="53"/>
  <c r="B34" i="53"/>
  <c r="B9" i="53"/>
  <c r="B39" i="53"/>
  <c r="B56" i="53"/>
  <c r="B42" i="53"/>
  <c r="B13" i="53"/>
  <c r="M10" i="53"/>
  <c r="M33" i="53"/>
  <c r="M52" i="53"/>
  <c r="M27" i="53"/>
  <c r="M29" i="53"/>
  <c r="O29" i="54" s="1"/>
  <c r="M36" i="53"/>
  <c r="M20" i="53"/>
  <c r="M60" i="53"/>
  <c r="M64" i="53"/>
  <c r="M50" i="53"/>
  <c r="M44" i="53"/>
  <c r="M48" i="53"/>
  <c r="M39" i="53"/>
  <c r="O39" i="53"/>
  <c r="M37" i="53"/>
  <c r="M51" i="53"/>
  <c r="M12" i="53"/>
  <c r="M58" i="53"/>
  <c r="B15" i="57"/>
  <c r="B30" i="57"/>
  <c r="B12" i="57"/>
  <c r="B49" i="57"/>
  <c r="B47" i="57"/>
  <c r="B16" i="57"/>
  <c r="B29" i="57"/>
  <c r="B11" i="57"/>
  <c r="B55" i="57"/>
  <c r="B28" i="57"/>
  <c r="B13" i="57"/>
  <c r="B27" i="57"/>
  <c r="B39" i="57"/>
  <c r="B34" i="57"/>
  <c r="B48" i="57"/>
  <c r="B40" i="57"/>
  <c r="B33" i="57"/>
  <c r="B56" i="57"/>
  <c r="B36" i="57"/>
  <c r="B54" i="57"/>
  <c r="B41" i="57"/>
  <c r="B53" i="57"/>
  <c r="B21" i="57"/>
  <c r="B26" i="57"/>
  <c r="B20" i="57"/>
  <c r="B25" i="57"/>
  <c r="B23" i="57"/>
  <c r="B32" i="57"/>
  <c r="B22" i="57"/>
  <c r="B52" i="57"/>
  <c r="B46" i="57"/>
  <c r="M20" i="57"/>
  <c r="M48" i="57"/>
  <c r="O48" i="57"/>
  <c r="M24" i="57"/>
  <c r="M58" i="57"/>
  <c r="O58" i="58" s="1"/>
  <c r="S58" i="58" s="1"/>
  <c r="M44" i="57"/>
  <c r="B46" i="1"/>
  <c r="M63" i="54"/>
  <c r="O63" i="55" s="1"/>
  <c r="B32" i="55"/>
  <c r="B51" i="55"/>
  <c r="B37" i="55"/>
  <c r="B16" i="55"/>
  <c r="M53" i="55"/>
  <c r="M57" i="55"/>
  <c r="M36" i="55"/>
  <c r="O36" i="56" s="1"/>
  <c r="M68" i="54"/>
  <c r="M34" i="54"/>
  <c r="B41" i="1"/>
  <c r="M61" i="55"/>
  <c r="B12" i="55"/>
  <c r="B52" i="55"/>
  <c r="B56" i="55"/>
  <c r="B29" i="55"/>
  <c r="B46" i="55"/>
  <c r="B26" i="55"/>
  <c r="B43" i="55"/>
  <c r="M17" i="54"/>
  <c r="M42" i="54"/>
  <c r="M15" i="54"/>
  <c r="M52" i="54"/>
  <c r="B20" i="1"/>
  <c r="B51" i="1"/>
  <c r="M55" i="55"/>
  <c r="O55" i="56" s="1"/>
  <c r="S55" i="56" s="1"/>
  <c r="M33" i="55"/>
  <c r="M24" i="54"/>
  <c r="B49" i="55"/>
  <c r="M34" i="55"/>
  <c r="O34" i="55" s="1"/>
  <c r="B9" i="55"/>
  <c r="M9" i="55"/>
  <c r="M12" i="55"/>
  <c r="O12" i="56" s="1"/>
  <c r="S12" i="56" s="1"/>
  <c r="M42" i="55"/>
  <c r="O42" i="56"/>
  <c r="M19" i="55"/>
  <c r="B27" i="59"/>
  <c r="B41" i="59"/>
  <c r="B19" i="59"/>
  <c r="B39" i="59"/>
  <c r="B24" i="59"/>
  <c r="B17" i="59"/>
  <c r="B55" i="59"/>
  <c r="B36" i="59"/>
  <c r="B42" i="59"/>
  <c r="M30" i="59"/>
  <c r="O30" i="59"/>
  <c r="M13" i="59"/>
  <c r="M41" i="59"/>
  <c r="M59" i="59"/>
  <c r="O59" i="60" s="1"/>
  <c r="M53" i="59"/>
  <c r="B20" i="54"/>
  <c r="B18" i="54"/>
  <c r="B42" i="54"/>
  <c r="B29" i="54"/>
  <c r="B14" i="54"/>
  <c r="B50" i="54"/>
  <c r="B45" i="54"/>
  <c r="B19" i="54"/>
  <c r="B26" i="54"/>
  <c r="B43" i="54"/>
  <c r="B17" i="54"/>
  <c r="B24" i="54"/>
  <c r="B56" i="54"/>
  <c r="B25" i="54"/>
  <c r="B8" i="54"/>
  <c r="B35" i="54"/>
  <c r="B54" i="54"/>
  <c r="B41" i="54"/>
  <c r="B11" i="54"/>
  <c r="B47" i="54"/>
  <c r="B13" i="54"/>
  <c r="B34" i="54"/>
  <c r="B16" i="54"/>
  <c r="B31" i="54"/>
  <c r="B12" i="54"/>
  <c r="B53" i="54"/>
  <c r="B23" i="54"/>
  <c r="B55" i="54"/>
  <c r="B9" i="54"/>
  <c r="B33" i="54"/>
  <c r="B30" i="54"/>
  <c r="B49" i="54"/>
  <c r="B39" i="54"/>
  <c r="B21" i="54"/>
  <c r="B46" i="54"/>
  <c r="B48" i="54"/>
  <c r="B51" i="54"/>
  <c r="B37" i="54"/>
  <c r="B10" i="54"/>
  <c r="B22" i="54"/>
  <c r="B15" i="54"/>
  <c r="B28" i="54"/>
  <c r="B27" i="54"/>
  <c r="B40" i="54"/>
  <c r="B36" i="54"/>
  <c r="B32" i="54"/>
  <c r="B26" i="58"/>
  <c r="B24" i="58"/>
  <c r="B56" i="58"/>
  <c r="B30" i="58"/>
  <c r="B42" i="58"/>
  <c r="B21" i="58"/>
  <c r="B51" i="58"/>
  <c r="M37" i="58"/>
  <c r="M20" i="58"/>
  <c r="M18" i="58"/>
  <c r="M15" i="58"/>
  <c r="O15" i="59"/>
  <c r="M12" i="58"/>
  <c r="M14" i="58"/>
  <c r="M29" i="58"/>
  <c r="M32" i="58"/>
  <c r="M31" i="58"/>
  <c r="M59" i="58"/>
  <c r="M36" i="58"/>
  <c r="M17" i="58"/>
  <c r="M25" i="58"/>
  <c r="M68" i="58"/>
  <c r="M41" i="58"/>
  <c r="M21" i="58"/>
  <c r="M11" i="58"/>
  <c r="M26" i="58"/>
  <c r="M62" i="58"/>
  <c r="M69" i="58"/>
  <c r="M13" i="58"/>
  <c r="O13" i="59" s="1"/>
  <c r="S13" i="59" s="1"/>
  <c r="M45" i="58"/>
  <c r="M35" i="58"/>
  <c r="M27" i="58"/>
  <c r="O27" i="58" s="1"/>
  <c r="S27" i="58" s="1"/>
  <c r="M44" i="58"/>
  <c r="O44" i="58" s="1"/>
  <c r="M60" i="58"/>
  <c r="M39" i="58"/>
  <c r="M34" i="58"/>
  <c r="M50" i="58"/>
  <c r="M42" i="58"/>
  <c r="M23" i="58"/>
  <c r="M24" i="58"/>
  <c r="O24" i="59" s="1"/>
  <c r="S24" i="59" s="1"/>
  <c r="M48" i="58"/>
  <c r="M63" i="58"/>
  <c r="M51" i="58"/>
  <c r="M38" i="58"/>
  <c r="M22" i="58"/>
  <c r="M65" i="58"/>
  <c r="M52" i="58"/>
  <c r="O52" i="59" s="1"/>
  <c r="B38" i="54"/>
  <c r="M46" i="1"/>
  <c r="M14" i="1"/>
  <c r="M33" i="1"/>
  <c r="M56" i="1"/>
  <c r="M20" i="1"/>
  <c r="M34" i="1"/>
  <c r="M49" i="1"/>
  <c r="M5" i="1"/>
  <c r="M11" i="1"/>
  <c r="M51" i="1"/>
  <c r="M31" i="1"/>
  <c r="M39" i="1"/>
  <c r="M50" i="1"/>
  <c r="M45" i="1"/>
  <c r="M40" i="1"/>
  <c r="M27" i="1"/>
  <c r="M63" i="1"/>
  <c r="M59" i="1"/>
  <c r="M18" i="1"/>
  <c r="O18" i="52" s="1"/>
  <c r="M52" i="1"/>
  <c r="M35" i="1"/>
  <c r="M47" i="1"/>
  <c r="M62" i="1"/>
  <c r="M65" i="1"/>
  <c r="M55" i="1"/>
  <c r="M7" i="1"/>
  <c r="M15" i="1"/>
  <c r="M66" i="1"/>
  <c r="M13" i="1"/>
  <c r="M23" i="1"/>
  <c r="M8" i="1"/>
  <c r="M67" i="1"/>
  <c r="M36" i="1"/>
  <c r="M61" i="1"/>
  <c r="M37" i="1"/>
  <c r="M12" i="1"/>
  <c r="M42" i="1"/>
  <c r="M9" i="1"/>
  <c r="M17" i="1"/>
  <c r="M19" i="1"/>
  <c r="M68" i="1"/>
  <c r="M16" i="52"/>
  <c r="M48" i="1"/>
  <c r="M26" i="1"/>
  <c r="M28" i="1"/>
  <c r="M21" i="1"/>
  <c r="M6" i="1"/>
  <c r="M30" i="1"/>
  <c r="M54" i="58"/>
  <c r="M61" i="58"/>
  <c r="O61" i="59"/>
  <c r="S61" i="59" s="1"/>
  <c r="M58" i="58"/>
  <c r="M19" i="58"/>
  <c r="M33" i="58"/>
  <c r="M24" i="1"/>
  <c r="N8" i="50"/>
  <c r="B25" i="60"/>
  <c r="B54" i="60"/>
  <c r="B22" i="52"/>
  <c r="B21" i="52"/>
  <c r="B15" i="52"/>
  <c r="B7" i="52"/>
  <c r="B50" i="52"/>
  <c r="B53" i="52"/>
  <c r="B33" i="52"/>
  <c r="B31" i="52"/>
  <c r="B44" i="52"/>
  <c r="B17" i="52"/>
  <c r="B19" i="52"/>
  <c r="B9" i="52"/>
  <c r="B32" i="52"/>
  <c r="B42" i="52"/>
  <c r="B45" i="52"/>
  <c r="B39" i="52"/>
  <c r="B36" i="52"/>
  <c r="B40" i="52"/>
  <c r="B26" i="52"/>
  <c r="B14" i="52"/>
  <c r="B34" i="52"/>
  <c r="B47" i="52"/>
  <c r="B28" i="52"/>
  <c r="B51" i="52"/>
  <c r="B23" i="52"/>
  <c r="B37" i="52"/>
  <c r="B12" i="52"/>
  <c r="B35" i="52"/>
  <c r="B43" i="60"/>
  <c r="B27" i="60"/>
  <c r="B44" i="60"/>
  <c r="B38" i="60"/>
  <c r="B53" i="60"/>
  <c r="B40" i="60"/>
  <c r="B15" i="60"/>
  <c r="B49" i="60"/>
  <c r="B56" i="60"/>
  <c r="B37" i="60"/>
  <c r="B20" i="60"/>
  <c r="B55" i="60"/>
  <c r="B21" i="60"/>
  <c r="B26" i="60"/>
  <c r="B32" i="60"/>
  <c r="B36" i="60"/>
  <c r="B33" i="60"/>
  <c r="B51" i="60"/>
  <c r="B39" i="60"/>
  <c r="B52" i="60"/>
  <c r="B30" i="60"/>
  <c r="B24" i="60"/>
  <c r="B46" i="60"/>
  <c r="B14" i="60"/>
  <c r="B35" i="60"/>
  <c r="B42" i="60"/>
  <c r="B19" i="60"/>
  <c r="B18" i="60"/>
  <c r="M17" i="60"/>
  <c r="O17" i="61" s="1"/>
  <c r="M54" i="60"/>
  <c r="M51" i="60"/>
  <c r="M45" i="60"/>
  <c r="M14" i="60"/>
  <c r="M29" i="60"/>
  <c r="M28" i="60"/>
  <c r="M22" i="60"/>
  <c r="M34" i="60"/>
  <c r="M13" i="60"/>
  <c r="M35" i="60"/>
  <c r="M39" i="60"/>
  <c r="M40" i="60"/>
  <c r="O40" i="61" s="1"/>
  <c r="M42" i="60"/>
  <c r="O42" i="60" s="1"/>
  <c r="M9" i="53"/>
  <c r="B38" i="53"/>
  <c r="B18" i="53"/>
  <c r="M25" i="53"/>
  <c r="O25" i="54" s="1"/>
  <c r="S25" i="54" s="1"/>
  <c r="B52" i="53"/>
  <c r="B28" i="53"/>
  <c r="M41" i="53"/>
  <c r="M8" i="53"/>
  <c r="B19" i="53"/>
  <c r="B35" i="53"/>
  <c r="B51" i="53"/>
  <c r="M35" i="59"/>
  <c r="M57" i="59"/>
  <c r="O57" i="59" s="1"/>
  <c r="M43" i="59"/>
  <c r="M51" i="59"/>
  <c r="M67" i="59"/>
  <c r="B22" i="60"/>
  <c r="B29" i="60"/>
  <c r="B53" i="53"/>
  <c r="B45" i="53"/>
  <c r="B37" i="53"/>
  <c r="B29" i="53"/>
  <c r="B21" i="53"/>
  <c r="B16" i="53"/>
  <c r="B32" i="53"/>
  <c r="B48" i="53"/>
  <c r="B30" i="53"/>
  <c r="B46" i="53"/>
  <c r="B14" i="53"/>
  <c r="B12" i="53"/>
  <c r="B15" i="53"/>
  <c r="B49" i="53"/>
  <c r="B41" i="53"/>
  <c r="B33" i="53"/>
  <c r="B25" i="53"/>
  <c r="B17" i="53"/>
  <c r="M55" i="53"/>
  <c r="O55" i="54" s="1"/>
  <c r="M32" i="53"/>
  <c r="O32" i="54" s="1"/>
  <c r="M15" i="53"/>
  <c r="O15" i="54" s="1"/>
  <c r="M19" i="53"/>
  <c r="M54" i="53"/>
  <c r="M62" i="53"/>
  <c r="M46" i="53"/>
  <c r="M68" i="53"/>
  <c r="M65" i="53"/>
  <c r="M35" i="53"/>
  <c r="M34" i="53"/>
  <c r="O34" i="54"/>
  <c r="B36" i="55"/>
  <c r="B13" i="55"/>
  <c r="B53" i="55"/>
  <c r="M28" i="58"/>
  <c r="M64" i="58"/>
  <c r="M60" i="59"/>
  <c r="M14" i="59"/>
  <c r="M58" i="59"/>
  <c r="M56" i="59"/>
  <c r="M52" i="59"/>
  <c r="O52" i="60" s="1"/>
  <c r="M48" i="59"/>
  <c r="O48" i="60"/>
  <c r="M44" i="59"/>
  <c r="O44" i="59"/>
  <c r="M40" i="59"/>
  <c r="M61" i="59"/>
  <c r="M24" i="59"/>
  <c r="O24" i="60"/>
  <c r="M33" i="59"/>
  <c r="M68" i="59"/>
  <c r="M26" i="59"/>
  <c r="O26" i="59"/>
  <c r="M66" i="59"/>
  <c r="M63" i="59"/>
  <c r="O63" i="59" s="1"/>
  <c r="M54" i="59"/>
  <c r="O54" i="60" s="1"/>
  <c r="M50" i="59"/>
  <c r="O50" i="60" s="1"/>
  <c r="M46" i="59"/>
  <c r="O46" i="60" s="1"/>
  <c r="M42" i="59"/>
  <c r="O42" i="59"/>
  <c r="M69" i="59"/>
  <c r="M20" i="59"/>
  <c r="M28" i="59"/>
  <c r="M37" i="59"/>
  <c r="B11" i="53"/>
  <c r="B50" i="53"/>
  <c r="B26" i="53"/>
  <c r="M26" i="53"/>
  <c r="M56" i="53"/>
  <c r="B40" i="53"/>
  <c r="B20" i="53"/>
  <c r="M7" i="53"/>
  <c r="M14" i="53"/>
  <c r="M17" i="53"/>
  <c r="O17" i="54" s="1"/>
  <c r="B27" i="53"/>
  <c r="B43" i="53"/>
  <c r="M23" i="53"/>
  <c r="M39" i="59"/>
  <c r="M47" i="59"/>
  <c r="M55" i="59"/>
  <c r="M34" i="59"/>
  <c r="O34" i="60"/>
  <c r="M26" i="55"/>
  <c r="M43" i="55"/>
  <c r="O43" i="56" s="1"/>
  <c r="M13" i="55"/>
  <c r="O13" i="56" s="1"/>
  <c r="M14" i="55"/>
  <c r="O14" i="56" s="1"/>
  <c r="M68" i="55"/>
  <c r="M47" i="55"/>
  <c r="O47" i="55"/>
  <c r="M45" i="55"/>
  <c r="M50" i="55"/>
  <c r="O50" i="56" s="1"/>
  <c r="M51" i="55"/>
  <c r="O51" i="56" s="1"/>
  <c r="M28" i="55"/>
  <c r="M49" i="55"/>
  <c r="M54" i="55"/>
  <c r="M39" i="55"/>
  <c r="M18" i="55"/>
  <c r="O18" i="56" s="1"/>
  <c r="M27" i="55"/>
  <c r="O27" i="56" s="1"/>
  <c r="B43" i="52"/>
  <c r="B18" i="52"/>
  <c r="B8" i="52"/>
  <c r="B56" i="52"/>
  <c r="B25" i="52"/>
  <c r="B52" i="52"/>
  <c r="B24" i="52"/>
  <c r="B55" i="52"/>
  <c r="B41" i="52"/>
  <c r="B30" i="52"/>
  <c r="B46" i="52"/>
  <c r="B10" i="52"/>
  <c r="O33" i="56"/>
  <c r="O14" i="59"/>
  <c r="O43" i="59"/>
  <c r="M38" i="52"/>
  <c r="O57" i="56"/>
  <c r="M31" i="52"/>
  <c r="O31" i="53"/>
  <c r="M67" i="52"/>
  <c r="O67" i="53"/>
  <c r="S67" i="53" s="1"/>
  <c r="O45" i="56"/>
  <c r="M53" i="52"/>
  <c r="M7" i="52"/>
  <c r="O7" i="52" s="1"/>
  <c r="M32" i="52"/>
  <c r="O32" i="53" s="1"/>
  <c r="M19" i="52"/>
  <c r="O19" i="52"/>
  <c r="B44" i="1"/>
  <c r="B42" i="1"/>
  <c r="L42" i="1"/>
  <c r="B19" i="1"/>
  <c r="B56" i="1"/>
  <c r="O39" i="60"/>
  <c r="K7" i="50"/>
  <c r="B33" i="61"/>
  <c r="M60" i="52"/>
  <c r="M46" i="52"/>
  <c r="O46" i="53" s="1"/>
  <c r="M68" i="52"/>
  <c r="O68" i="53" s="1"/>
  <c r="S68" i="53" s="1"/>
  <c r="B52" i="1"/>
  <c r="B53" i="1"/>
  <c r="B12" i="1"/>
  <c r="B45" i="1"/>
  <c r="B47" i="1"/>
  <c r="B39" i="1"/>
  <c r="O29" i="55"/>
  <c r="M21" i="52"/>
  <c r="M15" i="52"/>
  <c r="M12" i="52"/>
  <c r="O12" i="53"/>
  <c r="M49" i="52"/>
  <c r="O49" i="53"/>
  <c r="O19" i="56"/>
  <c r="B13" i="1"/>
  <c r="B16" i="1"/>
  <c r="B23" i="1"/>
  <c r="O52" i="54"/>
  <c r="O20" i="57"/>
  <c r="O66" i="59"/>
  <c r="O56" i="59"/>
  <c r="M29" i="52"/>
  <c r="O29" i="53"/>
  <c r="B40" i="1"/>
  <c r="B30" i="1"/>
  <c r="O13" i="52"/>
  <c r="M28" i="52"/>
  <c r="O28" i="52" s="1"/>
  <c r="M44" i="52"/>
  <c r="B52" i="61"/>
  <c r="M57" i="52"/>
  <c r="M24" i="52"/>
  <c r="M40" i="52"/>
  <c r="M14" i="52"/>
  <c r="M35" i="52"/>
  <c r="O35" i="53" s="1"/>
  <c r="M30" i="52"/>
  <c r="M63" i="52"/>
  <c r="M20" i="52"/>
  <c r="M39" i="52"/>
  <c r="M64" i="52"/>
  <c r="O64" i="53" s="1"/>
  <c r="S64" i="53" s="1"/>
  <c r="M8" i="52"/>
  <c r="M25" i="52"/>
  <c r="O25" i="52" s="1"/>
  <c r="M9" i="52"/>
  <c r="M59" i="52"/>
  <c r="M54" i="52"/>
  <c r="O54" i="53" s="1"/>
  <c r="M61" i="52"/>
  <c r="O61" i="53"/>
  <c r="S61" i="53"/>
  <c r="M66" i="52"/>
  <c r="M50" i="52"/>
  <c r="O50" i="52"/>
  <c r="M18" i="52"/>
  <c r="O18" i="53" s="1"/>
  <c r="M55" i="52"/>
  <c r="O55" i="53"/>
  <c r="M69" i="52"/>
  <c r="O69" i="53" s="1"/>
  <c r="S69" i="53" s="1"/>
  <c r="M58" i="52"/>
  <c r="O58" i="53" s="1"/>
  <c r="S58" i="53" s="1"/>
  <c r="M47" i="52"/>
  <c r="M65" i="52"/>
  <c r="O65" i="53"/>
  <c r="M11" i="52"/>
  <c r="M45" i="52"/>
  <c r="O45" i="53"/>
  <c r="M37" i="52"/>
  <c r="M26" i="52"/>
  <c r="O26" i="52"/>
  <c r="M33" i="52"/>
  <c r="M17" i="52"/>
  <c r="O17" i="53" s="1"/>
  <c r="O58" i="59"/>
  <c r="O39" i="59"/>
  <c r="M62" i="52"/>
  <c r="M36" i="52"/>
  <c r="M10" i="52"/>
  <c r="M42" i="52"/>
  <c r="O42" i="52" s="1"/>
  <c r="M23" i="52"/>
  <c r="M48" i="52"/>
  <c r="O48" i="53"/>
  <c r="M41" i="52"/>
  <c r="O41" i="53" s="1"/>
  <c r="M6" i="52"/>
  <c r="M34" i="52"/>
  <c r="M52" i="52"/>
  <c r="M27" i="52"/>
  <c r="O27" i="52" s="1"/>
  <c r="M22" i="52"/>
  <c r="O22" i="53" s="1"/>
  <c r="M43" i="52"/>
  <c r="O43" i="53"/>
  <c r="M51" i="52"/>
  <c r="M56" i="52"/>
  <c r="O58" i="52"/>
  <c r="S58" i="52" s="1"/>
  <c r="O45" i="52"/>
  <c r="I5" i="4"/>
  <c r="G2" i="54"/>
  <c r="C37" i="54"/>
  <c r="I7" i="4"/>
  <c r="G2" i="56"/>
  <c r="I8" i="4"/>
  <c r="G2" i="57"/>
  <c r="I11" i="4"/>
  <c r="G2" i="60"/>
  <c r="I3" i="4"/>
  <c r="G2" i="52"/>
  <c r="I4" i="4"/>
  <c r="G2" i="53"/>
  <c r="I10" i="4"/>
  <c r="G2" i="59"/>
  <c r="H24" i="59"/>
  <c r="I2" i="4"/>
  <c r="G2" i="1"/>
  <c r="I9" i="4"/>
  <c r="G2" i="58"/>
  <c r="H56" i="58"/>
  <c r="Q9" i="50"/>
  <c r="N10" i="50"/>
  <c r="Q10" i="50"/>
  <c r="N9" i="50"/>
  <c r="B23" i="61"/>
  <c r="B17" i="61"/>
  <c r="B27" i="61"/>
  <c r="B43" i="61"/>
  <c r="B26" i="61"/>
  <c r="B36" i="61"/>
  <c r="B45" i="61"/>
  <c r="B25" i="61"/>
  <c r="B18" i="61"/>
  <c r="B48" i="61"/>
  <c r="B22" i="61"/>
  <c r="B40" i="61"/>
  <c r="B21" i="61"/>
  <c r="B15" i="61"/>
  <c r="B50" i="61"/>
  <c r="B55" i="61"/>
  <c r="B30" i="61"/>
  <c r="B37" i="61"/>
  <c r="B28" i="61"/>
  <c r="B34" i="61"/>
  <c r="B16" i="61"/>
  <c r="B46" i="61"/>
  <c r="B24" i="61"/>
  <c r="B44" i="61"/>
  <c r="B56" i="61"/>
  <c r="B53" i="61"/>
  <c r="B42" i="61"/>
  <c r="B19" i="61"/>
  <c r="B29" i="61"/>
  <c r="B20" i="61"/>
  <c r="B54" i="61"/>
  <c r="B38" i="61"/>
  <c r="B39" i="61"/>
  <c r="B35" i="61"/>
  <c r="B31" i="61"/>
  <c r="B51" i="61"/>
  <c r="B32" i="61"/>
  <c r="B41" i="61"/>
  <c r="B49" i="61"/>
  <c r="C54" i="59"/>
  <c r="M67" i="60"/>
  <c r="O67" i="60" s="1"/>
  <c r="M16" i="60"/>
  <c r="M20" i="60"/>
  <c r="O20" i="60"/>
  <c r="M32" i="60"/>
  <c r="M65" i="60"/>
  <c r="B43" i="58"/>
  <c r="M19" i="59"/>
  <c r="B32" i="59"/>
  <c r="B46" i="59"/>
  <c r="K5" i="50"/>
  <c r="Q5" i="50"/>
  <c r="K6" i="50"/>
  <c r="K10" i="50"/>
  <c r="K9" i="50"/>
  <c r="M52" i="60"/>
  <c r="O52" i="61" s="1"/>
  <c r="M43" i="60"/>
  <c r="O43" i="60" s="1"/>
  <c r="M49" i="60"/>
  <c r="O49" i="60" s="1"/>
  <c r="M56" i="60"/>
  <c r="O56" i="60" s="1"/>
  <c r="M63" i="60"/>
  <c r="M33" i="60"/>
  <c r="M58" i="60"/>
  <c r="M44" i="60"/>
  <c r="O44" i="60" s="1"/>
  <c r="M36" i="60"/>
  <c r="O36" i="61" s="1"/>
  <c r="M60" i="60"/>
  <c r="M30" i="60"/>
  <c r="O30" i="60" s="1"/>
  <c r="M18" i="60"/>
  <c r="M53" i="60"/>
  <c r="O53" i="60" s="1"/>
  <c r="M64" i="60"/>
  <c r="M27" i="60"/>
  <c r="M19" i="60"/>
  <c r="M24" i="60"/>
  <c r="M50" i="60"/>
  <c r="M41" i="60"/>
  <c r="O41" i="60" s="1"/>
  <c r="M47" i="60"/>
  <c r="O47" i="60" s="1"/>
  <c r="M57" i="60"/>
  <c r="O57" i="60" s="1"/>
  <c r="M46" i="60"/>
  <c r="M61" i="60"/>
  <c r="M31" i="60"/>
  <c r="M38" i="60"/>
  <c r="M62" i="60"/>
  <c r="M15" i="60"/>
  <c r="O15" i="61" s="1"/>
  <c r="M26" i="60"/>
  <c r="M37" i="60"/>
  <c r="M66" i="60"/>
  <c r="M23" i="60"/>
  <c r="O23" i="61" s="1"/>
  <c r="M21" i="60"/>
  <c r="M69" i="60"/>
  <c r="C42" i="59"/>
  <c r="C17" i="59"/>
  <c r="D17" i="59"/>
  <c r="M55" i="60"/>
  <c r="B17" i="58"/>
  <c r="B41" i="58"/>
  <c r="B47" i="58"/>
  <c r="B45" i="58"/>
  <c r="B55" i="58"/>
  <c r="B33" i="58"/>
  <c r="B39" i="58"/>
  <c r="B49" i="58"/>
  <c r="B13" i="58"/>
  <c r="B53" i="58"/>
  <c r="B35" i="58"/>
  <c r="B27" i="58"/>
  <c r="B25" i="58"/>
  <c r="B20" i="58"/>
  <c r="B19" i="58"/>
  <c r="B32" i="58"/>
  <c r="B37" i="58"/>
  <c r="B40" i="58"/>
  <c r="B44" i="58"/>
  <c r="B12" i="58"/>
  <c r="B52" i="58"/>
  <c r="B28" i="58"/>
  <c r="B50" i="58"/>
  <c r="B36" i="58"/>
  <c r="B34" i="58"/>
  <c r="B15" i="58"/>
  <c r="B18" i="58"/>
  <c r="B54" i="58"/>
  <c r="B29" i="58"/>
  <c r="B23" i="58"/>
  <c r="B22" i="58"/>
  <c r="B46" i="58"/>
  <c r="B38" i="58"/>
  <c r="B48" i="58"/>
  <c r="B14" i="58"/>
  <c r="B16" i="58"/>
  <c r="B49" i="59"/>
  <c r="B37" i="59"/>
  <c r="B25" i="59"/>
  <c r="B44" i="59"/>
  <c r="B53" i="59"/>
  <c r="B26" i="59"/>
  <c r="B56" i="59"/>
  <c r="B48" i="59"/>
  <c r="B31" i="59"/>
  <c r="B21" i="59"/>
  <c r="B47" i="59"/>
  <c r="B35" i="59"/>
  <c r="B45" i="59"/>
  <c r="B33" i="59"/>
  <c r="B18" i="59"/>
  <c r="B52" i="59"/>
  <c r="B20" i="59"/>
  <c r="B40" i="59"/>
  <c r="B51" i="59"/>
  <c r="B43" i="59"/>
  <c r="B28" i="59"/>
  <c r="B13" i="59"/>
  <c r="B16" i="59"/>
  <c r="B50" i="59"/>
  <c r="B34" i="59"/>
  <c r="B29" i="59"/>
  <c r="B38" i="59"/>
  <c r="B14" i="59"/>
  <c r="L14" i="59"/>
  <c r="B15" i="59"/>
  <c r="B30" i="59"/>
  <c r="C30" i="59"/>
  <c r="B22" i="59"/>
  <c r="C22" i="59"/>
  <c r="D22" i="59"/>
  <c r="E22" i="59"/>
  <c r="F22" i="59"/>
  <c r="L44" i="59"/>
  <c r="L27" i="59"/>
  <c r="L41" i="59"/>
  <c r="M45" i="59"/>
  <c r="O45" i="60" s="1"/>
  <c r="M23" i="59"/>
  <c r="M12" i="59"/>
  <c r="M36" i="59"/>
  <c r="M18" i="59"/>
  <c r="O18" i="60" s="1"/>
  <c r="M16" i="59"/>
  <c r="M38" i="59"/>
  <c r="M64" i="59"/>
  <c r="M29" i="59"/>
  <c r="O29" i="59" s="1"/>
  <c r="M17" i="59"/>
  <c r="M31" i="59"/>
  <c r="M22" i="59"/>
  <c r="M62" i="59"/>
  <c r="O62" i="59" s="1"/>
  <c r="S62" i="59" s="1"/>
  <c r="M49" i="59"/>
  <c r="M25" i="59"/>
  <c r="M32" i="59"/>
  <c r="M27" i="59"/>
  <c r="O27" i="60" s="1"/>
  <c r="M21" i="59"/>
  <c r="M65" i="59"/>
  <c r="O68" i="59"/>
  <c r="S68" i="59" s="1"/>
  <c r="H54" i="54"/>
  <c r="O66" i="56"/>
  <c r="C23" i="59"/>
  <c r="D23" i="59"/>
  <c r="L23" i="59"/>
  <c r="B47" i="56"/>
  <c r="B38" i="56"/>
  <c r="L38" i="56"/>
  <c r="N38" i="57"/>
  <c r="B39" i="56"/>
  <c r="B23" i="56"/>
  <c r="B45" i="56"/>
  <c r="B54" i="56"/>
  <c r="B36" i="56"/>
  <c r="B50" i="56"/>
  <c r="B25" i="56"/>
  <c r="B29" i="56"/>
  <c r="B46" i="56"/>
  <c r="B31" i="56"/>
  <c r="B20" i="56"/>
  <c r="B17" i="56"/>
  <c r="B33" i="56"/>
  <c r="B13" i="56"/>
  <c r="B37" i="56"/>
  <c r="B34" i="56"/>
  <c r="B52" i="56"/>
  <c r="B30" i="56"/>
  <c r="B51" i="56"/>
  <c r="B21" i="56"/>
  <c r="B18" i="56"/>
  <c r="B14" i="56"/>
  <c r="B28" i="56"/>
  <c r="B12" i="56"/>
  <c r="B55" i="56"/>
  <c r="B26" i="56"/>
  <c r="B32" i="56"/>
  <c r="B24" i="56"/>
  <c r="B11" i="56"/>
  <c r="B16" i="56"/>
  <c r="B43" i="56"/>
  <c r="B48" i="56"/>
  <c r="B15" i="56"/>
  <c r="B40" i="56"/>
  <c r="B49" i="56"/>
  <c r="B53" i="56"/>
  <c r="B35" i="56"/>
  <c r="B10" i="56"/>
  <c r="B27" i="56"/>
  <c r="B42" i="56"/>
  <c r="B22" i="56"/>
  <c r="B56" i="56"/>
  <c r="B41" i="56"/>
  <c r="B19" i="56"/>
  <c r="B44" i="56"/>
  <c r="C45" i="57"/>
  <c r="D45" i="57"/>
  <c r="H45" i="57"/>
  <c r="C17" i="58"/>
  <c r="M61" i="61"/>
  <c r="M24" i="61"/>
  <c r="O24" i="61" s="1"/>
  <c r="M36" i="61"/>
  <c r="M22" i="61"/>
  <c r="O22" i="61"/>
  <c r="M67" i="61"/>
  <c r="M40" i="61"/>
  <c r="M69" i="61"/>
  <c r="M58" i="61"/>
  <c r="M18" i="61"/>
  <c r="M60" i="61"/>
  <c r="M35" i="61"/>
  <c r="O35" i="61"/>
  <c r="M49" i="61"/>
  <c r="M63" i="61"/>
  <c r="M45" i="61"/>
  <c r="O45" i="61"/>
  <c r="M29" i="61"/>
  <c r="O29" i="61" s="1"/>
  <c r="M53" i="61"/>
  <c r="M65" i="61"/>
  <c r="O65" i="61" s="1"/>
  <c r="M62" i="61"/>
  <c r="O62" i="61" s="1"/>
  <c r="M51" i="61"/>
  <c r="M41" i="61"/>
  <c r="M31" i="61"/>
  <c r="M68" i="61"/>
  <c r="M16" i="61"/>
  <c r="O16" i="61" s="1"/>
  <c r="M30" i="61"/>
  <c r="O30" i="61" s="1"/>
  <c r="M33" i="61"/>
  <c r="O33" i="61"/>
  <c r="M38" i="61"/>
  <c r="M57" i="61"/>
  <c r="M47" i="61"/>
  <c r="M37" i="61"/>
  <c r="M26" i="61"/>
  <c r="O26" i="61" s="1"/>
  <c r="M50" i="61"/>
  <c r="M39" i="61"/>
  <c r="O39" i="61" s="1"/>
  <c r="M32" i="61"/>
  <c r="O32" i="61"/>
  <c r="M23" i="61"/>
  <c r="M46" i="61"/>
  <c r="O46" i="61"/>
  <c r="M25" i="61"/>
  <c r="O25" i="61" s="1"/>
  <c r="M56" i="61"/>
  <c r="M21" i="61"/>
  <c r="M64" i="61"/>
  <c r="M59" i="61"/>
  <c r="O59" i="61" s="1"/>
  <c r="M42" i="61"/>
  <c r="O42" i="61"/>
  <c r="M54" i="61"/>
  <c r="O54" i="61" s="1"/>
  <c r="M28" i="61"/>
  <c r="O28" i="61"/>
  <c r="M19" i="61"/>
  <c r="M15" i="61"/>
  <c r="M44" i="61"/>
  <c r="O44" i="61" s="1"/>
  <c r="M20" i="61"/>
  <c r="O20" i="61" s="1"/>
  <c r="M27" i="61"/>
  <c r="O27" i="61"/>
  <c r="M52" i="61"/>
  <c r="M17" i="61"/>
  <c r="M55" i="61"/>
  <c r="M66" i="61"/>
  <c r="M43" i="61"/>
  <c r="M14" i="61"/>
  <c r="M34" i="61"/>
  <c r="O34" i="61" s="1"/>
  <c r="M48" i="61"/>
  <c r="O48" i="61" s="1"/>
  <c r="L30" i="59"/>
  <c r="H50" i="57"/>
  <c r="C37" i="57"/>
  <c r="D37" i="57"/>
  <c r="E37" i="57"/>
  <c r="F37" i="57"/>
  <c r="H37" i="57"/>
  <c r="H39" i="57"/>
  <c r="H53" i="54"/>
  <c r="H47" i="54"/>
  <c r="H33" i="54"/>
  <c r="M45" i="54"/>
  <c r="O45" i="55" s="1"/>
  <c r="M12" i="54"/>
  <c r="M48" i="55"/>
  <c r="O48" i="56" s="1"/>
  <c r="B15" i="55"/>
  <c r="M38" i="55"/>
  <c r="O38" i="56"/>
  <c r="S38" i="56" s="1"/>
  <c r="B35" i="1"/>
  <c r="B55" i="1"/>
  <c r="B31" i="1"/>
  <c r="B37" i="1"/>
  <c r="B25" i="1"/>
  <c r="B5" i="1"/>
  <c r="B28" i="1"/>
  <c r="B14" i="1"/>
  <c r="B6" i="1"/>
  <c r="B7" i="1"/>
  <c r="B24" i="1"/>
  <c r="B10" i="1"/>
  <c r="B43" i="1"/>
  <c r="B48" i="1"/>
  <c r="B15" i="1"/>
  <c r="B18" i="1"/>
  <c r="B17" i="1"/>
  <c r="B26" i="1"/>
  <c r="B32" i="1"/>
  <c r="B54" i="1"/>
  <c r="B8" i="1"/>
  <c r="B50" i="1"/>
  <c r="B49" i="1"/>
  <c r="B9" i="1"/>
  <c r="B36" i="1"/>
  <c r="B22" i="1"/>
  <c r="B21" i="1"/>
  <c r="B27" i="1"/>
  <c r="B38" i="1"/>
  <c r="B29" i="1"/>
  <c r="I12" i="4"/>
  <c r="G2" i="61"/>
  <c r="I6" i="4"/>
  <c r="G2" i="55"/>
  <c r="L12" i="55"/>
  <c r="B52" i="54"/>
  <c r="B44" i="54"/>
  <c r="M46" i="54"/>
  <c r="M9" i="54"/>
  <c r="O9" i="55" s="1"/>
  <c r="M13" i="54"/>
  <c r="M35" i="54"/>
  <c r="M49" i="54"/>
  <c r="O49" i="54" s="1"/>
  <c r="S49" i="54" s="1"/>
  <c r="M38" i="54"/>
  <c r="M69" i="54"/>
  <c r="M16" i="54"/>
  <c r="M53" i="54"/>
  <c r="O53" i="55" s="1"/>
  <c r="M57" i="54"/>
  <c r="M66" i="54"/>
  <c r="M21" i="54"/>
  <c r="O21" i="54" s="1"/>
  <c r="S21" i="54" s="1"/>
  <c r="M64" i="54"/>
  <c r="M10" i="54"/>
  <c r="M23" i="54"/>
  <c r="M37" i="54"/>
  <c r="M25" i="54"/>
  <c r="M48" i="54"/>
  <c r="M61" i="54"/>
  <c r="O61" i="54" s="1"/>
  <c r="S61" i="54" s="1"/>
  <c r="M18" i="54"/>
  <c r="M14" i="54"/>
  <c r="O14" i="55" s="1"/>
  <c r="M22" i="54"/>
  <c r="M62" i="54"/>
  <c r="M27" i="54"/>
  <c r="M36" i="54"/>
  <c r="M20" i="54"/>
  <c r="M54" i="54"/>
  <c r="O54" i="55" s="1"/>
  <c r="M31" i="54"/>
  <c r="M50" i="54"/>
  <c r="O50" i="55" s="1"/>
  <c r="M58" i="54"/>
  <c r="O58" i="55" s="1"/>
  <c r="M7" i="54"/>
  <c r="M51" i="54"/>
  <c r="M67" i="54"/>
  <c r="M43" i="54"/>
  <c r="M26" i="54"/>
  <c r="O26" i="54" s="1"/>
  <c r="M28" i="54"/>
  <c r="O28" i="54" s="1"/>
  <c r="M60" i="54"/>
  <c r="M8" i="54"/>
  <c r="O8" i="54" s="1"/>
  <c r="M56" i="54"/>
  <c r="M65" i="54"/>
  <c r="O65" i="54"/>
  <c r="S65" i="54" s="1"/>
  <c r="M44" i="54"/>
  <c r="O44" i="54" s="1"/>
  <c r="M41" i="54"/>
  <c r="M39" i="54"/>
  <c r="M30" i="54"/>
  <c r="B28" i="55"/>
  <c r="B34" i="55"/>
  <c r="B54" i="55"/>
  <c r="B25" i="55"/>
  <c r="B35" i="55"/>
  <c r="B23" i="55"/>
  <c r="B20" i="55"/>
  <c r="B50" i="55"/>
  <c r="B31" i="55"/>
  <c r="B17" i="55"/>
  <c r="B24" i="55"/>
  <c r="B55" i="55"/>
  <c r="B30" i="55"/>
  <c r="B42" i="55"/>
  <c r="B14" i="55"/>
  <c r="B27" i="55"/>
  <c r="B38" i="55"/>
  <c r="B48" i="55"/>
  <c r="B41" i="55"/>
  <c r="B22" i="55"/>
  <c r="B11" i="55"/>
  <c r="B33" i="55"/>
  <c r="B40" i="55"/>
  <c r="B39" i="55"/>
  <c r="B19" i="55"/>
  <c r="B18" i="55"/>
  <c r="L16" i="55"/>
  <c r="M37" i="55"/>
  <c r="M31" i="55"/>
  <c r="O31" i="56"/>
  <c r="M69" i="55"/>
  <c r="O69" i="56" s="1"/>
  <c r="M44" i="55"/>
  <c r="M16" i="55"/>
  <c r="M20" i="55"/>
  <c r="O20" i="56" s="1"/>
  <c r="M25" i="55"/>
  <c r="M23" i="55"/>
  <c r="O23" i="56" s="1"/>
  <c r="M62" i="55"/>
  <c r="M52" i="55"/>
  <c r="M67" i="55"/>
  <c r="M41" i="55"/>
  <c r="O41" i="56" s="1"/>
  <c r="M8" i="55"/>
  <c r="M21" i="55"/>
  <c r="M22" i="55"/>
  <c r="O22" i="56" s="1"/>
  <c r="M60" i="55"/>
  <c r="O60" i="56"/>
  <c r="M11" i="55"/>
  <c r="M15" i="55"/>
  <c r="O15" i="55" s="1"/>
  <c r="M46" i="55"/>
  <c r="O46" i="56" s="1"/>
  <c r="M35" i="55"/>
  <c r="O35" i="56" s="1"/>
  <c r="M30" i="55"/>
  <c r="O30" i="56" s="1"/>
  <c r="M64" i="55"/>
  <c r="O64" i="56" s="1"/>
  <c r="M56" i="55"/>
  <c r="M17" i="55"/>
  <c r="M24" i="55"/>
  <c r="M10" i="55"/>
  <c r="O10" i="56"/>
  <c r="M65" i="55"/>
  <c r="M40" i="55"/>
  <c r="H31" i="60"/>
  <c r="L48" i="57"/>
  <c r="H29" i="57"/>
  <c r="C18" i="57"/>
  <c r="D18" i="57"/>
  <c r="E18" i="57"/>
  <c r="F18" i="57"/>
  <c r="O47" i="54"/>
  <c r="O29" i="56"/>
  <c r="H32" i="54"/>
  <c r="L21" i="52"/>
  <c r="N21" i="53"/>
  <c r="H25" i="54"/>
  <c r="H18" i="58"/>
  <c r="O21" i="61"/>
  <c r="L17" i="58"/>
  <c r="C38" i="54"/>
  <c r="C34" i="52"/>
  <c r="L22" i="58"/>
  <c r="C18" i="58"/>
  <c r="L50" i="58"/>
  <c r="N50" i="58"/>
  <c r="L47" i="58"/>
  <c r="O26" i="53"/>
  <c r="L11" i="54"/>
  <c r="L25" i="54"/>
  <c r="N25" i="54"/>
  <c r="C28" i="52"/>
  <c r="L15" i="58"/>
  <c r="L10" i="52"/>
  <c r="C29" i="52"/>
  <c r="O29" i="52"/>
  <c r="O17" i="52"/>
  <c r="H17" i="58"/>
  <c r="C13" i="52"/>
  <c r="L33" i="58"/>
  <c r="L25" i="58"/>
  <c r="H26" i="58"/>
  <c r="L40" i="56"/>
  <c r="O67" i="52"/>
  <c r="S67" i="52"/>
  <c r="O55" i="61"/>
  <c r="L27" i="56"/>
  <c r="L15" i="56"/>
  <c r="L55" i="56"/>
  <c r="L52" i="56"/>
  <c r="L33" i="56"/>
  <c r="L46" i="56"/>
  <c r="N46" i="56"/>
  <c r="L36" i="56"/>
  <c r="C20" i="52"/>
  <c r="O48" i="52"/>
  <c r="O21" i="52"/>
  <c r="O21" i="53"/>
  <c r="O68" i="52"/>
  <c r="S68" i="52" s="1"/>
  <c r="O56" i="61"/>
  <c r="O31" i="61"/>
  <c r="O18" i="61"/>
  <c r="L53" i="56"/>
  <c r="O46" i="52"/>
  <c r="O49" i="52"/>
  <c r="L31" i="55"/>
  <c r="N31" i="56"/>
  <c r="O19" i="61"/>
  <c r="O47" i="61"/>
  <c r="L39" i="56"/>
  <c r="O15" i="52"/>
  <c r="O15" i="53"/>
  <c r="O12" i="52"/>
  <c r="O23" i="53"/>
  <c r="O23" i="52"/>
  <c r="O62" i="53"/>
  <c r="S62" i="53" s="1"/>
  <c r="O62" i="52"/>
  <c r="S62" i="52"/>
  <c r="O57" i="61"/>
  <c r="O69" i="61"/>
  <c r="L19" i="56"/>
  <c r="L43" i="56"/>
  <c r="N43" i="56"/>
  <c r="L30" i="56"/>
  <c r="L51" i="56"/>
  <c r="L35" i="56"/>
  <c r="L13" i="56"/>
  <c r="L23" i="56"/>
  <c r="H31" i="58"/>
  <c r="O65" i="52"/>
  <c r="S65" i="52"/>
  <c r="O55" i="52"/>
  <c r="O51" i="53"/>
  <c r="O51" i="52"/>
  <c r="O52" i="52"/>
  <c r="O52" i="53"/>
  <c r="O36" i="52"/>
  <c r="O11" i="53"/>
  <c r="O11" i="52"/>
  <c r="O66" i="52"/>
  <c r="S66" i="52" s="1"/>
  <c r="O66" i="53"/>
  <c r="S66" i="53"/>
  <c r="O8" i="52"/>
  <c r="O8" i="53"/>
  <c r="O63" i="53"/>
  <c r="S63" i="53"/>
  <c r="O63" i="52"/>
  <c r="S63" i="52" s="1"/>
  <c r="O43" i="52"/>
  <c r="O61" i="52"/>
  <c r="S61" i="52" s="1"/>
  <c r="O34" i="52"/>
  <c r="O34" i="53"/>
  <c r="O59" i="52"/>
  <c r="S59" i="52" s="1"/>
  <c r="O59" i="53"/>
  <c r="S59" i="53"/>
  <c r="O56" i="52"/>
  <c r="O24" i="53"/>
  <c r="O24" i="52"/>
  <c r="O37" i="61"/>
  <c r="L42" i="56"/>
  <c r="L54" i="56"/>
  <c r="L34" i="56"/>
  <c r="L48" i="56"/>
  <c r="L24" i="56"/>
  <c r="L12" i="56"/>
  <c r="L21" i="56"/>
  <c r="O22" i="52"/>
  <c r="O42" i="53"/>
  <c r="O9" i="52"/>
  <c r="O9" i="53"/>
  <c r="O39" i="52"/>
  <c r="O57" i="53"/>
  <c r="S57" i="53" s="1"/>
  <c r="O57" i="52"/>
  <c r="S57" i="52"/>
  <c r="O44" i="53"/>
  <c r="O44" i="52"/>
  <c r="O53" i="61"/>
  <c r="L14" i="56"/>
  <c r="L28" i="56"/>
  <c r="L22" i="56"/>
  <c r="L45" i="56"/>
  <c r="L47" i="56"/>
  <c r="L32" i="52"/>
  <c r="O41" i="52"/>
  <c r="O25" i="53"/>
  <c r="O14" i="53"/>
  <c r="O14" i="52"/>
  <c r="O28" i="53"/>
  <c r="O40" i="52"/>
  <c r="L45" i="55"/>
  <c r="N45" i="56"/>
  <c r="O21" i="59"/>
  <c r="O21" i="60"/>
  <c r="O49" i="59"/>
  <c r="O17" i="59"/>
  <c r="O16" i="59"/>
  <c r="O16" i="60"/>
  <c r="C14" i="59"/>
  <c r="C50" i="59"/>
  <c r="L50" i="59"/>
  <c r="N50" i="59"/>
  <c r="C43" i="59"/>
  <c r="L43" i="59"/>
  <c r="C52" i="59"/>
  <c r="L52" i="59"/>
  <c r="L35" i="59"/>
  <c r="C35" i="59"/>
  <c r="C48" i="59"/>
  <c r="D48" i="59"/>
  <c r="E48" i="59"/>
  <c r="L48" i="59"/>
  <c r="C44" i="59"/>
  <c r="C14" i="58"/>
  <c r="D14" i="58"/>
  <c r="E14" i="58"/>
  <c r="F14" i="58"/>
  <c r="L14" i="58"/>
  <c r="N14" i="59"/>
  <c r="H14" i="58"/>
  <c r="H22" i="58"/>
  <c r="C22" i="58"/>
  <c r="H50" i="58"/>
  <c r="C50" i="58"/>
  <c r="H44" i="58"/>
  <c r="L44" i="58"/>
  <c r="N44" i="59"/>
  <c r="C44" i="58"/>
  <c r="H19" i="58"/>
  <c r="C19" i="58"/>
  <c r="L19" i="58"/>
  <c r="C35" i="58"/>
  <c r="D35" i="58"/>
  <c r="E35" i="58"/>
  <c r="H35" i="58"/>
  <c r="L35" i="58"/>
  <c r="L39" i="58"/>
  <c r="H39" i="58"/>
  <c r="C39" i="58"/>
  <c r="H47" i="58"/>
  <c r="C47" i="58"/>
  <c r="D47" i="58"/>
  <c r="L46" i="59"/>
  <c r="C46" i="59"/>
  <c r="C43" i="58"/>
  <c r="H43" i="58"/>
  <c r="L43" i="58"/>
  <c r="L54" i="59"/>
  <c r="C41" i="59"/>
  <c r="L10" i="53"/>
  <c r="C56" i="53"/>
  <c r="L56" i="53"/>
  <c r="N56" i="54"/>
  <c r="C42" i="53"/>
  <c r="L36" i="53"/>
  <c r="C54" i="53"/>
  <c r="C24" i="53"/>
  <c r="D24" i="53"/>
  <c r="C23" i="53"/>
  <c r="L8" i="53"/>
  <c r="C10" i="53"/>
  <c r="D10" i="53"/>
  <c r="C22" i="53"/>
  <c r="L31" i="53"/>
  <c r="L55" i="53"/>
  <c r="C36" i="53"/>
  <c r="C30" i="53"/>
  <c r="C21" i="53"/>
  <c r="C53" i="53"/>
  <c r="L20" i="53"/>
  <c r="N20" i="54"/>
  <c r="L29" i="53"/>
  <c r="L54" i="53"/>
  <c r="C34" i="53"/>
  <c r="C7" i="53"/>
  <c r="L44" i="53"/>
  <c r="C9" i="53"/>
  <c r="L7" i="53"/>
  <c r="C47" i="53"/>
  <c r="C48" i="53"/>
  <c r="L25" i="53"/>
  <c r="C15" i="53"/>
  <c r="L30" i="53"/>
  <c r="N30" i="53"/>
  <c r="L51" i="53"/>
  <c r="L18" i="53"/>
  <c r="C29" i="53"/>
  <c r="C28" i="53"/>
  <c r="C43" i="53"/>
  <c r="C50" i="53"/>
  <c r="L41" i="53"/>
  <c r="C32" i="53"/>
  <c r="C52" i="53"/>
  <c r="L38" i="53"/>
  <c r="N38" i="53"/>
  <c r="L11" i="53"/>
  <c r="C17" i="53"/>
  <c r="L49" i="53"/>
  <c r="C46" i="53"/>
  <c r="C16" i="53"/>
  <c r="C45" i="53"/>
  <c r="L23" i="53"/>
  <c r="L22" i="53"/>
  <c r="L39" i="53"/>
  <c r="L42" i="53"/>
  <c r="C13" i="53"/>
  <c r="L15" i="53"/>
  <c r="C18" i="53"/>
  <c r="C20" i="53"/>
  <c r="L33" i="53"/>
  <c r="C40" i="53"/>
  <c r="D40" i="53"/>
  <c r="E40" i="53"/>
  <c r="F40" i="53"/>
  <c r="L50" i="53"/>
  <c r="N50" i="53"/>
  <c r="C41" i="53"/>
  <c r="L14" i="53"/>
  <c r="L37" i="53"/>
  <c r="C26" i="53"/>
  <c r="C35" i="53"/>
  <c r="C27" i="53"/>
  <c r="C11" i="53"/>
  <c r="D11" i="53"/>
  <c r="C49" i="53"/>
  <c r="L46" i="53"/>
  <c r="L13" i="53"/>
  <c r="C55" i="53"/>
  <c r="D55" i="53"/>
  <c r="L9" i="53"/>
  <c r="C44" i="53"/>
  <c r="L47" i="53"/>
  <c r="H30" i="53"/>
  <c r="L53" i="53"/>
  <c r="C51" i="53"/>
  <c r="C33" i="53"/>
  <c r="D33" i="53"/>
  <c r="E33" i="53"/>
  <c r="F33" i="53"/>
  <c r="L28" i="53"/>
  <c r="L40" i="53"/>
  <c r="L32" i="53"/>
  <c r="N32" i="53"/>
  <c r="C19" i="53"/>
  <c r="C38" i="53"/>
  <c r="D38" i="53"/>
  <c r="H11" i="53"/>
  <c r="L45" i="53"/>
  <c r="C39" i="53"/>
  <c r="C8" i="53"/>
  <c r="C25" i="53"/>
  <c r="L43" i="53"/>
  <c r="N43" i="53"/>
  <c r="C37" i="53"/>
  <c r="L26" i="53"/>
  <c r="C31" i="53"/>
  <c r="L48" i="53"/>
  <c r="N48" i="54"/>
  <c r="L12" i="53"/>
  <c r="C14" i="53"/>
  <c r="L52" i="53"/>
  <c r="L35" i="53"/>
  <c r="N35" i="53"/>
  <c r="L17" i="53"/>
  <c r="L16" i="53"/>
  <c r="C12" i="53"/>
  <c r="D12" i="53"/>
  <c r="L34" i="53"/>
  <c r="N34" i="53"/>
  <c r="L24" i="53"/>
  <c r="L19" i="53"/>
  <c r="L27" i="53"/>
  <c r="L21" i="53"/>
  <c r="H32" i="53"/>
  <c r="L24" i="59"/>
  <c r="O62" i="60"/>
  <c r="O29" i="60"/>
  <c r="O45" i="59"/>
  <c r="L22" i="59"/>
  <c r="N22" i="59"/>
  <c r="C38" i="59"/>
  <c r="D38" i="59"/>
  <c r="L38" i="59"/>
  <c r="L16" i="59"/>
  <c r="C16" i="59"/>
  <c r="L51" i="59"/>
  <c r="C51" i="59"/>
  <c r="C18" i="59"/>
  <c r="L18" i="59"/>
  <c r="L47" i="59"/>
  <c r="N47" i="59"/>
  <c r="C47" i="59"/>
  <c r="C56" i="59"/>
  <c r="L56" i="59"/>
  <c r="N56" i="59"/>
  <c r="L25" i="59"/>
  <c r="N25" i="59"/>
  <c r="C25" i="59"/>
  <c r="H48" i="58"/>
  <c r="L48" i="58"/>
  <c r="C48" i="58"/>
  <c r="H23" i="58"/>
  <c r="L23" i="58"/>
  <c r="C23" i="58"/>
  <c r="C15" i="58"/>
  <c r="H15" i="58"/>
  <c r="L28" i="58"/>
  <c r="N28" i="58"/>
  <c r="C28" i="58"/>
  <c r="H28" i="58"/>
  <c r="H40" i="58"/>
  <c r="L40" i="58"/>
  <c r="N40" i="59"/>
  <c r="C40" i="58"/>
  <c r="H20" i="58"/>
  <c r="L20" i="58"/>
  <c r="C20" i="58"/>
  <c r="L53" i="58"/>
  <c r="H53" i="58"/>
  <c r="C53" i="58"/>
  <c r="H33" i="58"/>
  <c r="C33" i="58"/>
  <c r="H41" i="58"/>
  <c r="C41" i="58"/>
  <c r="O23" i="59"/>
  <c r="C32" i="59"/>
  <c r="L32" i="59"/>
  <c r="L41" i="58"/>
  <c r="N41" i="59"/>
  <c r="L30" i="58"/>
  <c r="N30" i="59"/>
  <c r="L24" i="58"/>
  <c r="C24" i="58"/>
  <c r="H24" i="58"/>
  <c r="C21" i="58"/>
  <c r="C51" i="58"/>
  <c r="D51" i="58"/>
  <c r="C31" i="58"/>
  <c r="L26" i="58"/>
  <c r="C30" i="58"/>
  <c r="D30" i="58"/>
  <c r="H21" i="58"/>
  <c r="H42" i="58"/>
  <c r="L51" i="58"/>
  <c r="L21" i="58"/>
  <c r="H51" i="58"/>
  <c r="L31" i="58"/>
  <c r="H30" i="58"/>
  <c r="C26" i="58"/>
  <c r="C42" i="58"/>
  <c r="L42" i="52"/>
  <c r="H54" i="52"/>
  <c r="L48" i="52"/>
  <c r="C51" i="52"/>
  <c r="D51" i="52"/>
  <c r="E51" i="52"/>
  <c r="F51" i="52"/>
  <c r="C31" i="52"/>
  <c r="C50" i="52"/>
  <c r="L53" i="52"/>
  <c r="C44" i="52"/>
  <c r="C49" i="52"/>
  <c r="L20" i="52"/>
  <c r="C11" i="52"/>
  <c r="D11" i="52"/>
  <c r="C6" i="52"/>
  <c r="L7" i="52"/>
  <c r="N7" i="53"/>
  <c r="L47" i="52"/>
  <c r="L23" i="52"/>
  <c r="C12" i="52"/>
  <c r="L54" i="52"/>
  <c r="C54" i="52"/>
  <c r="L29" i="52"/>
  <c r="C35" i="52"/>
  <c r="L8" i="52"/>
  <c r="N8" i="52"/>
  <c r="C39" i="52"/>
  <c r="C19" i="52"/>
  <c r="L36" i="52"/>
  <c r="L51" i="52"/>
  <c r="N51" i="52"/>
  <c r="L16" i="52"/>
  <c r="C48" i="52"/>
  <c r="L40" i="52"/>
  <c r="C42" i="52"/>
  <c r="C17" i="52"/>
  <c r="L50" i="52"/>
  <c r="C16" i="52"/>
  <c r="D16" i="52"/>
  <c r="C15" i="52"/>
  <c r="L33" i="52"/>
  <c r="L26" i="52"/>
  <c r="L22" i="52"/>
  <c r="C26" i="52"/>
  <c r="L9" i="52"/>
  <c r="L31" i="52"/>
  <c r="C36" i="52"/>
  <c r="L27" i="52"/>
  <c r="L34" i="52"/>
  <c r="C14" i="52"/>
  <c r="D14" i="52"/>
  <c r="L19" i="52"/>
  <c r="L39" i="52"/>
  <c r="N39" i="52"/>
  <c r="L6" i="52"/>
  <c r="L6" i="53"/>
  <c r="N6" i="53"/>
  <c r="L49" i="52"/>
  <c r="N49" i="52"/>
  <c r="C25" i="52"/>
  <c r="D25" i="52"/>
  <c r="E25" i="52"/>
  <c r="F25" i="52"/>
  <c r="C30" i="52"/>
  <c r="H52" i="52"/>
  <c r="L30" i="52"/>
  <c r="C37" i="52"/>
  <c r="L17" i="52"/>
  <c r="C33" i="52"/>
  <c r="L14" i="52"/>
  <c r="L44" i="52"/>
  <c r="L45" i="52"/>
  <c r="L12" i="52"/>
  <c r="C9" i="52"/>
  <c r="C7" i="52"/>
  <c r="L11" i="52"/>
  <c r="H6" i="52"/>
  <c r="H6" i="53"/>
  <c r="C18" i="52"/>
  <c r="C10" i="52"/>
  <c r="D10" i="52"/>
  <c r="L52" i="52"/>
  <c r="C24" i="52"/>
  <c r="L55" i="52"/>
  <c r="L35" i="52"/>
  <c r="L15" i="52"/>
  <c r="C45" i="52"/>
  <c r="C55" i="52"/>
  <c r="C8" i="52"/>
  <c r="D8" i="52"/>
  <c r="H14" i="52"/>
  <c r="C22" i="52"/>
  <c r="C41" i="52"/>
  <c r="C27" i="52"/>
  <c r="D27" i="52"/>
  <c r="C23" i="52"/>
  <c r="C47" i="52"/>
  <c r="D47" i="52"/>
  <c r="L28" i="52"/>
  <c r="C21" i="52"/>
  <c r="C32" i="52"/>
  <c r="L37" i="52"/>
  <c r="C38" i="52"/>
  <c r="C40" i="52"/>
  <c r="L25" i="52"/>
  <c r="N25" i="52"/>
  <c r="C52" i="52"/>
  <c r="D52" i="52"/>
  <c r="E52" i="52"/>
  <c r="F52" i="52"/>
  <c r="L18" i="52"/>
  <c r="L24" i="52"/>
  <c r="L43" i="52"/>
  <c r="C56" i="52"/>
  <c r="C43" i="52"/>
  <c r="C53" i="52"/>
  <c r="D53" i="52"/>
  <c r="E53" i="52"/>
  <c r="L38" i="54"/>
  <c r="H22" i="54"/>
  <c r="L13" i="54"/>
  <c r="N13" i="54"/>
  <c r="L26" i="54"/>
  <c r="N26" i="54"/>
  <c r="L48" i="54"/>
  <c r="C27" i="54"/>
  <c r="L49" i="54"/>
  <c r="P49" i="54"/>
  <c r="C28" i="54"/>
  <c r="H37" i="54"/>
  <c r="C22" i="54"/>
  <c r="D22" i="54"/>
  <c r="L19" i="54"/>
  <c r="N19" i="54"/>
  <c r="L34" i="54"/>
  <c r="H23" i="54"/>
  <c r="L30" i="54"/>
  <c r="L39" i="54"/>
  <c r="H13" i="54"/>
  <c r="L14" i="54"/>
  <c r="N14" i="54"/>
  <c r="C49" i="54"/>
  <c r="D49" i="54"/>
  <c r="H27" i="54"/>
  <c r="H49" i="54"/>
  <c r="H18" i="54"/>
  <c r="H42" i="54"/>
  <c r="L56" i="54"/>
  <c r="H12" i="54"/>
  <c r="L24" i="54"/>
  <c r="N24" i="54"/>
  <c r="L10" i="54"/>
  <c r="N10" i="54"/>
  <c r="L28" i="54"/>
  <c r="L50" i="54"/>
  <c r="H55" i="54"/>
  <c r="H17" i="54"/>
  <c r="L29" i="54"/>
  <c r="N29" i="54"/>
  <c r="H11" i="54"/>
  <c r="C53" i="54"/>
  <c r="D53" i="54"/>
  <c r="C43" i="54"/>
  <c r="C31" i="54"/>
  <c r="D31" i="54"/>
  <c r="C24" i="54"/>
  <c r="D24" i="54"/>
  <c r="L51" i="54"/>
  <c r="N51" i="54"/>
  <c r="H35" i="54"/>
  <c r="H36" i="54"/>
  <c r="L18" i="54"/>
  <c r="C17" i="54"/>
  <c r="C42" i="54"/>
  <c r="D42" i="54"/>
  <c r="L9" i="54"/>
  <c r="H39" i="54"/>
  <c r="H24" i="54"/>
  <c r="L35" i="54"/>
  <c r="H43" i="54"/>
  <c r="L8" i="54"/>
  <c r="L17" i="54"/>
  <c r="N17" i="54"/>
  <c r="L42" i="54"/>
  <c r="C39" i="54"/>
  <c r="C25" i="54"/>
  <c r="D25" i="54"/>
  <c r="E25" i="54"/>
  <c r="L43" i="54"/>
  <c r="C35" i="54"/>
  <c r="C47" i="54"/>
  <c r="D47" i="54"/>
  <c r="H38" i="54"/>
  <c r="L31" i="54"/>
  <c r="N31" i="54"/>
  <c r="C21" i="54"/>
  <c r="D21" i="54"/>
  <c r="L46" i="54"/>
  <c r="N46" i="54"/>
  <c r="C16" i="54"/>
  <c r="H8" i="54"/>
  <c r="H8" i="55"/>
  <c r="H50" i="54"/>
  <c r="L20" i="54"/>
  <c r="L45" i="54"/>
  <c r="N45" i="54"/>
  <c r="H28" i="54"/>
  <c r="H34" i="54"/>
  <c r="C32" i="54"/>
  <c r="H40" i="54"/>
  <c r="C33" i="54"/>
  <c r="D33" i="54"/>
  <c r="E33" i="54"/>
  <c r="H10" i="54"/>
  <c r="C8" i="54"/>
  <c r="C36" i="54"/>
  <c r="D36" i="54"/>
  <c r="C48" i="54"/>
  <c r="H30" i="54"/>
  <c r="C12" i="54"/>
  <c r="C56" i="54"/>
  <c r="D56" i="54"/>
  <c r="C20" i="54"/>
  <c r="H19" i="54"/>
  <c r="H31" i="54"/>
  <c r="H15" i="54"/>
  <c r="C11" i="54"/>
  <c r="C15" i="54"/>
  <c r="C55" i="54"/>
  <c r="L40" i="54"/>
  <c r="N40" i="54"/>
  <c r="L33" i="54"/>
  <c r="N33" i="54"/>
  <c r="C46" i="54"/>
  <c r="D46" i="54"/>
  <c r="E46" i="54"/>
  <c r="F46" i="54"/>
  <c r="L23" i="54"/>
  <c r="H41" i="54"/>
  <c r="H51" i="54"/>
  <c r="H9" i="54"/>
  <c r="C13" i="54"/>
  <c r="H26" i="54"/>
  <c r="H20" i="54"/>
  <c r="C29" i="54"/>
  <c r="D29" i="54"/>
  <c r="L22" i="54"/>
  <c r="H45" i="54"/>
  <c r="C18" i="54"/>
  <c r="D18" i="54"/>
  <c r="E18" i="54"/>
  <c r="F18" i="54"/>
  <c r="J18" i="54"/>
  <c r="L55" i="54"/>
  <c r="N55" i="54"/>
  <c r="L21" i="54"/>
  <c r="N21" i="54"/>
  <c r="C23" i="54"/>
  <c r="C41" i="54"/>
  <c r="L32" i="54"/>
  <c r="N32" i="54"/>
  <c r="H48" i="54"/>
  <c r="C14" i="54"/>
  <c r="D14" i="54"/>
  <c r="C19" i="54"/>
  <c r="L41" i="54"/>
  <c r="N41" i="54"/>
  <c r="L47" i="54"/>
  <c r="N47" i="54"/>
  <c r="H16" i="54"/>
  <c r="C50" i="54"/>
  <c r="L37" i="54"/>
  <c r="N37" i="54"/>
  <c r="C30" i="54"/>
  <c r="D30" i="54"/>
  <c r="C54" i="54"/>
  <c r="D54" i="54"/>
  <c r="E54" i="54"/>
  <c r="H14" i="54"/>
  <c r="C45" i="54"/>
  <c r="C10" i="54"/>
  <c r="D10" i="54"/>
  <c r="C51" i="54"/>
  <c r="L53" i="54"/>
  <c r="N53" i="54"/>
  <c r="C40" i="54"/>
  <c r="D40" i="54"/>
  <c r="C9" i="54"/>
  <c r="L54" i="54"/>
  <c r="N54" i="54"/>
  <c r="C34" i="54"/>
  <c r="D34" i="54"/>
  <c r="H21" i="54"/>
  <c r="L36" i="54"/>
  <c r="N36" i="54"/>
  <c r="H56" i="54"/>
  <c r="L16" i="54"/>
  <c r="N16" i="54"/>
  <c r="H29" i="54"/>
  <c r="H46" i="54"/>
  <c r="C26" i="54"/>
  <c r="L41" i="52"/>
  <c r="L56" i="58"/>
  <c r="C24" i="59"/>
  <c r="D24" i="59"/>
  <c r="L44" i="55"/>
  <c r="N44" i="55"/>
  <c r="O32" i="60"/>
  <c r="O32" i="59"/>
  <c r="O22" i="60"/>
  <c r="O22" i="59"/>
  <c r="O64" i="59"/>
  <c r="S64" i="59"/>
  <c r="O36" i="59"/>
  <c r="O36" i="60"/>
  <c r="C29" i="59"/>
  <c r="L29" i="59"/>
  <c r="C13" i="59"/>
  <c r="L13" i="59"/>
  <c r="N13" i="59"/>
  <c r="C40" i="59"/>
  <c r="L40" i="59"/>
  <c r="L33" i="59"/>
  <c r="N33" i="59"/>
  <c r="C33" i="59"/>
  <c r="C21" i="59"/>
  <c r="L21" i="59"/>
  <c r="H26" i="59"/>
  <c r="L26" i="59"/>
  <c r="C26" i="59"/>
  <c r="C37" i="59"/>
  <c r="D37" i="59"/>
  <c r="E37" i="59"/>
  <c r="F37" i="59"/>
  <c r="L37" i="59"/>
  <c r="N37" i="59"/>
  <c r="H38" i="58"/>
  <c r="C38" i="58"/>
  <c r="D38" i="58"/>
  <c r="L38" i="58"/>
  <c r="H29" i="58"/>
  <c r="C29" i="58"/>
  <c r="L29" i="58"/>
  <c r="C34" i="58"/>
  <c r="D34" i="58"/>
  <c r="H34" i="58"/>
  <c r="L34" i="58"/>
  <c r="H52" i="58"/>
  <c r="L52" i="58"/>
  <c r="C52" i="58"/>
  <c r="H37" i="58"/>
  <c r="L37" i="58"/>
  <c r="C37" i="58"/>
  <c r="C25" i="58"/>
  <c r="H25" i="58"/>
  <c r="C13" i="58"/>
  <c r="L13" i="58"/>
  <c r="H13" i="58"/>
  <c r="L55" i="58"/>
  <c r="C55" i="58"/>
  <c r="H55" i="58"/>
  <c r="O19" i="59"/>
  <c r="O19" i="60"/>
  <c r="L45" i="1"/>
  <c r="L20" i="1"/>
  <c r="L11" i="1"/>
  <c r="N11" i="52"/>
  <c r="L40" i="1"/>
  <c r="L56" i="1"/>
  <c r="L13" i="1"/>
  <c r="L47" i="1"/>
  <c r="L46" i="1"/>
  <c r="L39" i="1"/>
  <c r="L53" i="1"/>
  <c r="L12" i="1"/>
  <c r="L23" i="1"/>
  <c r="N23" i="52"/>
  <c r="L51" i="1"/>
  <c r="C33" i="1"/>
  <c r="D33" i="1"/>
  <c r="L30" i="1"/>
  <c r="L52" i="1"/>
  <c r="L16" i="1"/>
  <c r="L41" i="1"/>
  <c r="L33" i="1"/>
  <c r="L44" i="1"/>
  <c r="N44" i="52"/>
  <c r="L34" i="1"/>
  <c r="L19" i="1"/>
  <c r="H42" i="1"/>
  <c r="L19" i="60"/>
  <c r="N19" i="60"/>
  <c r="H51" i="60"/>
  <c r="C51" i="60"/>
  <c r="D51" i="60"/>
  <c r="E51" i="60"/>
  <c r="C52" i="60"/>
  <c r="D52" i="60"/>
  <c r="L42" i="60"/>
  <c r="H26" i="60"/>
  <c r="C49" i="60"/>
  <c r="D49" i="60"/>
  <c r="L46" i="60"/>
  <c r="N46" i="60"/>
  <c r="C54" i="60"/>
  <c r="D54" i="60"/>
  <c r="C29" i="60"/>
  <c r="D29" i="60"/>
  <c r="E29" i="60"/>
  <c r="F29" i="60"/>
  <c r="C50" i="60"/>
  <c r="D50" i="60"/>
  <c r="L46" i="52"/>
  <c r="N46" i="52"/>
  <c r="O65" i="59"/>
  <c r="S65" i="59" s="1"/>
  <c r="O65" i="60"/>
  <c r="O25" i="60"/>
  <c r="O25" i="59"/>
  <c r="O31" i="60"/>
  <c r="O31" i="59"/>
  <c r="O38" i="60"/>
  <c r="O38" i="59"/>
  <c r="L15" i="59"/>
  <c r="N15" i="59"/>
  <c r="C15" i="59"/>
  <c r="D15" i="59"/>
  <c r="C34" i="59"/>
  <c r="L34" i="59"/>
  <c r="C28" i="59"/>
  <c r="L28" i="59"/>
  <c r="C20" i="59"/>
  <c r="L20" i="59"/>
  <c r="C45" i="59"/>
  <c r="D45" i="59"/>
  <c r="L45" i="59"/>
  <c r="L31" i="59"/>
  <c r="C31" i="59"/>
  <c r="D31" i="59"/>
  <c r="C53" i="59"/>
  <c r="L53" i="59"/>
  <c r="C49" i="59"/>
  <c r="D49" i="59"/>
  <c r="E49" i="59"/>
  <c r="F49" i="59"/>
  <c r="L49" i="59"/>
  <c r="H16" i="58"/>
  <c r="L16" i="58"/>
  <c r="C16" i="58"/>
  <c r="H46" i="58"/>
  <c r="C46" i="58"/>
  <c r="D46" i="58"/>
  <c r="L54" i="58"/>
  <c r="N54" i="58"/>
  <c r="C54" i="58"/>
  <c r="H54" i="58"/>
  <c r="H36" i="58"/>
  <c r="L36" i="58"/>
  <c r="C36" i="58"/>
  <c r="D36" i="58"/>
  <c r="E36" i="58"/>
  <c r="F36" i="58"/>
  <c r="J36" i="58"/>
  <c r="H12" i="58"/>
  <c r="H12" i="59"/>
  <c r="C12" i="58"/>
  <c r="L12" i="58"/>
  <c r="L12" i="59"/>
  <c r="N12" i="59"/>
  <c r="L32" i="58"/>
  <c r="N32" i="59"/>
  <c r="C32" i="58"/>
  <c r="H32" i="58"/>
  <c r="L27" i="58"/>
  <c r="N27" i="59"/>
  <c r="H27" i="58"/>
  <c r="C27" i="58"/>
  <c r="D27" i="58"/>
  <c r="H49" i="58"/>
  <c r="L49" i="58"/>
  <c r="N49" i="59"/>
  <c r="C49" i="58"/>
  <c r="L45" i="58"/>
  <c r="C45" i="58"/>
  <c r="H45" i="58"/>
  <c r="C39" i="59"/>
  <c r="L39" i="59"/>
  <c r="H27" i="59"/>
  <c r="L17" i="59"/>
  <c r="L42" i="59"/>
  <c r="C55" i="59"/>
  <c r="D55" i="59"/>
  <c r="E55" i="59"/>
  <c r="C27" i="59"/>
  <c r="C19" i="59"/>
  <c r="D19" i="59"/>
  <c r="E19" i="59"/>
  <c r="F19" i="59"/>
  <c r="L19" i="59"/>
  <c r="L55" i="59"/>
  <c r="N55" i="59"/>
  <c r="C36" i="59"/>
  <c r="L52" i="57"/>
  <c r="H34" i="57"/>
  <c r="H25" i="57"/>
  <c r="H49" i="57"/>
  <c r="H30" i="57"/>
  <c r="H46" i="57"/>
  <c r="H14" i="57"/>
  <c r="H24" i="57"/>
  <c r="L29" i="57"/>
  <c r="N29" i="58"/>
  <c r="L36" i="57"/>
  <c r="H43" i="57"/>
  <c r="H52" i="57"/>
  <c r="H21" i="57"/>
  <c r="L41" i="57"/>
  <c r="H11" i="57"/>
  <c r="H11" i="58"/>
  <c r="H32" i="57"/>
  <c r="L20" i="57"/>
  <c r="L19" i="57"/>
  <c r="N19" i="57"/>
  <c r="H13" i="57"/>
  <c r="L15" i="57"/>
  <c r="N15" i="58"/>
  <c r="H35" i="57"/>
  <c r="H38" i="57"/>
  <c r="H27" i="57"/>
  <c r="L16" i="57"/>
  <c r="N16" i="57"/>
  <c r="H19" i="57"/>
  <c r="H20" i="57"/>
  <c r="L49" i="57"/>
  <c r="L28" i="57"/>
  <c r="N28" i="57"/>
  <c r="H15" i="57"/>
  <c r="L11" i="57"/>
  <c r="L11" i="58"/>
  <c r="N11" i="58"/>
  <c r="L13" i="57"/>
  <c r="N13" i="57"/>
  <c r="L44" i="57"/>
  <c r="C55" i="57"/>
  <c r="D55" i="57"/>
  <c r="E55" i="57"/>
  <c r="F55" i="57"/>
  <c r="J55" i="57"/>
  <c r="P55" i="57"/>
  <c r="L55" i="57"/>
  <c r="N55" i="57"/>
  <c r="H28" i="57"/>
  <c r="H48" i="57"/>
  <c r="H22" i="57"/>
  <c r="L39" i="57"/>
  <c r="N39" i="57"/>
  <c r="H51" i="57"/>
  <c r="H53" i="57"/>
  <c r="C22" i="57"/>
  <c r="D22" i="57"/>
  <c r="L12" i="57"/>
  <c r="N12" i="57"/>
  <c r="L27" i="57"/>
  <c r="N27" i="57"/>
  <c r="H42" i="57"/>
  <c r="H41" i="57"/>
  <c r="H44" i="57"/>
  <c r="L42" i="57"/>
  <c r="N42" i="57"/>
  <c r="L17" i="57"/>
  <c r="L54" i="57"/>
  <c r="C41" i="57"/>
  <c r="D41" i="57"/>
  <c r="L51" i="57"/>
  <c r="L53" i="57"/>
  <c r="N53" i="57"/>
  <c r="L34" i="57"/>
  <c r="N34" i="57"/>
  <c r="L14" i="57"/>
  <c r="H47" i="57"/>
  <c r="H31" i="57"/>
  <c r="H26" i="57"/>
  <c r="L35" i="57"/>
  <c r="L32" i="57"/>
  <c r="L23" i="57"/>
  <c r="N23" i="57"/>
  <c r="L26" i="57"/>
  <c r="L56" i="57"/>
  <c r="L30" i="57"/>
  <c r="N30" i="57"/>
  <c r="L43" i="57"/>
  <c r="N43" i="57"/>
  <c r="H33" i="57"/>
  <c r="L38" i="57"/>
  <c r="L22" i="57"/>
  <c r="N22" i="58"/>
  <c r="H17" i="57"/>
  <c r="H23" i="57"/>
  <c r="C54" i="57"/>
  <c r="D54" i="57"/>
  <c r="E54" i="57"/>
  <c r="F54" i="57"/>
  <c r="J54" i="57"/>
  <c r="P54" i="57"/>
  <c r="H18" i="57"/>
  <c r="H54" i="57"/>
  <c r="H36" i="57"/>
  <c r="H12" i="57"/>
  <c r="L37" i="57"/>
  <c r="N37" i="58"/>
  <c r="L33" i="57"/>
  <c r="N33" i="58"/>
  <c r="L18" i="57"/>
  <c r="C24" i="57"/>
  <c r="D24" i="57"/>
  <c r="L50" i="57"/>
  <c r="L47" i="57"/>
  <c r="N47" i="58"/>
  <c r="H16" i="57"/>
  <c r="H55" i="57"/>
  <c r="L46" i="57"/>
  <c r="H40" i="57"/>
  <c r="L24" i="57"/>
  <c r="H56" i="57"/>
  <c r="L21" i="57"/>
  <c r="L36" i="59"/>
  <c r="C56" i="58"/>
  <c r="L56" i="52"/>
  <c r="N56" i="52"/>
  <c r="C46" i="52"/>
  <c r="N12" i="56"/>
  <c r="H48" i="55"/>
  <c r="L48" i="55"/>
  <c r="O56" i="54"/>
  <c r="S56" i="54" s="1"/>
  <c r="O26" i="55"/>
  <c r="O66" i="55"/>
  <c r="O66" i="54"/>
  <c r="S66" i="54"/>
  <c r="C44" i="54"/>
  <c r="H44" i="54"/>
  <c r="L44" i="54"/>
  <c r="L21" i="1"/>
  <c r="O15" i="56"/>
  <c r="O52" i="56"/>
  <c r="O52" i="55"/>
  <c r="L20" i="55"/>
  <c r="L39" i="55"/>
  <c r="N39" i="55"/>
  <c r="C39" i="55"/>
  <c r="D39" i="55"/>
  <c r="L27" i="55"/>
  <c r="N27" i="56"/>
  <c r="H27" i="55"/>
  <c r="L50" i="55"/>
  <c r="L28" i="55"/>
  <c r="O44" i="55"/>
  <c r="L38" i="1"/>
  <c r="L36" i="1"/>
  <c r="N36" i="52"/>
  <c r="L8" i="1"/>
  <c r="L43" i="1"/>
  <c r="H43" i="1"/>
  <c r="L6" i="1"/>
  <c r="N6" i="52"/>
  <c r="L25" i="1"/>
  <c r="L35" i="1"/>
  <c r="N35" i="52"/>
  <c r="O12" i="54"/>
  <c r="O12" i="55"/>
  <c r="O58" i="54"/>
  <c r="S58" i="54" s="1"/>
  <c r="O11" i="56"/>
  <c r="O11" i="55"/>
  <c r="L18" i="55"/>
  <c r="L40" i="55"/>
  <c r="N40" i="56"/>
  <c r="H40" i="55"/>
  <c r="L41" i="55"/>
  <c r="L14" i="55"/>
  <c r="H24" i="55"/>
  <c r="L24" i="55"/>
  <c r="L25" i="55"/>
  <c r="O65" i="55"/>
  <c r="S65" i="55"/>
  <c r="O27" i="54"/>
  <c r="O27" i="55"/>
  <c r="O18" i="54"/>
  <c r="O18" i="55"/>
  <c r="O16" i="55"/>
  <c r="O35" i="55"/>
  <c r="O35" i="54"/>
  <c r="O53" i="54"/>
  <c r="L46" i="55"/>
  <c r="C52" i="55"/>
  <c r="D52" i="55"/>
  <c r="L51" i="55"/>
  <c r="N51" i="56"/>
  <c r="L21" i="55"/>
  <c r="C29" i="55"/>
  <c r="D29" i="55"/>
  <c r="L26" i="55"/>
  <c r="H21" i="55"/>
  <c r="H37" i="55"/>
  <c r="L9" i="55"/>
  <c r="L52" i="55"/>
  <c r="N52" i="56"/>
  <c r="H29" i="55"/>
  <c r="C45" i="55"/>
  <c r="D45" i="55"/>
  <c r="L32" i="55"/>
  <c r="L37" i="55"/>
  <c r="C10" i="55"/>
  <c r="D10" i="55"/>
  <c r="L49" i="55"/>
  <c r="H10" i="55"/>
  <c r="L36" i="55"/>
  <c r="N36" i="56"/>
  <c r="L43" i="55"/>
  <c r="H46" i="55"/>
  <c r="L10" i="55"/>
  <c r="L29" i="55"/>
  <c r="C43" i="55"/>
  <c r="D43" i="55"/>
  <c r="L56" i="55"/>
  <c r="L13" i="55"/>
  <c r="L53" i="55"/>
  <c r="N53" i="56"/>
  <c r="H13" i="55"/>
  <c r="L27" i="1"/>
  <c r="L9" i="1"/>
  <c r="H9" i="1"/>
  <c r="L54" i="1"/>
  <c r="H54" i="1"/>
  <c r="C54" i="1"/>
  <c r="D54" i="1"/>
  <c r="L18" i="1"/>
  <c r="C18" i="1"/>
  <c r="D18" i="1"/>
  <c r="L10" i="1"/>
  <c r="L14" i="1"/>
  <c r="H14" i="1"/>
  <c r="H37" i="1"/>
  <c r="L37" i="1"/>
  <c r="N37" i="52"/>
  <c r="O45" i="54"/>
  <c r="J37" i="57"/>
  <c r="N36" i="57"/>
  <c r="H53" i="56"/>
  <c r="L16" i="56"/>
  <c r="H26" i="56"/>
  <c r="H51" i="56"/>
  <c r="C17" i="56"/>
  <c r="D17" i="56"/>
  <c r="C29" i="56"/>
  <c r="D29" i="56"/>
  <c r="H39" i="56"/>
  <c r="N16" i="55"/>
  <c r="H17" i="55"/>
  <c r="L17" i="55"/>
  <c r="O62" i="54"/>
  <c r="S62" i="54"/>
  <c r="H53" i="61"/>
  <c r="C44" i="61"/>
  <c r="D44" i="61"/>
  <c r="H18" i="61"/>
  <c r="C28" i="61"/>
  <c r="D28" i="61"/>
  <c r="H40" i="61"/>
  <c r="H17" i="61"/>
  <c r="H22" i="61"/>
  <c r="L17" i="61"/>
  <c r="C32" i="61"/>
  <c r="D32" i="61"/>
  <c r="C21" i="61"/>
  <c r="D21" i="61"/>
  <c r="H21" i="61"/>
  <c r="H44" i="61"/>
  <c r="C16" i="61"/>
  <c r="D16" i="61"/>
  <c r="H23" i="61"/>
  <c r="C17" i="61"/>
  <c r="D17" i="61"/>
  <c r="C47" i="61"/>
  <c r="D47" i="61"/>
  <c r="C25" i="61"/>
  <c r="D25" i="61"/>
  <c r="H43" i="61"/>
  <c r="H49" i="61"/>
  <c r="H35" i="61"/>
  <c r="H32" i="61"/>
  <c r="H55" i="61"/>
  <c r="H45" i="61"/>
  <c r="H26" i="61"/>
  <c r="H24" i="61"/>
  <c r="H16" i="61"/>
  <c r="H38" i="61"/>
  <c r="H36" i="61"/>
  <c r="H31" i="61"/>
  <c r="H39" i="61"/>
  <c r="H33" i="61"/>
  <c r="L32" i="61"/>
  <c r="H37" i="61"/>
  <c r="H50" i="61"/>
  <c r="H42" i="61"/>
  <c r="H48" i="61"/>
  <c r="H25" i="61"/>
  <c r="H54" i="61"/>
  <c r="H29" i="61"/>
  <c r="H46" i="61"/>
  <c r="C56" i="61"/>
  <c r="D56" i="61"/>
  <c r="H19" i="61"/>
  <c r="C34" i="61"/>
  <c r="D34" i="61"/>
  <c r="H15" i="61"/>
  <c r="C26" i="61"/>
  <c r="D26" i="61"/>
  <c r="C29" i="61"/>
  <c r="D29" i="61"/>
  <c r="H52" i="61"/>
  <c r="C22" i="61"/>
  <c r="D22" i="61"/>
  <c r="H51" i="61"/>
  <c r="C41" i="61"/>
  <c r="D41" i="61"/>
  <c r="H47" i="61"/>
  <c r="H41" i="61"/>
  <c r="H34" i="61"/>
  <c r="H30" i="61"/>
  <c r="H56" i="61"/>
  <c r="H27" i="61"/>
  <c r="H28" i="61"/>
  <c r="C20" i="61"/>
  <c r="D20" i="61"/>
  <c r="C24" i="61"/>
  <c r="D24" i="61"/>
  <c r="C37" i="61"/>
  <c r="D37" i="61"/>
  <c r="H20" i="61"/>
  <c r="L15" i="1"/>
  <c r="N15" i="52"/>
  <c r="L31" i="1"/>
  <c r="C31" i="1"/>
  <c r="D31" i="1"/>
  <c r="N51" i="57"/>
  <c r="H15" i="56"/>
  <c r="C15" i="56"/>
  <c r="D15" i="56"/>
  <c r="L33" i="55"/>
  <c r="C33" i="55"/>
  <c r="D33" i="55"/>
  <c r="H54" i="55"/>
  <c r="L54" i="55"/>
  <c r="N54" i="56"/>
  <c r="L32" i="1"/>
  <c r="N32" i="52"/>
  <c r="C32" i="1"/>
  <c r="D32" i="1"/>
  <c r="L28" i="1"/>
  <c r="C28" i="1"/>
  <c r="D28" i="1"/>
  <c r="N21" i="52"/>
  <c r="N54" i="57"/>
  <c r="C56" i="56"/>
  <c r="D56" i="56"/>
  <c r="L56" i="56"/>
  <c r="H49" i="56"/>
  <c r="C49" i="56"/>
  <c r="D49" i="56"/>
  <c r="H11" i="56"/>
  <c r="H20" i="56"/>
  <c r="C54" i="56"/>
  <c r="D54" i="56"/>
  <c r="J18" i="57"/>
  <c r="P18" i="57"/>
  <c r="H11" i="55"/>
  <c r="L11" i="55"/>
  <c r="L38" i="55"/>
  <c r="N38" i="56"/>
  <c r="C38" i="55"/>
  <c r="D38" i="55"/>
  <c r="L30" i="55"/>
  <c r="C30" i="55"/>
  <c r="D30" i="55"/>
  <c r="H31" i="55"/>
  <c r="L23" i="55"/>
  <c r="N23" i="56"/>
  <c r="L34" i="55"/>
  <c r="N34" i="56"/>
  <c r="O41" i="55"/>
  <c r="O41" i="54"/>
  <c r="O43" i="54"/>
  <c r="O43" i="55"/>
  <c r="O20" i="55"/>
  <c r="O20" i="54"/>
  <c r="O22" i="55"/>
  <c r="L29" i="1"/>
  <c r="N29" i="52"/>
  <c r="C29" i="1"/>
  <c r="D29" i="1"/>
  <c r="L22" i="1"/>
  <c r="N22" i="52"/>
  <c r="H22" i="1"/>
  <c r="L50" i="1"/>
  <c r="N50" i="52"/>
  <c r="C50" i="1"/>
  <c r="D50" i="1"/>
  <c r="H26" i="1"/>
  <c r="L26" i="1"/>
  <c r="N26" i="52"/>
  <c r="L48" i="1"/>
  <c r="N48" i="52"/>
  <c r="C48" i="1"/>
  <c r="D48" i="1"/>
  <c r="H7" i="1"/>
  <c r="L7" i="1"/>
  <c r="N7" i="52"/>
  <c r="L5" i="1"/>
  <c r="L5" i="52"/>
  <c r="N5" i="52"/>
  <c r="C5" i="1"/>
  <c r="H5" i="1"/>
  <c r="H5" i="52"/>
  <c r="L55" i="1"/>
  <c r="N55" i="52"/>
  <c r="C55" i="1"/>
  <c r="D55" i="1"/>
  <c r="L20" i="56"/>
  <c r="N28" i="56"/>
  <c r="L49" i="56"/>
  <c r="L11" i="56"/>
  <c r="N48" i="56"/>
  <c r="C22" i="56"/>
  <c r="D22" i="56"/>
  <c r="H40" i="56"/>
  <c r="H48" i="56"/>
  <c r="C24" i="56"/>
  <c r="D24" i="56"/>
  <c r="H12" i="56"/>
  <c r="C12" i="56"/>
  <c r="D12" i="56"/>
  <c r="L18" i="56"/>
  <c r="C18" i="56"/>
  <c r="D18" i="56"/>
  <c r="C30" i="56"/>
  <c r="D30" i="56"/>
  <c r="H13" i="56"/>
  <c r="H31" i="56"/>
  <c r="L31" i="56"/>
  <c r="C50" i="56"/>
  <c r="D50" i="56"/>
  <c r="L50" i="56"/>
  <c r="C45" i="56"/>
  <c r="D45" i="56"/>
  <c r="H38" i="56"/>
  <c r="C38" i="56"/>
  <c r="D38" i="56"/>
  <c r="C47" i="56"/>
  <c r="D47" i="56"/>
  <c r="N38" i="52"/>
  <c r="L47" i="55"/>
  <c r="N47" i="56"/>
  <c r="H12" i="55"/>
  <c r="O40" i="55"/>
  <c r="L19" i="55"/>
  <c r="C19" i="55"/>
  <c r="D19" i="55"/>
  <c r="L42" i="55"/>
  <c r="C42" i="55"/>
  <c r="D42" i="55"/>
  <c r="O39" i="54"/>
  <c r="O23" i="55"/>
  <c r="O23" i="54"/>
  <c r="O69" i="54"/>
  <c r="S69" i="54"/>
  <c r="O69" i="55"/>
  <c r="O13" i="54"/>
  <c r="O13" i="55"/>
  <c r="H52" i="54"/>
  <c r="L52" i="54"/>
  <c r="C52" i="54"/>
  <c r="D52" i="54"/>
  <c r="L49" i="1"/>
  <c r="H49" i="1"/>
  <c r="C49" i="1"/>
  <c r="D49" i="1"/>
  <c r="L24" i="1"/>
  <c r="N24" i="52"/>
  <c r="C24" i="1"/>
  <c r="D24" i="1"/>
  <c r="C15" i="55"/>
  <c r="D15" i="55"/>
  <c r="L15" i="55"/>
  <c r="N15" i="54"/>
  <c r="N17" i="58"/>
  <c r="N17" i="59"/>
  <c r="E45" i="57"/>
  <c r="F45" i="57"/>
  <c r="H10" i="56"/>
  <c r="H10" i="57"/>
  <c r="H55" i="56"/>
  <c r="C55" i="56"/>
  <c r="D55" i="56"/>
  <c r="H25" i="56"/>
  <c r="L25" i="56"/>
  <c r="N25" i="56"/>
  <c r="E23" i="59"/>
  <c r="F23" i="59"/>
  <c r="L22" i="55"/>
  <c r="N22" i="56"/>
  <c r="L55" i="55"/>
  <c r="C55" i="55"/>
  <c r="D55" i="55"/>
  <c r="L35" i="55"/>
  <c r="O60" i="55"/>
  <c r="S60" i="55" s="1"/>
  <c r="O60" i="54"/>
  <c r="S60" i="54" s="1"/>
  <c r="O67" i="54"/>
  <c r="S67" i="54"/>
  <c r="O36" i="55"/>
  <c r="O64" i="55"/>
  <c r="S64" i="55"/>
  <c r="O64" i="54"/>
  <c r="S64" i="54"/>
  <c r="O46" i="55"/>
  <c r="O46" i="54"/>
  <c r="H17" i="1"/>
  <c r="L17" i="1"/>
  <c r="N17" i="52"/>
  <c r="O17" i="55"/>
  <c r="H32" i="55"/>
  <c r="O54" i="54"/>
  <c r="S54" i="54" s="1"/>
  <c r="N30" i="56"/>
  <c r="L37" i="56"/>
  <c r="L41" i="56"/>
  <c r="N39" i="56"/>
  <c r="C44" i="56"/>
  <c r="D44" i="56"/>
  <c r="H42" i="56"/>
  <c r="C42" i="56"/>
  <c r="D42" i="56"/>
  <c r="C35" i="56"/>
  <c r="D35" i="56"/>
  <c r="H32" i="56"/>
  <c r="L32" i="56"/>
  <c r="N32" i="56"/>
  <c r="H28" i="56"/>
  <c r="H21" i="56"/>
  <c r="C21" i="56"/>
  <c r="D21" i="56"/>
  <c r="C52" i="56"/>
  <c r="D52" i="56"/>
  <c r="H46" i="56"/>
  <c r="H23" i="56"/>
  <c r="C23" i="56"/>
  <c r="D23" i="56"/>
  <c r="C12" i="55"/>
  <c r="D12" i="55"/>
  <c r="N33" i="57"/>
  <c r="N22" i="57"/>
  <c r="N18" i="52"/>
  <c r="N33" i="56"/>
  <c r="N31" i="52"/>
  <c r="N14" i="52"/>
  <c r="N20" i="59"/>
  <c r="N38" i="54"/>
  <c r="N24" i="56"/>
  <c r="N19" i="56"/>
  <c r="N47" i="57"/>
  <c r="N28" i="52"/>
  <c r="N43" i="52"/>
  <c r="N42" i="54"/>
  <c r="N31" i="55"/>
  <c r="N36" i="59"/>
  <c r="N50" i="54"/>
  <c r="N53" i="53"/>
  <c r="N9" i="52"/>
  <c r="N46" i="57"/>
  <c r="N35" i="57"/>
  <c r="N12" i="58"/>
  <c r="N26" i="59"/>
  <c r="N23" i="54"/>
  <c r="N9" i="54"/>
  <c r="G55" i="57"/>
  <c r="I55" i="57"/>
  <c r="E24" i="57"/>
  <c r="F24" i="57"/>
  <c r="J24" i="57"/>
  <c r="P24" i="57"/>
  <c r="N19" i="59"/>
  <c r="F55" i="59"/>
  <c r="N27" i="58"/>
  <c r="N36" i="58"/>
  <c r="N16" i="58"/>
  <c r="N45" i="59"/>
  <c r="E15" i="59"/>
  <c r="F15" i="59"/>
  <c r="E52" i="60"/>
  <c r="F52" i="60"/>
  <c r="N55" i="58"/>
  <c r="N34" i="59"/>
  <c r="N34" i="58"/>
  <c r="D13" i="59"/>
  <c r="C13" i="60"/>
  <c r="D13" i="60"/>
  <c r="N41" i="52"/>
  <c r="E34" i="54"/>
  <c r="F34" i="54"/>
  <c r="J34" i="54"/>
  <c r="P34" i="54"/>
  <c r="F33" i="54"/>
  <c r="J33" i="54"/>
  <c r="P33" i="54"/>
  <c r="N43" i="54"/>
  <c r="E53" i="54"/>
  <c r="F53" i="54"/>
  <c r="J53" i="54"/>
  <c r="N45" i="52"/>
  <c r="G25" i="52"/>
  <c r="E14" i="52"/>
  <c r="F14" i="52"/>
  <c r="E16" i="52"/>
  <c r="F16" i="52"/>
  <c r="N51" i="58"/>
  <c r="N26" i="58"/>
  <c r="N41" i="58"/>
  <c r="N24" i="53"/>
  <c r="N40" i="53"/>
  <c r="C7" i="54"/>
  <c r="D7" i="54"/>
  <c r="D7" i="53"/>
  <c r="E7" i="53"/>
  <c r="F7" i="53"/>
  <c r="N56" i="53"/>
  <c r="J14" i="58"/>
  <c r="P14" i="58"/>
  <c r="N48" i="59"/>
  <c r="N24" i="57"/>
  <c r="N39" i="59"/>
  <c r="C12" i="59"/>
  <c r="D12" i="59"/>
  <c r="E12" i="59"/>
  <c r="F12" i="59"/>
  <c r="D12" i="58"/>
  <c r="E46" i="58"/>
  <c r="F46" i="58"/>
  <c r="J46" i="58"/>
  <c r="E31" i="59"/>
  <c r="F31" i="59"/>
  <c r="G31" i="59"/>
  <c r="N21" i="59"/>
  <c r="F54" i="54"/>
  <c r="J54" i="54"/>
  <c r="E14" i="54"/>
  <c r="F14" i="54"/>
  <c r="J14" i="54"/>
  <c r="P14" i="54"/>
  <c r="E56" i="54"/>
  <c r="F56" i="54"/>
  <c r="J56" i="54"/>
  <c r="P56" i="54"/>
  <c r="E36" i="54"/>
  <c r="F36" i="54"/>
  <c r="J36" i="54"/>
  <c r="F25" i="54"/>
  <c r="J25" i="54"/>
  <c r="P25" i="54"/>
  <c r="L8" i="55"/>
  <c r="N8" i="55"/>
  <c r="N8" i="54"/>
  <c r="N18" i="54"/>
  <c r="E24" i="54"/>
  <c r="F24" i="54"/>
  <c r="J24" i="54"/>
  <c r="P24" i="54"/>
  <c r="F53" i="52"/>
  <c r="E47" i="52"/>
  <c r="F47" i="52"/>
  <c r="N52" i="52"/>
  <c r="N30" i="52"/>
  <c r="N33" i="52"/>
  <c r="N40" i="52"/>
  <c r="N20" i="52"/>
  <c r="N42" i="52"/>
  <c r="N20" i="58"/>
  <c r="N51" i="59"/>
  <c r="N27" i="53"/>
  <c r="N52" i="53"/>
  <c r="N48" i="53"/>
  <c r="E38" i="53"/>
  <c r="F38" i="53"/>
  <c r="N28" i="53"/>
  <c r="N9" i="53"/>
  <c r="N37" i="53"/>
  <c r="N42" i="53"/>
  <c r="N23" i="53"/>
  <c r="N49" i="53"/>
  <c r="L7" i="54"/>
  <c r="N7" i="54"/>
  <c r="N20" i="53"/>
  <c r="N55" i="53"/>
  <c r="F35" i="58"/>
  <c r="J35" i="58"/>
  <c r="F48" i="59"/>
  <c r="N35" i="59"/>
  <c r="E27" i="58"/>
  <c r="F27" i="58"/>
  <c r="J27" i="58"/>
  <c r="P27" i="58"/>
  <c r="N53" i="59"/>
  <c r="N31" i="59"/>
  <c r="E45" i="59"/>
  <c r="F45" i="59"/>
  <c r="E54" i="60"/>
  <c r="F54" i="60"/>
  <c r="E49" i="60"/>
  <c r="F49" i="60"/>
  <c r="N42" i="60"/>
  <c r="F51" i="60"/>
  <c r="J51" i="60"/>
  <c r="N13" i="58"/>
  <c r="E34" i="58"/>
  <c r="F34" i="58"/>
  <c r="J34" i="58"/>
  <c r="P34" i="58"/>
  <c r="N38" i="58"/>
  <c r="E24" i="59"/>
  <c r="F24" i="59"/>
  <c r="J24" i="59"/>
  <c r="P24" i="59"/>
  <c r="E10" i="54"/>
  <c r="F10" i="54"/>
  <c r="J10" i="54"/>
  <c r="E30" i="54"/>
  <c r="F30" i="54"/>
  <c r="J30" i="54"/>
  <c r="P30" i="54"/>
  <c r="N22" i="54"/>
  <c r="D8" i="54"/>
  <c r="C8" i="55"/>
  <c r="D8" i="55"/>
  <c r="E47" i="54"/>
  <c r="F47" i="54"/>
  <c r="J47" i="54"/>
  <c r="E31" i="54"/>
  <c r="F31" i="54"/>
  <c r="J31" i="54"/>
  <c r="P31" i="54"/>
  <c r="N28" i="54"/>
  <c r="N39" i="54"/>
  <c r="E8" i="52"/>
  <c r="F8" i="52"/>
  <c r="N19" i="52"/>
  <c r="N16" i="52"/>
  <c r="N47" i="52"/>
  <c r="D6" i="52"/>
  <c r="C6" i="53"/>
  <c r="D6" i="53"/>
  <c r="E51" i="58"/>
  <c r="F51" i="58"/>
  <c r="J51" i="58"/>
  <c r="P51" i="58"/>
  <c r="N24" i="58"/>
  <c r="N38" i="59"/>
  <c r="N24" i="59"/>
  <c r="N19" i="53"/>
  <c r="N16" i="53"/>
  <c r="N26" i="53"/>
  <c r="N45" i="53"/>
  <c r="G33" i="53"/>
  <c r="E55" i="53"/>
  <c r="F55" i="53"/>
  <c r="N46" i="53"/>
  <c r="N14" i="53"/>
  <c r="N18" i="53"/>
  <c r="N54" i="53"/>
  <c r="N31" i="53"/>
  <c r="E10" i="53"/>
  <c r="F10" i="53"/>
  <c r="N36" i="53"/>
  <c r="N54" i="59"/>
  <c r="E47" i="58"/>
  <c r="F47" i="58"/>
  <c r="J47" i="58"/>
  <c r="P47" i="58"/>
  <c r="N19" i="58"/>
  <c r="N52" i="59"/>
  <c r="N43" i="59"/>
  <c r="E41" i="57"/>
  <c r="F41" i="57"/>
  <c r="J41" i="57"/>
  <c r="P41" i="57"/>
  <c r="E22" i="57"/>
  <c r="F22" i="57"/>
  <c r="J22" i="57"/>
  <c r="P22" i="57"/>
  <c r="E50" i="60"/>
  <c r="F50" i="60"/>
  <c r="G29" i="60"/>
  <c r="E33" i="1"/>
  <c r="F33" i="1"/>
  <c r="G33" i="1"/>
  <c r="N29" i="59"/>
  <c r="E38" i="58"/>
  <c r="F38" i="58"/>
  <c r="J38" i="58"/>
  <c r="P38" i="58"/>
  <c r="N56" i="58"/>
  <c r="E40" i="54"/>
  <c r="F40" i="54"/>
  <c r="J40" i="54"/>
  <c r="P40" i="54"/>
  <c r="E29" i="54"/>
  <c r="F29" i="54"/>
  <c r="J29" i="54"/>
  <c r="P29" i="54"/>
  <c r="G46" i="54"/>
  <c r="I46" i="54"/>
  <c r="J46" i="54"/>
  <c r="P46" i="54"/>
  <c r="E21" i="54"/>
  <c r="F21" i="54"/>
  <c r="J21" i="54"/>
  <c r="P21" i="54"/>
  <c r="N35" i="54"/>
  <c r="E42" i="54"/>
  <c r="F42" i="54"/>
  <c r="J42" i="54"/>
  <c r="P42" i="54"/>
  <c r="E49" i="54"/>
  <c r="F49" i="54"/>
  <c r="J49" i="54"/>
  <c r="E22" i="54"/>
  <c r="F22" i="54"/>
  <c r="J22" i="54"/>
  <c r="P22" i="54"/>
  <c r="G52" i="52"/>
  <c r="I52" i="52"/>
  <c r="J52" i="52"/>
  <c r="P52" i="52"/>
  <c r="E27" i="52"/>
  <c r="F27" i="52"/>
  <c r="E10" i="52"/>
  <c r="F10" i="52"/>
  <c r="N12" i="52"/>
  <c r="N34" i="52"/>
  <c r="E11" i="52"/>
  <c r="F11" i="52"/>
  <c r="G51" i="52"/>
  <c r="E30" i="58"/>
  <c r="F30" i="58"/>
  <c r="J30" i="58"/>
  <c r="P30" i="58"/>
  <c r="N30" i="58"/>
  <c r="N53" i="58"/>
  <c r="N16" i="59"/>
  <c r="E38" i="59"/>
  <c r="F38" i="59"/>
  <c r="E12" i="53"/>
  <c r="F12" i="53"/>
  <c r="N17" i="53"/>
  <c r="N12" i="53"/>
  <c r="N47" i="53"/>
  <c r="N33" i="53"/>
  <c r="N15" i="53"/>
  <c r="N22" i="53"/>
  <c r="N41" i="53"/>
  <c r="N51" i="53"/>
  <c r="N44" i="53"/>
  <c r="N29" i="53"/>
  <c r="N8" i="53"/>
  <c r="E24" i="53"/>
  <c r="F24" i="53"/>
  <c r="N43" i="58"/>
  <c r="P35" i="58"/>
  <c r="N35" i="58"/>
  <c r="N14" i="58"/>
  <c r="E15" i="55"/>
  <c r="F15" i="55"/>
  <c r="N42" i="55"/>
  <c r="E45" i="56"/>
  <c r="F45" i="56"/>
  <c r="N18" i="56"/>
  <c r="N18" i="57"/>
  <c r="E22" i="56"/>
  <c r="F22" i="56"/>
  <c r="N20" i="56"/>
  <c r="N20" i="57"/>
  <c r="N30" i="55"/>
  <c r="E28" i="1"/>
  <c r="F28" i="1"/>
  <c r="E41" i="61"/>
  <c r="F41" i="61"/>
  <c r="J41" i="61"/>
  <c r="E17" i="61"/>
  <c r="F17" i="61"/>
  <c r="J17" i="61"/>
  <c r="E29" i="55"/>
  <c r="F29" i="55"/>
  <c r="J29" i="55"/>
  <c r="P29" i="55"/>
  <c r="N18" i="55"/>
  <c r="E39" i="55"/>
  <c r="F39" i="55"/>
  <c r="E23" i="56"/>
  <c r="F23" i="56"/>
  <c r="J23" i="56"/>
  <c r="P23" i="56"/>
  <c r="E21" i="56"/>
  <c r="F21" i="56"/>
  <c r="J21" i="56"/>
  <c r="P21" i="56"/>
  <c r="N32" i="57"/>
  <c r="E42" i="56"/>
  <c r="F42" i="56"/>
  <c r="J42" i="56"/>
  <c r="P42" i="56"/>
  <c r="N41" i="57"/>
  <c r="N41" i="56"/>
  <c r="N35" i="55"/>
  <c r="E19" i="55"/>
  <c r="F19" i="55"/>
  <c r="E38" i="56"/>
  <c r="F38" i="56"/>
  <c r="J38" i="56"/>
  <c r="P38" i="56"/>
  <c r="N50" i="56"/>
  <c r="N50" i="57"/>
  <c r="E30" i="56"/>
  <c r="F30" i="56"/>
  <c r="E24" i="56"/>
  <c r="F24" i="56"/>
  <c r="G54" i="57"/>
  <c r="I54" i="57"/>
  <c r="D5" i="1"/>
  <c r="C5" i="52"/>
  <c r="D5" i="52"/>
  <c r="E50" i="1"/>
  <c r="F50" i="1"/>
  <c r="N11" i="55"/>
  <c r="E49" i="56"/>
  <c r="F49" i="56"/>
  <c r="J49" i="56"/>
  <c r="P49" i="56"/>
  <c r="E56" i="56"/>
  <c r="F56" i="56"/>
  <c r="G56" i="56"/>
  <c r="E37" i="61"/>
  <c r="F37" i="61"/>
  <c r="J37" i="61"/>
  <c r="E29" i="61"/>
  <c r="F29" i="61"/>
  <c r="J29" i="61"/>
  <c r="E34" i="61"/>
  <c r="F34" i="61"/>
  <c r="J34" i="61"/>
  <c r="E47" i="61"/>
  <c r="F47" i="61"/>
  <c r="J47" i="61"/>
  <c r="E44" i="61"/>
  <c r="F44" i="61"/>
  <c r="J44" i="61"/>
  <c r="E17" i="56"/>
  <c r="F17" i="56"/>
  <c r="G22" i="59"/>
  <c r="G37" i="57"/>
  <c r="I37" i="57"/>
  <c r="E18" i="1"/>
  <c r="F18" i="1"/>
  <c r="E43" i="55"/>
  <c r="F43" i="55"/>
  <c r="N43" i="55"/>
  <c r="N55" i="56"/>
  <c r="N44" i="54"/>
  <c r="E55" i="56"/>
  <c r="F55" i="56"/>
  <c r="J55" i="56"/>
  <c r="P55" i="56"/>
  <c r="N52" i="54"/>
  <c r="S52" i="54"/>
  <c r="E54" i="56"/>
  <c r="F54" i="56"/>
  <c r="N37" i="56"/>
  <c r="N37" i="57"/>
  <c r="E12" i="56"/>
  <c r="F12" i="56"/>
  <c r="J12" i="56"/>
  <c r="P12" i="56"/>
  <c r="N11" i="56"/>
  <c r="N11" i="57"/>
  <c r="E55" i="1"/>
  <c r="F55" i="1"/>
  <c r="E29" i="1"/>
  <c r="F29" i="1"/>
  <c r="N23" i="55"/>
  <c r="E33" i="55"/>
  <c r="F33" i="55"/>
  <c r="E15" i="56"/>
  <c r="F15" i="56"/>
  <c r="J15" i="56"/>
  <c r="P15" i="56"/>
  <c r="E24" i="61"/>
  <c r="F24" i="61"/>
  <c r="G24" i="61"/>
  <c r="E22" i="61"/>
  <c r="F22" i="61"/>
  <c r="J22" i="61"/>
  <c r="E26" i="61"/>
  <c r="F26" i="61"/>
  <c r="J26" i="61"/>
  <c r="E21" i="61"/>
  <c r="F21" i="61"/>
  <c r="J21" i="61"/>
  <c r="E28" i="61"/>
  <c r="F28" i="61"/>
  <c r="J28" i="61"/>
  <c r="N13" i="55"/>
  <c r="N29" i="55"/>
  <c r="E10" i="55"/>
  <c r="F10" i="55"/>
  <c r="J10" i="55"/>
  <c r="P10" i="55"/>
  <c r="N52" i="55"/>
  <c r="N21" i="55"/>
  <c r="N46" i="55"/>
  <c r="N41" i="55"/>
  <c r="N50" i="55"/>
  <c r="N48" i="55"/>
  <c r="N35" i="56"/>
  <c r="N21" i="56"/>
  <c r="N42" i="56"/>
  <c r="N15" i="55"/>
  <c r="E24" i="1"/>
  <c r="F24" i="1"/>
  <c r="E42" i="55"/>
  <c r="F42" i="55"/>
  <c r="E12" i="55"/>
  <c r="F12" i="55"/>
  <c r="J12" i="55"/>
  <c r="P12" i="55"/>
  <c r="E52" i="56"/>
  <c r="F52" i="56"/>
  <c r="E35" i="56"/>
  <c r="F35" i="56"/>
  <c r="N22" i="55"/>
  <c r="G23" i="59"/>
  <c r="E52" i="54"/>
  <c r="F52" i="54"/>
  <c r="J52" i="54"/>
  <c r="P52" i="54"/>
  <c r="N47" i="55"/>
  <c r="E47" i="56"/>
  <c r="F47" i="56"/>
  <c r="E50" i="56"/>
  <c r="F50" i="56"/>
  <c r="G50" i="56"/>
  <c r="E18" i="56"/>
  <c r="F18" i="56"/>
  <c r="N49" i="56"/>
  <c r="N49" i="57"/>
  <c r="E48" i="1"/>
  <c r="F48" i="1"/>
  <c r="E30" i="55"/>
  <c r="F30" i="55"/>
  <c r="E38" i="55"/>
  <c r="F38" i="55"/>
  <c r="G18" i="57"/>
  <c r="I18" i="57"/>
  <c r="N56" i="57"/>
  <c r="N56" i="56"/>
  <c r="N54" i="55"/>
  <c r="N33" i="55"/>
  <c r="E31" i="1"/>
  <c r="F31" i="1"/>
  <c r="E56" i="61"/>
  <c r="F56" i="61"/>
  <c r="J56" i="61"/>
  <c r="E25" i="61"/>
  <c r="F25" i="61"/>
  <c r="J25" i="61"/>
  <c r="E16" i="61"/>
  <c r="F16" i="61"/>
  <c r="J16" i="61"/>
  <c r="E32" i="61"/>
  <c r="F32" i="61"/>
  <c r="J32" i="61"/>
  <c r="E29" i="56"/>
  <c r="F29" i="56"/>
  <c r="N16" i="56"/>
  <c r="N56" i="55"/>
  <c r="N10" i="55"/>
  <c r="N36" i="55"/>
  <c r="N37" i="55"/>
  <c r="N32" i="55"/>
  <c r="N26" i="55"/>
  <c r="N51" i="55"/>
  <c r="N28" i="55"/>
  <c r="N20" i="55"/>
  <c r="E44" i="56"/>
  <c r="F44" i="56"/>
  <c r="E55" i="55"/>
  <c r="F55" i="55"/>
  <c r="E49" i="1"/>
  <c r="F49" i="1"/>
  <c r="J49" i="1"/>
  <c r="N34" i="55"/>
  <c r="N38" i="55"/>
  <c r="E32" i="1"/>
  <c r="F32" i="1"/>
  <c r="E20" i="61"/>
  <c r="F20" i="61"/>
  <c r="J20" i="61"/>
  <c r="N17" i="55"/>
  <c r="E54" i="1"/>
  <c r="F54" i="1"/>
  <c r="J54" i="1"/>
  <c r="E45" i="55"/>
  <c r="F45" i="55"/>
  <c r="G45" i="55"/>
  <c r="N9" i="55"/>
  <c r="L9" i="56"/>
  <c r="N9" i="56"/>
  <c r="E52" i="55"/>
  <c r="F52" i="55"/>
  <c r="N25" i="55"/>
  <c r="N24" i="55"/>
  <c r="N14" i="55"/>
  <c r="G29" i="54"/>
  <c r="I29" i="54"/>
  <c r="G45" i="59"/>
  <c r="G12" i="56"/>
  <c r="I12" i="56"/>
  <c r="G47" i="52"/>
  <c r="G10" i="54"/>
  <c r="I10" i="54"/>
  <c r="G51" i="60"/>
  <c r="I51" i="60"/>
  <c r="G49" i="60"/>
  <c r="G27" i="58"/>
  <c r="I27" i="58"/>
  <c r="G19" i="59"/>
  <c r="G21" i="61"/>
  <c r="I21" i="61"/>
  <c r="G47" i="58"/>
  <c r="I47" i="58"/>
  <c r="G55" i="53"/>
  <c r="G16" i="61"/>
  <c r="I16" i="61"/>
  <c r="G30" i="54"/>
  <c r="I30" i="54"/>
  <c r="G18" i="54"/>
  <c r="I18" i="54"/>
  <c r="G34" i="54"/>
  <c r="I34" i="54"/>
  <c r="G12" i="55"/>
  <c r="I12" i="55"/>
  <c r="G42" i="54"/>
  <c r="I42" i="54"/>
  <c r="G36" i="58"/>
  <c r="I36" i="58"/>
  <c r="G22" i="57"/>
  <c r="I22" i="57"/>
  <c r="G34" i="58"/>
  <c r="I34" i="58"/>
  <c r="G40" i="53"/>
  <c r="G37" i="59"/>
  <c r="G14" i="58"/>
  <c r="I14" i="58"/>
  <c r="G33" i="54"/>
  <c r="I33" i="54"/>
  <c r="G15" i="59"/>
  <c r="G18" i="56"/>
  <c r="G10" i="55"/>
  <c r="I10" i="55"/>
  <c r="G21" i="54"/>
  <c r="I21" i="54"/>
  <c r="G46" i="58"/>
  <c r="I46" i="58"/>
  <c r="G16" i="52"/>
  <c r="G53" i="54"/>
  <c r="I53" i="54"/>
  <c r="G52" i="60"/>
  <c r="G33" i="55"/>
  <c r="G17" i="56"/>
  <c r="G45" i="56"/>
  <c r="G12" i="53"/>
  <c r="E13" i="60"/>
  <c r="F13" i="60"/>
  <c r="G24" i="57"/>
  <c r="I24" i="57"/>
  <c r="G30" i="55"/>
  <c r="G24" i="1"/>
  <c r="G29" i="1"/>
  <c r="G43" i="55"/>
  <c r="G18" i="1"/>
  <c r="G34" i="61"/>
  <c r="I34" i="61"/>
  <c r="G24" i="56"/>
  <c r="G29" i="55"/>
  <c r="I29" i="55"/>
  <c r="G15" i="55"/>
  <c r="G38" i="59"/>
  <c r="G30" i="58"/>
  <c r="I30" i="58"/>
  <c r="G10" i="52"/>
  <c r="G49" i="54"/>
  <c r="I49" i="54"/>
  <c r="G50" i="60"/>
  <c r="G10" i="53"/>
  <c r="E6" i="53"/>
  <c r="F6" i="53"/>
  <c r="J6" i="53"/>
  <c r="G8" i="52"/>
  <c r="G31" i="54"/>
  <c r="I31" i="54"/>
  <c r="G47" i="54"/>
  <c r="I47" i="54"/>
  <c r="E8" i="55"/>
  <c r="F8" i="55"/>
  <c r="J8" i="55"/>
  <c r="G24" i="59"/>
  <c r="I24" i="59"/>
  <c r="G53" i="52"/>
  <c r="G24" i="54"/>
  <c r="I24" i="54"/>
  <c r="G36" i="54"/>
  <c r="I36" i="54"/>
  <c r="G54" i="54"/>
  <c r="I54" i="54"/>
  <c r="G49" i="59"/>
  <c r="E12" i="58"/>
  <c r="F12" i="58"/>
  <c r="G14" i="52"/>
  <c r="I14" i="52"/>
  <c r="E13" i="59"/>
  <c r="F13" i="59"/>
  <c r="G55" i="59"/>
  <c r="E6" i="52"/>
  <c r="F6" i="52"/>
  <c r="E8" i="54"/>
  <c r="F8" i="54"/>
  <c r="J8" i="54"/>
  <c r="P8" i="54"/>
  <c r="S8" i="54"/>
  <c r="G12" i="59"/>
  <c r="I12" i="59"/>
  <c r="J12" i="59"/>
  <c r="G7" i="53"/>
  <c r="G20" i="61"/>
  <c r="I20" i="61"/>
  <c r="G49" i="1"/>
  <c r="I49" i="1"/>
  <c r="G47" i="56"/>
  <c r="G52" i="56"/>
  <c r="G55" i="1"/>
  <c r="G30" i="56"/>
  <c r="G24" i="53"/>
  <c r="G11" i="52"/>
  <c r="G27" i="52"/>
  <c r="G22" i="54"/>
  <c r="I22" i="54"/>
  <c r="G40" i="54"/>
  <c r="I40" i="54"/>
  <c r="G38" i="58"/>
  <c r="I38" i="58"/>
  <c r="G41" i="57"/>
  <c r="I41" i="57"/>
  <c r="G54" i="60"/>
  <c r="G48" i="59"/>
  <c r="G35" i="58"/>
  <c r="I35" i="58"/>
  <c r="G25" i="54"/>
  <c r="I25" i="54"/>
  <c r="G56" i="54"/>
  <c r="I56" i="54"/>
  <c r="G14" i="54"/>
  <c r="I14" i="54"/>
  <c r="E7" i="54"/>
  <c r="F7" i="54"/>
  <c r="G7" i="54"/>
  <c r="G19" i="55"/>
  <c r="G39" i="55"/>
  <c r="G41" i="61"/>
  <c r="I41" i="61"/>
  <c r="G28" i="1"/>
  <c r="G54" i="1"/>
  <c r="I54" i="1"/>
  <c r="G29" i="56"/>
  <c r="G56" i="61"/>
  <c r="I56" i="61"/>
  <c r="G35" i="56"/>
  <c r="E5" i="52"/>
  <c r="F5" i="52"/>
  <c r="G55" i="55"/>
  <c r="G44" i="56"/>
  <c r="G31" i="1"/>
  <c r="G38" i="55"/>
  <c r="S42" i="56"/>
  <c r="G26" i="61"/>
  <c r="I26" i="61"/>
  <c r="G22" i="61"/>
  <c r="I22" i="61"/>
  <c r="I24" i="61"/>
  <c r="G15" i="56"/>
  <c r="I15" i="56"/>
  <c r="G54" i="56"/>
  <c r="G55" i="56"/>
  <c r="I55" i="56"/>
  <c r="G47" i="61"/>
  <c r="I47" i="61"/>
  <c r="G50" i="1"/>
  <c r="E5" i="1"/>
  <c r="F5" i="1"/>
  <c r="G5" i="1"/>
  <c r="Q5" i="52"/>
  <c r="J5" i="1"/>
  <c r="G38" i="56"/>
  <c r="I38" i="56"/>
  <c r="G42" i="56"/>
  <c r="I42" i="56"/>
  <c r="G21" i="56"/>
  <c r="I21" i="56"/>
  <c r="G23" i="56"/>
  <c r="I23" i="56"/>
  <c r="G17" i="61"/>
  <c r="I17" i="61"/>
  <c r="G22" i="56"/>
  <c r="G32" i="61"/>
  <c r="I32" i="61"/>
  <c r="G25" i="61"/>
  <c r="I25" i="61"/>
  <c r="G44" i="61"/>
  <c r="I44" i="61"/>
  <c r="G29" i="61"/>
  <c r="I29" i="61"/>
  <c r="G37" i="61"/>
  <c r="I37" i="61"/>
  <c r="G49" i="56"/>
  <c r="I49" i="56"/>
  <c r="G8" i="54"/>
  <c r="Q8" i="55"/>
  <c r="G6" i="53"/>
  <c r="I6" i="53"/>
  <c r="Q7" i="54"/>
  <c r="S7" i="54"/>
  <c r="G8" i="55"/>
  <c r="I8" i="55"/>
  <c r="G13" i="60"/>
  <c r="I5" i="1"/>
  <c r="I8" i="54"/>
  <c r="N23" i="59"/>
  <c r="N23" i="58"/>
  <c r="O57" i="54"/>
  <c r="S57" i="54"/>
  <c r="O57" i="55"/>
  <c r="O69" i="57"/>
  <c r="O69" i="58"/>
  <c r="S69" i="58"/>
  <c r="L43" i="60"/>
  <c r="N43" i="60"/>
  <c r="L17" i="60"/>
  <c r="L34" i="60"/>
  <c r="N34" i="60"/>
  <c r="L25" i="60"/>
  <c r="N25" i="60"/>
  <c r="L53" i="60"/>
  <c r="N53" i="60"/>
  <c r="L41" i="60"/>
  <c r="N41" i="60"/>
  <c r="L21" i="60"/>
  <c r="N21" i="60"/>
  <c r="L36" i="60"/>
  <c r="N36" i="60"/>
  <c r="L27" i="60"/>
  <c r="N27" i="60"/>
  <c r="L15" i="60"/>
  <c r="N15" i="60"/>
  <c r="L52" i="60"/>
  <c r="N52" i="60"/>
  <c r="L45" i="60"/>
  <c r="N45" i="60"/>
  <c r="L50" i="60"/>
  <c r="N50" i="60"/>
  <c r="L40" i="60"/>
  <c r="N40" i="60"/>
  <c r="L16" i="60"/>
  <c r="N16" i="60"/>
  <c r="L14" i="60"/>
  <c r="L49" i="60"/>
  <c r="N49" i="60"/>
  <c r="L47" i="60"/>
  <c r="N47" i="60"/>
  <c r="L24" i="60"/>
  <c r="N24" i="60"/>
  <c r="L37" i="60"/>
  <c r="N37" i="60"/>
  <c r="L32" i="60"/>
  <c r="L29" i="60"/>
  <c r="N29" i="60"/>
  <c r="L23" i="60"/>
  <c r="N23" i="60"/>
  <c r="L22" i="60"/>
  <c r="N22" i="60"/>
  <c r="L48" i="60"/>
  <c r="N48" i="60"/>
  <c r="L31" i="60"/>
  <c r="N31" i="60"/>
  <c r="L26" i="60"/>
  <c r="N26" i="60"/>
  <c r="L33" i="60"/>
  <c r="N33" i="60"/>
  <c r="L39" i="60"/>
  <c r="N39" i="60"/>
  <c r="L20" i="60"/>
  <c r="N20" i="60"/>
  <c r="L18" i="60"/>
  <c r="N18" i="60"/>
  <c r="L28" i="60"/>
  <c r="N28" i="60"/>
  <c r="L55" i="60"/>
  <c r="N55" i="60"/>
  <c r="S5" i="52"/>
  <c r="P16" i="61"/>
  <c r="N53" i="55"/>
  <c r="P17" i="61"/>
  <c r="N39" i="58"/>
  <c r="N25" i="53"/>
  <c r="P47" i="54"/>
  <c r="S47" i="54"/>
  <c r="P10" i="54"/>
  <c r="L13" i="60"/>
  <c r="N13" i="60"/>
  <c r="P53" i="54"/>
  <c r="S53" i="54"/>
  <c r="N49" i="58"/>
  <c r="N34" i="54"/>
  <c r="O9" i="54"/>
  <c r="L37" i="61"/>
  <c r="N37" i="61"/>
  <c r="L40" i="61"/>
  <c r="N40" i="61"/>
  <c r="L45" i="61"/>
  <c r="N45" i="61"/>
  <c r="L28" i="61"/>
  <c r="O14" i="54"/>
  <c r="S14" i="54" s="1"/>
  <c r="N21" i="57"/>
  <c r="N21" i="58"/>
  <c r="N28" i="59"/>
  <c r="L51" i="60"/>
  <c r="N51" i="60"/>
  <c r="L54" i="60"/>
  <c r="N54" i="60"/>
  <c r="L30" i="60"/>
  <c r="N30" i="60"/>
  <c r="N53" i="52"/>
  <c r="N10" i="53"/>
  <c r="N10" i="52"/>
  <c r="N48" i="58"/>
  <c r="N48" i="57"/>
  <c r="O21" i="56"/>
  <c r="O21" i="55"/>
  <c r="O63" i="60"/>
  <c r="O63" i="61"/>
  <c r="P32" i="61"/>
  <c r="P28" i="61"/>
  <c r="P22" i="61"/>
  <c r="N49" i="54"/>
  <c r="N32" i="58"/>
  <c r="N45" i="55"/>
  <c r="L39" i="61"/>
  <c r="N39" i="61"/>
  <c r="L52" i="61"/>
  <c r="N44" i="58"/>
  <c r="L44" i="60"/>
  <c r="N44" i="60"/>
  <c r="L56" i="60"/>
  <c r="N56" i="60"/>
  <c r="L35" i="60"/>
  <c r="N35" i="60"/>
  <c r="L38" i="60"/>
  <c r="N38" i="60"/>
  <c r="N30" i="54"/>
  <c r="S30" i="54"/>
  <c r="N27" i="52"/>
  <c r="N54" i="52"/>
  <c r="N39" i="53"/>
  <c r="N11" i="54"/>
  <c r="N11" i="53"/>
  <c r="N15" i="57"/>
  <c r="N15" i="56"/>
  <c r="O40" i="56"/>
  <c r="O38" i="54"/>
  <c r="O38" i="55"/>
  <c r="L26" i="61"/>
  <c r="L23" i="61"/>
  <c r="L34" i="61"/>
  <c r="L29" i="61"/>
  <c r="N29" i="61"/>
  <c r="L51" i="61"/>
  <c r="N51" i="61"/>
  <c r="L54" i="61"/>
  <c r="L38" i="61"/>
  <c r="N38" i="61"/>
  <c r="L30" i="61"/>
  <c r="N30" i="61"/>
  <c r="L20" i="61"/>
  <c r="N20" i="61"/>
  <c r="L56" i="61"/>
  <c r="L19" i="61"/>
  <c r="N19" i="61"/>
  <c r="L50" i="61"/>
  <c r="N50" i="61"/>
  <c r="L36" i="61"/>
  <c r="N36" i="61"/>
  <c r="L16" i="61"/>
  <c r="N16" i="61"/>
  <c r="L48" i="61"/>
  <c r="N48" i="61"/>
  <c r="L49" i="61"/>
  <c r="N49" i="61"/>
  <c r="L35" i="61"/>
  <c r="N35" i="61"/>
  <c r="L31" i="61"/>
  <c r="L15" i="61"/>
  <c r="N15" i="61"/>
  <c r="L47" i="61"/>
  <c r="L24" i="61"/>
  <c r="N24" i="61"/>
  <c r="L27" i="61"/>
  <c r="N27" i="61"/>
  <c r="L42" i="61"/>
  <c r="N42" i="61"/>
  <c r="L55" i="61"/>
  <c r="N55" i="61"/>
  <c r="L44" i="61"/>
  <c r="N44" i="61"/>
  <c r="L22" i="61"/>
  <c r="L21" i="61"/>
  <c r="N21" i="61"/>
  <c r="L18" i="61"/>
  <c r="N18" i="61"/>
  <c r="L25" i="61"/>
  <c r="N25" i="61"/>
  <c r="L53" i="61"/>
  <c r="N53" i="61"/>
  <c r="L43" i="61"/>
  <c r="N43" i="61"/>
  <c r="L41" i="61"/>
  <c r="L33" i="61"/>
  <c r="N33" i="61"/>
  <c r="S8" i="55"/>
  <c r="N49" i="55"/>
  <c r="N40" i="55"/>
  <c r="N19" i="55"/>
  <c r="N55" i="55"/>
  <c r="S23" i="56"/>
  <c r="S34" i="54"/>
  <c r="N52" i="57"/>
  <c r="N52" i="58"/>
  <c r="N14" i="57"/>
  <c r="N14" i="56"/>
  <c r="N13" i="56"/>
  <c r="O37" i="55"/>
  <c r="O37" i="56"/>
  <c r="O30" i="54"/>
  <c r="O30" i="55"/>
  <c r="O51" i="55"/>
  <c r="O51" i="54"/>
  <c r="O31" i="55"/>
  <c r="O31" i="54"/>
  <c r="O61" i="56"/>
  <c r="O61" i="55"/>
  <c r="P36" i="54"/>
  <c r="P54" i="54"/>
  <c r="P36" i="58"/>
  <c r="O17" i="60"/>
  <c r="L13" i="52"/>
  <c r="L12" i="54"/>
  <c r="L27" i="54"/>
  <c r="O65" i="56"/>
  <c r="O22" i="54"/>
  <c r="S22" i="54" s="1"/>
  <c r="O26" i="60"/>
  <c r="O14" i="60"/>
  <c r="M23" i="57"/>
  <c r="M31" i="57"/>
  <c r="O31" i="57" s="1"/>
  <c r="P37" i="57"/>
  <c r="P18" i="54"/>
  <c r="S18" i="54"/>
  <c r="O60" i="53"/>
  <c r="S60" i="53" s="1"/>
  <c r="O60" i="52"/>
  <c r="S60" i="52"/>
  <c r="O19" i="54"/>
  <c r="O19" i="53"/>
  <c r="O37" i="52"/>
  <c r="O33" i="52"/>
  <c r="O34" i="59"/>
  <c r="O69" i="59"/>
  <c r="S69" i="59" s="1"/>
  <c r="O17" i="58"/>
  <c r="O57" i="57"/>
  <c r="O57" i="58"/>
  <c r="S57" i="58" s="1"/>
  <c r="M55" i="57"/>
  <c r="M66" i="57"/>
  <c r="M25" i="57"/>
  <c r="O25" i="57" s="1"/>
  <c r="M63" i="57"/>
  <c r="M28" i="57"/>
  <c r="O28" i="57"/>
  <c r="M35" i="57"/>
  <c r="M45" i="57"/>
  <c r="M29" i="57"/>
  <c r="O29" i="58"/>
  <c r="M56" i="57"/>
  <c r="M39" i="57"/>
  <c r="O39" i="57" s="1"/>
  <c r="M61" i="57"/>
  <c r="M65" i="57"/>
  <c r="O65" i="58"/>
  <c r="S65" i="58" s="1"/>
  <c r="M26" i="57"/>
  <c r="O26" i="58" s="1"/>
  <c r="M11" i="57"/>
  <c r="O11" i="57" s="1"/>
  <c r="M12" i="57"/>
  <c r="O12" i="57" s="1"/>
  <c r="M32" i="57"/>
  <c r="O32" i="57" s="1"/>
  <c r="M18" i="57"/>
  <c r="M21" i="57"/>
  <c r="M40" i="57"/>
  <c r="O40" i="58" s="1"/>
  <c r="M34" i="57"/>
  <c r="O34" i="58" s="1"/>
  <c r="S34" i="58"/>
  <c r="M49" i="57"/>
  <c r="O49" i="58"/>
  <c r="M52" i="57"/>
  <c r="O52" i="58"/>
  <c r="M54" i="57"/>
  <c r="M59" i="57"/>
  <c r="M62" i="57"/>
  <c r="M42" i="57"/>
  <c r="M13" i="57"/>
  <c r="M38" i="57"/>
  <c r="M60" i="57"/>
  <c r="M43" i="57"/>
  <c r="M50" i="57"/>
  <c r="O50" i="57" s="1"/>
  <c r="M22" i="57"/>
  <c r="O22" i="58" s="1"/>
  <c r="M36" i="57"/>
  <c r="O36" i="57" s="1"/>
  <c r="M10" i="57"/>
  <c r="M67" i="57"/>
  <c r="O67" i="58"/>
  <c r="S67" i="58" s="1"/>
  <c r="M15" i="57"/>
  <c r="M19" i="57"/>
  <c r="M30" i="57"/>
  <c r="M68" i="57"/>
  <c r="O68" i="58"/>
  <c r="S68" i="58" s="1"/>
  <c r="M53" i="57"/>
  <c r="O53" i="58" s="1"/>
  <c r="M51" i="57"/>
  <c r="O51" i="58" s="1"/>
  <c r="S51" i="58" s="1"/>
  <c r="M37" i="57"/>
  <c r="M41" i="57"/>
  <c r="O41" i="57" s="1"/>
  <c r="S41" i="57" s="1"/>
  <c r="M46" i="57"/>
  <c r="M47" i="57"/>
  <c r="O47" i="58" s="1"/>
  <c r="M64" i="57"/>
  <c r="L42" i="58"/>
  <c r="L46" i="58"/>
  <c r="L18" i="58"/>
  <c r="S58" i="59"/>
  <c r="O17" i="56"/>
  <c r="O30" i="53"/>
  <c r="O30" i="52"/>
  <c r="O53" i="52"/>
  <c r="O53" i="53"/>
  <c r="O51" i="60"/>
  <c r="O51" i="59"/>
  <c r="O35" i="57"/>
  <c r="O26" i="56"/>
  <c r="O26" i="57"/>
  <c r="O58" i="57"/>
  <c r="O68" i="60"/>
  <c r="O68" i="61"/>
  <c r="O67" i="57"/>
  <c r="O32" i="52"/>
  <c r="O58" i="56"/>
  <c r="L17" i="56"/>
  <c r="L10" i="56"/>
  <c r="L44" i="56"/>
  <c r="N44" i="56"/>
  <c r="L29" i="56"/>
  <c r="N29" i="56"/>
  <c r="L26" i="56"/>
  <c r="L31" i="57"/>
  <c r="L45" i="57"/>
  <c r="L40" i="57"/>
  <c r="L25" i="57"/>
  <c r="O50" i="61"/>
  <c r="O69" i="60"/>
  <c r="O38" i="61"/>
  <c r="O56" i="53"/>
  <c r="O10" i="52"/>
  <c r="S65" i="53"/>
  <c r="S66" i="59"/>
  <c r="O31" i="58"/>
  <c r="O42" i="55"/>
  <c r="O50" i="53"/>
  <c r="O62" i="57"/>
  <c r="O46" i="59"/>
  <c r="O16" i="52"/>
  <c r="O54" i="52"/>
  <c r="O64" i="52"/>
  <c r="S64" i="52" s="1"/>
  <c r="O11" i="54"/>
  <c r="O19" i="55"/>
  <c r="O15" i="60"/>
  <c r="O6" i="52"/>
  <c r="O7" i="53"/>
  <c r="O54" i="59"/>
  <c r="O39" i="58"/>
  <c r="O62" i="58"/>
  <c r="S62" i="58"/>
  <c r="O33" i="55"/>
  <c r="O47" i="59"/>
  <c r="O43" i="61"/>
  <c r="O49" i="61"/>
  <c r="O69" i="52"/>
  <c r="S69" i="52" s="1"/>
  <c r="T2" i="52" s="1"/>
  <c r="T52" i="52" s="1"/>
  <c r="S63" i="59"/>
  <c r="O33" i="60"/>
  <c r="O40" i="60"/>
  <c r="S57" i="59"/>
  <c r="O35" i="60"/>
  <c r="O28" i="60"/>
  <c r="O51" i="61"/>
  <c r="O60" i="59"/>
  <c r="S60" i="59"/>
  <c r="O14" i="58"/>
  <c r="S14" i="58"/>
  <c r="O24" i="54"/>
  <c r="S24" i="54"/>
  <c r="O54" i="56"/>
  <c r="O27" i="57"/>
  <c r="O59" i="56"/>
  <c r="I27" i="52"/>
  <c r="J6" i="52"/>
  <c r="P6" i="52"/>
  <c r="S6" i="52"/>
  <c r="G6" i="52"/>
  <c r="I33" i="55"/>
  <c r="G52" i="55"/>
  <c r="J13" i="59"/>
  <c r="P13" i="59"/>
  <c r="G13" i="59"/>
  <c r="I45" i="56"/>
  <c r="G5" i="52"/>
  <c r="I5" i="52"/>
  <c r="J5" i="52"/>
  <c r="I15" i="55"/>
  <c r="G12" i="58"/>
  <c r="J12" i="58"/>
  <c r="P12" i="58"/>
  <c r="I30" i="55"/>
  <c r="G32" i="1"/>
  <c r="I32" i="1"/>
  <c r="G28" i="61"/>
  <c r="I28" i="61"/>
  <c r="G42" i="55"/>
  <c r="G48" i="1"/>
  <c r="J24" i="61"/>
  <c r="P24" i="61"/>
  <c r="S24" i="61"/>
  <c r="J22" i="56"/>
  <c r="P22" i="56"/>
  <c r="S22" i="56"/>
  <c r="J29" i="56"/>
  <c r="P29" i="56"/>
  <c r="S29" i="56"/>
  <c r="G52" i="54"/>
  <c r="I52" i="54"/>
  <c r="G51" i="58"/>
  <c r="I51" i="58"/>
  <c r="G38" i="53"/>
  <c r="J55" i="1"/>
  <c r="J11" i="52"/>
  <c r="P11" i="52"/>
  <c r="S11" i="52"/>
  <c r="J16" i="52"/>
  <c r="P16" i="52"/>
  <c r="S16" i="52"/>
  <c r="J45" i="57"/>
  <c r="P45" i="57"/>
  <c r="G45" i="57"/>
  <c r="I45" i="57"/>
  <c r="J33" i="53"/>
  <c r="P33" i="53"/>
  <c r="E11" i="53"/>
  <c r="F11" i="53"/>
  <c r="J11" i="53"/>
  <c r="P11" i="53"/>
  <c r="G11" i="53"/>
  <c r="I11" i="53"/>
  <c r="J14" i="52"/>
  <c r="P14" i="52"/>
  <c r="J15" i="59"/>
  <c r="P15" i="59"/>
  <c r="S15" i="59"/>
  <c r="S46" i="54"/>
  <c r="S31" i="54"/>
  <c r="E17" i="59"/>
  <c r="F17" i="59"/>
  <c r="G17" i="59"/>
  <c r="I17" i="59"/>
  <c r="C16" i="1"/>
  <c r="D16" i="1"/>
  <c r="C11" i="1"/>
  <c r="D11" i="1"/>
  <c r="C46" i="1"/>
  <c r="D46" i="1"/>
  <c r="C45" i="1"/>
  <c r="D45" i="1"/>
  <c r="C40" i="1"/>
  <c r="D40" i="1"/>
  <c r="C23" i="1"/>
  <c r="D23" i="1"/>
  <c r="C39" i="1"/>
  <c r="D39" i="1"/>
  <c r="C42" i="1"/>
  <c r="D42" i="1"/>
  <c r="C13" i="1"/>
  <c r="D13" i="1"/>
  <c r="C34" i="1"/>
  <c r="D34" i="1"/>
  <c r="C30" i="1"/>
  <c r="D30" i="1"/>
  <c r="C52" i="1"/>
  <c r="D52" i="1"/>
  <c r="C41" i="1"/>
  <c r="D41" i="1"/>
  <c r="C21" i="1"/>
  <c r="D21" i="1"/>
  <c r="C19" i="1"/>
  <c r="D19" i="1"/>
  <c r="C20" i="1"/>
  <c r="D20" i="1"/>
  <c r="C36" i="1"/>
  <c r="D36" i="1"/>
  <c r="C43" i="1"/>
  <c r="D43" i="1"/>
  <c r="C10" i="1"/>
  <c r="D10" i="1"/>
  <c r="C14" i="1"/>
  <c r="D14" i="1"/>
  <c r="C47" i="1"/>
  <c r="D47" i="1"/>
  <c r="C56" i="1"/>
  <c r="D56" i="1"/>
  <c r="C6" i="1"/>
  <c r="D6" i="1"/>
  <c r="C37" i="1"/>
  <c r="D37" i="1"/>
  <c r="C12" i="1"/>
  <c r="D12" i="1"/>
  <c r="C53" i="1"/>
  <c r="D53" i="1"/>
  <c r="C25" i="1"/>
  <c r="D25" i="1"/>
  <c r="C35" i="1"/>
  <c r="D35" i="1"/>
  <c r="C9" i="1"/>
  <c r="D9" i="1"/>
  <c r="C17" i="1"/>
  <c r="D17" i="1"/>
  <c r="C44" i="1"/>
  <c r="D44" i="1"/>
  <c r="C51" i="1"/>
  <c r="D51" i="1"/>
  <c r="C38" i="1"/>
  <c r="D38" i="1"/>
  <c r="C8" i="1"/>
  <c r="D8" i="1"/>
  <c r="C27" i="1"/>
  <c r="D27" i="1"/>
  <c r="C15" i="1"/>
  <c r="D15" i="1"/>
  <c r="C22" i="1"/>
  <c r="D22" i="1"/>
  <c r="C26" i="1"/>
  <c r="D26" i="1"/>
  <c r="C7" i="1"/>
  <c r="D7" i="1"/>
  <c r="H50" i="52"/>
  <c r="H56" i="52"/>
  <c r="H38" i="52"/>
  <c r="H21" i="52"/>
  <c r="H27" i="52"/>
  <c r="J27" i="52"/>
  <c r="P27" i="52"/>
  <c r="S27" i="52"/>
  <c r="H48" i="52"/>
  <c r="H35" i="52"/>
  <c r="H33" i="52"/>
  <c r="H49" i="52"/>
  <c r="H30" i="52"/>
  <c r="H20" i="52"/>
  <c r="H11" i="52"/>
  <c r="I11" i="52"/>
  <c r="H9" i="52"/>
  <c r="H44" i="52"/>
  <c r="H7" i="52"/>
  <c r="H22" i="52"/>
  <c r="H23" i="52"/>
  <c r="H10" i="52"/>
  <c r="J10" i="52"/>
  <c r="P10" i="52"/>
  <c r="S10" i="52"/>
  <c r="H31" i="52"/>
  <c r="H19" i="52"/>
  <c r="H24" i="52"/>
  <c r="H46" i="52"/>
  <c r="H36" i="52"/>
  <c r="H26" i="52"/>
  <c r="H28" i="52"/>
  <c r="H17" i="52"/>
  <c r="H47" i="52"/>
  <c r="I47" i="52"/>
  <c r="H13" i="52"/>
  <c r="H55" i="52"/>
  <c r="H53" i="52"/>
  <c r="I53" i="52"/>
  <c r="H18" i="52"/>
  <c r="H41" i="52"/>
  <c r="H29" i="52"/>
  <c r="H8" i="52"/>
  <c r="J8" i="52"/>
  <c r="P8" i="52"/>
  <c r="S8" i="52"/>
  <c r="H45" i="52"/>
  <c r="H43" i="52"/>
  <c r="H15" i="52"/>
  <c r="H34" i="52"/>
  <c r="H25" i="52"/>
  <c r="H32" i="52"/>
  <c r="H16" i="52"/>
  <c r="I16" i="52"/>
  <c r="H37" i="52"/>
  <c r="H12" i="52"/>
  <c r="H39" i="52"/>
  <c r="H51" i="52"/>
  <c r="J51" i="52"/>
  <c r="P51" i="52"/>
  <c r="S51" i="52"/>
  <c r="H40" i="52"/>
  <c r="H42" i="52"/>
  <c r="H10" i="53"/>
  <c r="J10" i="53"/>
  <c r="P10" i="53"/>
  <c r="H47" i="53"/>
  <c r="H39" i="53"/>
  <c r="H44" i="53"/>
  <c r="H34" i="53"/>
  <c r="H12" i="53"/>
  <c r="I12" i="53"/>
  <c r="H37" i="53"/>
  <c r="H26" i="53"/>
  <c r="H56" i="53"/>
  <c r="H54" i="53"/>
  <c r="H48" i="53"/>
  <c r="H33" i="53"/>
  <c r="I33" i="53"/>
  <c r="H22" i="53"/>
  <c r="H19" i="53"/>
  <c r="H20" i="53"/>
  <c r="H27" i="53"/>
  <c r="H52" i="53"/>
  <c r="H17" i="53"/>
  <c r="H8" i="53"/>
  <c r="H25" i="53"/>
  <c r="H36" i="53"/>
  <c r="H43" i="53"/>
  <c r="H31" i="53"/>
  <c r="H7" i="53"/>
  <c r="H9" i="53"/>
  <c r="H15" i="53"/>
  <c r="H13" i="53"/>
  <c r="H29" i="53"/>
  <c r="H23" i="53"/>
  <c r="H21" i="53"/>
  <c r="H14" i="53"/>
  <c r="H40" i="53"/>
  <c r="H28" i="53"/>
  <c r="H53" i="53"/>
  <c r="H42" i="53"/>
  <c r="H49" i="53"/>
  <c r="H50" i="53"/>
  <c r="H16" i="53"/>
  <c r="H51" i="53"/>
  <c r="H55" i="53"/>
  <c r="I55" i="53"/>
  <c r="H18" i="53"/>
  <c r="H24" i="53"/>
  <c r="I24" i="53"/>
  <c r="H45" i="53"/>
  <c r="H35" i="53"/>
  <c r="H41" i="53"/>
  <c r="H46" i="53"/>
  <c r="H38" i="53"/>
  <c r="J38" i="53"/>
  <c r="P38" i="53"/>
  <c r="D48" i="54"/>
  <c r="D55" i="54"/>
  <c r="D11" i="54"/>
  <c r="D41" i="54"/>
  <c r="C13" i="55"/>
  <c r="D13" i="55"/>
  <c r="C44" i="55"/>
  <c r="D44" i="55"/>
  <c r="C48" i="55"/>
  <c r="D48" i="55"/>
  <c r="C20" i="55"/>
  <c r="D20" i="55"/>
  <c r="C27" i="55"/>
  <c r="D27" i="55"/>
  <c r="C28" i="55"/>
  <c r="D28" i="55"/>
  <c r="C18" i="55"/>
  <c r="D18" i="55"/>
  <c r="C40" i="55"/>
  <c r="D40" i="55"/>
  <c r="C14" i="55"/>
  <c r="D14" i="55"/>
  <c r="C21" i="55"/>
  <c r="D21" i="55"/>
  <c r="C47" i="55"/>
  <c r="D47" i="55"/>
  <c r="C50" i="55"/>
  <c r="D50" i="55"/>
  <c r="C24" i="55"/>
  <c r="D24" i="55"/>
  <c r="C26" i="55"/>
  <c r="D26" i="55"/>
  <c r="C9" i="55"/>
  <c r="C46" i="55"/>
  <c r="D46" i="55"/>
  <c r="C37" i="55"/>
  <c r="D37" i="55"/>
  <c r="C49" i="55"/>
  <c r="D49" i="55"/>
  <c r="C53" i="55"/>
  <c r="D53" i="55"/>
  <c r="C16" i="55"/>
  <c r="D16" i="55"/>
  <c r="C51" i="55"/>
  <c r="D51" i="55"/>
  <c r="C41" i="55"/>
  <c r="D41" i="55"/>
  <c r="C56" i="55"/>
  <c r="D56" i="55"/>
  <c r="C36" i="55"/>
  <c r="D36" i="55"/>
  <c r="C11" i="55"/>
  <c r="D11" i="55"/>
  <c r="C22" i="55"/>
  <c r="D22" i="55"/>
  <c r="C25" i="55"/>
  <c r="D25" i="55"/>
  <c r="C32" i="55"/>
  <c r="D32" i="55"/>
  <c r="C17" i="55"/>
  <c r="D17" i="55"/>
  <c r="C54" i="55"/>
  <c r="D54" i="55"/>
  <c r="C31" i="55"/>
  <c r="D31" i="55"/>
  <c r="C23" i="55"/>
  <c r="D23" i="55"/>
  <c r="C34" i="55"/>
  <c r="D34" i="55"/>
  <c r="C35" i="55"/>
  <c r="D35" i="55"/>
  <c r="S57" i="55"/>
  <c r="S66" i="55"/>
  <c r="S61" i="55"/>
  <c r="S69" i="55"/>
  <c r="C41" i="56"/>
  <c r="D41" i="56"/>
  <c r="C53" i="56"/>
  <c r="D53" i="56"/>
  <c r="C51" i="56"/>
  <c r="D51" i="56"/>
  <c r="C36" i="56"/>
  <c r="D36" i="56"/>
  <c r="C39" i="56"/>
  <c r="D39" i="56"/>
  <c r="C27" i="56"/>
  <c r="D27" i="56"/>
  <c r="C19" i="56"/>
  <c r="D19" i="56"/>
  <c r="C26" i="56"/>
  <c r="D26" i="56"/>
  <c r="C34" i="56"/>
  <c r="D34" i="56"/>
  <c r="C20" i="56"/>
  <c r="D20" i="56"/>
  <c r="C48" i="56"/>
  <c r="D48" i="56"/>
  <c r="C13" i="56"/>
  <c r="D13" i="56"/>
  <c r="C31" i="56"/>
  <c r="D31" i="56"/>
  <c r="C32" i="56"/>
  <c r="D32" i="56"/>
  <c r="C28" i="56"/>
  <c r="D28" i="56"/>
  <c r="C46" i="56"/>
  <c r="D46" i="56"/>
  <c r="C16" i="56"/>
  <c r="D16" i="56"/>
  <c r="C14" i="56"/>
  <c r="D14" i="56"/>
  <c r="C37" i="56"/>
  <c r="D37" i="56"/>
  <c r="C11" i="56"/>
  <c r="D11" i="56"/>
  <c r="C40" i="56"/>
  <c r="D40" i="56"/>
  <c r="C10" i="56"/>
  <c r="C25" i="56"/>
  <c r="D25" i="56"/>
  <c r="C43" i="56"/>
  <c r="D43" i="56"/>
  <c r="C33" i="56"/>
  <c r="D33" i="56"/>
  <c r="S57" i="56"/>
  <c r="S61" i="56"/>
  <c r="S58" i="56"/>
  <c r="D43" i="58"/>
  <c r="D15" i="58"/>
  <c r="D28" i="58"/>
  <c r="D41" i="58"/>
  <c r="D45" i="58"/>
  <c r="D56" i="58"/>
  <c r="D42" i="58"/>
  <c r="D54" i="58"/>
  <c r="H30" i="59"/>
  <c r="H52" i="59"/>
  <c r="H23" i="59"/>
  <c r="I23" i="59"/>
  <c r="H36" i="59"/>
  <c r="H14" i="59"/>
  <c r="H35" i="59"/>
  <c r="H44" i="59"/>
  <c r="H41" i="59"/>
  <c r="H18" i="59"/>
  <c r="H47" i="59"/>
  <c r="H50" i="59"/>
  <c r="H48" i="59"/>
  <c r="I48" i="59"/>
  <c r="H22" i="59"/>
  <c r="H38" i="59"/>
  <c r="I38" i="59"/>
  <c r="H25" i="59"/>
  <c r="H29" i="59"/>
  <c r="H40" i="59"/>
  <c r="H21" i="59"/>
  <c r="H43" i="59"/>
  <c r="H56" i="59"/>
  <c r="H33" i="59"/>
  <c r="H37" i="59"/>
  <c r="I37" i="59"/>
  <c r="H15" i="59"/>
  <c r="I15" i="59"/>
  <c r="H28" i="59"/>
  <c r="H20" i="59"/>
  <c r="H49" i="59"/>
  <c r="I49" i="59"/>
  <c r="H39" i="59"/>
  <c r="H54" i="59"/>
  <c r="H16" i="59"/>
  <c r="H51" i="59"/>
  <c r="H31" i="59"/>
  <c r="H42" i="59"/>
  <c r="H17" i="59"/>
  <c r="H46" i="59"/>
  <c r="H53" i="59"/>
  <c r="H19" i="59"/>
  <c r="H32" i="59"/>
  <c r="H45" i="59"/>
  <c r="I45" i="59"/>
  <c r="H55" i="59"/>
  <c r="I55" i="59"/>
  <c r="H13" i="59"/>
  <c r="H13" i="60"/>
  <c r="I13" i="60"/>
  <c r="H34" i="59"/>
  <c r="C27" i="60"/>
  <c r="D27" i="60"/>
  <c r="C47" i="60"/>
  <c r="D47" i="60"/>
  <c r="C33" i="60"/>
  <c r="D33" i="60"/>
  <c r="C36" i="60"/>
  <c r="D36" i="60"/>
  <c r="C24" i="60"/>
  <c r="D24" i="60"/>
  <c r="C32" i="60"/>
  <c r="D32" i="60"/>
  <c r="C39" i="60"/>
  <c r="D39" i="60"/>
  <c r="C35" i="60"/>
  <c r="D35" i="60"/>
  <c r="C30" i="60"/>
  <c r="D30" i="60"/>
  <c r="C45" i="60"/>
  <c r="D45" i="60"/>
  <c r="C17" i="60"/>
  <c r="D17" i="60"/>
  <c r="C26" i="60"/>
  <c r="D26" i="60"/>
  <c r="C19" i="60"/>
  <c r="D19" i="60"/>
  <c r="C56" i="60"/>
  <c r="D56" i="60"/>
  <c r="C53" i="60"/>
  <c r="D53" i="60"/>
  <c r="C48" i="60"/>
  <c r="D48" i="60"/>
  <c r="C23" i="60"/>
  <c r="D23" i="60"/>
  <c r="C20" i="60"/>
  <c r="D20" i="60"/>
  <c r="C22" i="60"/>
  <c r="D22" i="60"/>
  <c r="C15" i="60"/>
  <c r="D15" i="60"/>
  <c r="C37" i="60"/>
  <c r="D37" i="60"/>
  <c r="C16" i="60"/>
  <c r="D16" i="60"/>
  <c r="C46" i="60"/>
  <c r="D46" i="60"/>
  <c r="C43" i="60"/>
  <c r="D43" i="60"/>
  <c r="C18" i="60"/>
  <c r="D18" i="60"/>
  <c r="C55" i="60"/>
  <c r="D55" i="60"/>
  <c r="C40" i="60"/>
  <c r="D40" i="60"/>
  <c r="C44" i="60"/>
  <c r="D44" i="60"/>
  <c r="C25" i="60"/>
  <c r="D25" i="60"/>
  <c r="C28" i="60"/>
  <c r="D28" i="60"/>
  <c r="C38" i="60"/>
  <c r="D38" i="60"/>
  <c r="C42" i="60"/>
  <c r="D42" i="60"/>
  <c r="C41" i="60"/>
  <c r="D41" i="60"/>
  <c r="C31" i="60"/>
  <c r="D31" i="60"/>
  <c r="C14" i="60"/>
  <c r="C34" i="60"/>
  <c r="D34" i="60"/>
  <c r="C21" i="60"/>
  <c r="D21" i="60"/>
  <c r="S68" i="60"/>
  <c r="S67" i="60"/>
  <c r="S65" i="60"/>
  <c r="D37" i="54"/>
  <c r="K12" i="50"/>
  <c r="K11" i="50"/>
  <c r="H40" i="1"/>
  <c r="H16" i="1"/>
  <c r="H39" i="1"/>
  <c r="H13" i="1"/>
  <c r="H41" i="1"/>
  <c r="H44" i="1"/>
  <c r="H11" i="1"/>
  <c r="H45" i="1"/>
  <c r="H34" i="1"/>
  <c r="H30" i="1"/>
  <c r="H19" i="1"/>
  <c r="H47" i="1"/>
  <c r="H21" i="1"/>
  <c r="H27" i="1"/>
  <c r="H53" i="1"/>
  <c r="H23" i="1"/>
  <c r="H51" i="1"/>
  <c r="H56" i="1"/>
  <c r="H12" i="1"/>
  <c r="H38" i="1"/>
  <c r="H36" i="1"/>
  <c r="H8" i="1"/>
  <c r="H25" i="1"/>
  <c r="H35" i="1"/>
  <c r="H10" i="1"/>
  <c r="H31" i="1"/>
  <c r="I31" i="1"/>
  <c r="H32" i="1"/>
  <c r="J32" i="1"/>
  <c r="H52" i="1"/>
  <c r="H20" i="1"/>
  <c r="H33" i="1"/>
  <c r="J33" i="1"/>
  <c r="H6" i="1"/>
  <c r="H15" i="1"/>
  <c r="H50" i="1"/>
  <c r="I50" i="1"/>
  <c r="H46" i="1"/>
  <c r="H18" i="1"/>
  <c r="I18" i="1"/>
  <c r="H28" i="1"/>
  <c r="J28" i="1"/>
  <c r="H29" i="1"/>
  <c r="I29" i="1"/>
  <c r="H48" i="1"/>
  <c r="J48" i="1"/>
  <c r="H55" i="1"/>
  <c r="I55" i="1"/>
  <c r="H24" i="1"/>
  <c r="D54" i="52"/>
  <c r="D9" i="52"/>
  <c r="D50" i="52"/>
  <c r="D49" i="52"/>
  <c r="D46" i="52"/>
  <c r="D31" i="52"/>
  <c r="D17" i="52"/>
  <c r="D30" i="52"/>
  <c r="D37" i="52"/>
  <c r="D33" i="52"/>
  <c r="D45" i="52"/>
  <c r="D32" i="52"/>
  <c r="D19" i="52"/>
  <c r="D56" i="52"/>
  <c r="D48" i="53"/>
  <c r="D28" i="53"/>
  <c r="D53" i="53"/>
  <c r="D8" i="53"/>
  <c r="D56" i="53"/>
  <c r="D29" i="53"/>
  <c r="D35" i="53"/>
  <c r="D31" i="53"/>
  <c r="D20" i="53"/>
  <c r="D49" i="53"/>
  <c r="D46" i="53"/>
  <c r="D17" i="53"/>
  <c r="H50" i="55"/>
  <c r="H26" i="55"/>
  <c r="H52" i="55"/>
  <c r="J52" i="55"/>
  <c r="P52" i="55"/>
  <c r="S52" i="55"/>
  <c r="H16" i="55"/>
  <c r="H51" i="55"/>
  <c r="H39" i="55"/>
  <c r="H41" i="55"/>
  <c r="H25" i="55"/>
  <c r="H49" i="55"/>
  <c r="H45" i="55"/>
  <c r="J45" i="55"/>
  <c r="P45" i="55"/>
  <c r="S45" i="55"/>
  <c r="H44" i="55"/>
  <c r="H43" i="55"/>
  <c r="H53" i="55"/>
  <c r="H20" i="55"/>
  <c r="H18" i="55"/>
  <c r="H9" i="55"/>
  <c r="H9" i="56"/>
  <c r="H56" i="55"/>
  <c r="H38" i="55"/>
  <c r="I38" i="55"/>
  <c r="H23" i="55"/>
  <c r="H19" i="55"/>
  <c r="I19" i="55"/>
  <c r="H15" i="55"/>
  <c r="J15" i="55"/>
  <c r="P15" i="55"/>
  <c r="S15" i="55"/>
  <c r="H22" i="55"/>
  <c r="H55" i="55"/>
  <c r="I55" i="55"/>
  <c r="H35" i="55"/>
  <c r="H28" i="55"/>
  <c r="H14" i="55"/>
  <c r="H36" i="55"/>
  <c r="H33" i="55"/>
  <c r="J33" i="55"/>
  <c r="P33" i="55"/>
  <c r="S33" i="55"/>
  <c r="H30" i="55"/>
  <c r="J30" i="55"/>
  <c r="P30" i="55"/>
  <c r="S30" i="55"/>
  <c r="H34" i="55"/>
  <c r="H42" i="55"/>
  <c r="J42" i="55"/>
  <c r="P42" i="55"/>
  <c r="S42" i="55"/>
  <c r="H47" i="55"/>
  <c r="H27" i="56"/>
  <c r="H19" i="56"/>
  <c r="H14" i="56"/>
  <c r="H34" i="56"/>
  <c r="H29" i="56"/>
  <c r="I29" i="56"/>
  <c r="H16" i="56"/>
  <c r="H37" i="56"/>
  <c r="H56" i="56"/>
  <c r="I56" i="56"/>
  <c r="H22" i="56"/>
  <c r="I22" i="56"/>
  <c r="H43" i="56"/>
  <c r="H33" i="56"/>
  <c r="H41" i="56"/>
  <c r="H17" i="56"/>
  <c r="H36" i="56"/>
  <c r="H54" i="56"/>
  <c r="I54" i="56"/>
  <c r="H24" i="56"/>
  <c r="I24" i="56"/>
  <c r="H18" i="56"/>
  <c r="J18" i="56"/>
  <c r="P18" i="56"/>
  <c r="S18" i="56"/>
  <c r="H30" i="56"/>
  <c r="I30" i="56"/>
  <c r="H50" i="56"/>
  <c r="I50" i="56"/>
  <c r="H45" i="56"/>
  <c r="J45" i="56"/>
  <c r="P45" i="56"/>
  <c r="S45" i="56"/>
  <c r="H47" i="56"/>
  <c r="J47" i="56"/>
  <c r="P47" i="56"/>
  <c r="H44" i="56"/>
  <c r="I44" i="56"/>
  <c r="H35" i="56"/>
  <c r="J35" i="56"/>
  <c r="P35" i="56"/>
  <c r="S35" i="56"/>
  <c r="H52" i="56"/>
  <c r="C53" i="57"/>
  <c r="D53" i="57"/>
  <c r="C31" i="57"/>
  <c r="D31" i="57"/>
  <c r="C16" i="57"/>
  <c r="D16" i="57"/>
  <c r="C14" i="57"/>
  <c r="D14" i="57"/>
  <c r="C32" i="57"/>
  <c r="D32" i="57"/>
  <c r="C17" i="57"/>
  <c r="D17" i="57"/>
  <c r="C15" i="57"/>
  <c r="D15" i="57"/>
  <c r="C40" i="57"/>
  <c r="D40" i="57"/>
  <c r="C13" i="57"/>
  <c r="D13" i="57"/>
  <c r="C47" i="57"/>
  <c r="D47" i="57"/>
  <c r="C56" i="57"/>
  <c r="D56" i="57"/>
  <c r="C29" i="57"/>
  <c r="D29" i="57"/>
  <c r="C34" i="57"/>
  <c r="D34" i="57"/>
  <c r="C25" i="57"/>
  <c r="D25" i="57"/>
  <c r="C30" i="57"/>
  <c r="D30" i="57"/>
  <c r="C43" i="57"/>
  <c r="D43" i="57"/>
  <c r="C38" i="57"/>
  <c r="D38" i="57"/>
  <c r="C23" i="57"/>
  <c r="D23" i="57"/>
  <c r="C35" i="57"/>
  <c r="D35" i="57"/>
  <c r="C12" i="57"/>
  <c r="D12" i="57"/>
  <c r="C46" i="57"/>
  <c r="D46" i="57"/>
  <c r="C36" i="57"/>
  <c r="D36" i="57"/>
  <c r="C11" i="57"/>
  <c r="C52" i="57"/>
  <c r="D52" i="57"/>
  <c r="C42" i="57"/>
  <c r="D42" i="57"/>
  <c r="C39" i="57"/>
  <c r="D39" i="57"/>
  <c r="C49" i="57"/>
  <c r="D49" i="57"/>
  <c r="C27" i="57"/>
  <c r="D27" i="57"/>
  <c r="C28" i="57"/>
  <c r="D28" i="57"/>
  <c r="C48" i="57"/>
  <c r="D48" i="57"/>
  <c r="C21" i="57"/>
  <c r="D21" i="57"/>
  <c r="C50" i="57"/>
  <c r="D50" i="57"/>
  <c r="C26" i="57"/>
  <c r="D26" i="57"/>
  <c r="C51" i="57"/>
  <c r="D51" i="57"/>
  <c r="C19" i="57"/>
  <c r="D19" i="57"/>
  <c r="C20" i="57"/>
  <c r="D20" i="57"/>
  <c r="C33" i="57"/>
  <c r="D33" i="57"/>
  <c r="C44" i="57"/>
  <c r="D44" i="57"/>
  <c r="S69" i="57"/>
  <c r="S58" i="57"/>
  <c r="D52" i="59"/>
  <c r="D42" i="59"/>
  <c r="D41" i="59"/>
  <c r="D29" i="59"/>
  <c r="D36" i="59"/>
  <c r="D40" i="59"/>
  <c r="D39" i="59"/>
  <c r="D47" i="59"/>
  <c r="D28" i="59"/>
  <c r="D20" i="59"/>
  <c r="D27" i="59"/>
  <c r="H16" i="60"/>
  <c r="H33" i="60"/>
  <c r="H17" i="60"/>
  <c r="H38" i="60"/>
  <c r="H25" i="60"/>
  <c r="H22" i="60"/>
  <c r="H24" i="60"/>
  <c r="H40" i="60"/>
  <c r="H27" i="60"/>
  <c r="H42" i="60"/>
  <c r="H46" i="60"/>
  <c r="H35" i="60"/>
  <c r="H15" i="60"/>
  <c r="H23" i="60"/>
  <c r="H49" i="60"/>
  <c r="I49" i="60"/>
  <c r="H43" i="60"/>
  <c r="H54" i="60"/>
  <c r="J54" i="60"/>
  <c r="P54" i="60"/>
  <c r="S54" i="60"/>
  <c r="H50" i="60"/>
  <c r="I50" i="60"/>
  <c r="H20" i="60"/>
  <c r="H34" i="60"/>
  <c r="H30" i="60"/>
  <c r="H29" i="60"/>
  <c r="J29" i="60"/>
  <c r="P29" i="60"/>
  <c r="S29" i="60"/>
  <c r="H37" i="60"/>
  <c r="H44" i="60"/>
  <c r="H21" i="60"/>
  <c r="H45" i="60"/>
  <c r="H18" i="60"/>
  <c r="H28" i="60"/>
  <c r="H19" i="60"/>
  <c r="H47" i="60"/>
  <c r="H36" i="60"/>
  <c r="H48" i="60"/>
  <c r="H14" i="60"/>
  <c r="H14" i="61"/>
  <c r="H52" i="60"/>
  <c r="I52" i="60"/>
  <c r="H39" i="60"/>
  <c r="H56" i="60"/>
  <c r="H32" i="60"/>
  <c r="H53" i="60"/>
  <c r="H55" i="60"/>
  <c r="H41" i="60"/>
  <c r="C53" i="61"/>
  <c r="D53" i="61"/>
  <c r="C23" i="61"/>
  <c r="D23" i="61"/>
  <c r="C33" i="61"/>
  <c r="D33" i="61"/>
  <c r="C45" i="61"/>
  <c r="D45" i="61"/>
  <c r="C43" i="61"/>
  <c r="D43" i="61"/>
  <c r="C52" i="61"/>
  <c r="D52" i="61"/>
  <c r="C42" i="61"/>
  <c r="D42" i="61"/>
  <c r="C54" i="61"/>
  <c r="D54" i="61"/>
  <c r="C46" i="61"/>
  <c r="D46" i="61"/>
  <c r="C30" i="61"/>
  <c r="D30" i="61"/>
  <c r="C39" i="61"/>
  <c r="D39" i="61"/>
  <c r="C38" i="61"/>
  <c r="D38" i="61"/>
  <c r="C36" i="61"/>
  <c r="D36" i="61"/>
  <c r="C49" i="61"/>
  <c r="D49" i="61"/>
  <c r="C35" i="61"/>
  <c r="D35" i="61"/>
  <c r="C27" i="61"/>
  <c r="D27" i="61"/>
  <c r="C15" i="61"/>
  <c r="D15" i="61"/>
  <c r="C55" i="61"/>
  <c r="D55" i="61"/>
  <c r="C18" i="61"/>
  <c r="D18" i="61"/>
  <c r="C40" i="61"/>
  <c r="D40" i="61"/>
  <c r="C51" i="61"/>
  <c r="D51" i="61"/>
  <c r="C31" i="61"/>
  <c r="D31" i="61"/>
  <c r="C50" i="61"/>
  <c r="D50" i="61"/>
  <c r="C48" i="61"/>
  <c r="D48" i="61"/>
  <c r="C19" i="61"/>
  <c r="D19" i="61"/>
  <c r="S57" i="61"/>
  <c r="S68" i="61"/>
  <c r="S69" i="61"/>
  <c r="S62" i="61"/>
  <c r="S63" i="61"/>
  <c r="D49" i="58"/>
  <c r="D32" i="58"/>
  <c r="D25" i="58"/>
  <c r="D21" i="59"/>
  <c r="D15" i="54"/>
  <c r="D12" i="54"/>
  <c r="D43" i="52"/>
  <c r="D40" i="52"/>
  <c r="D21" i="52"/>
  <c r="D41" i="52"/>
  <c r="D55" i="52"/>
  <c r="D7" i="52"/>
  <c r="D48" i="58"/>
  <c r="D15" i="53"/>
  <c r="D46" i="59"/>
  <c r="D53" i="59"/>
  <c r="D33" i="59"/>
  <c r="D26" i="54"/>
  <c r="D9" i="54"/>
  <c r="D51" i="54"/>
  <c r="D50" i="54"/>
  <c r="D13" i="54"/>
  <c r="D28" i="54"/>
  <c r="D38" i="52"/>
  <c r="D22" i="52"/>
  <c r="D35" i="52"/>
  <c r="D12" i="52"/>
  <c r="D26" i="58"/>
  <c r="D31" i="58"/>
  <c r="D24" i="58"/>
  <c r="D33" i="58"/>
  <c r="D18" i="59"/>
  <c r="D44" i="54"/>
  <c r="D34" i="59"/>
  <c r="D55" i="58"/>
  <c r="D13" i="58"/>
  <c r="D52" i="58"/>
  <c r="D29" i="58"/>
  <c r="D26" i="59"/>
  <c r="D20" i="54"/>
  <c r="D32" i="54"/>
  <c r="D16" i="54"/>
  <c r="D17" i="54"/>
  <c r="D27" i="54"/>
  <c r="D24" i="52"/>
  <c r="D26" i="52"/>
  <c r="D39" i="52"/>
  <c r="D21" i="58"/>
  <c r="D51" i="59"/>
  <c r="D14" i="53"/>
  <c r="D39" i="53"/>
  <c r="D52" i="53"/>
  <c r="D50" i="58"/>
  <c r="D17" i="58"/>
  <c r="S15" i="56"/>
  <c r="D16" i="58"/>
  <c r="D37" i="58"/>
  <c r="D45" i="54"/>
  <c r="D19" i="54"/>
  <c r="D23" i="54"/>
  <c r="D35" i="54"/>
  <c r="D39" i="54"/>
  <c r="D43" i="54"/>
  <c r="D23" i="52"/>
  <c r="D18" i="52"/>
  <c r="D36" i="52"/>
  <c r="D15" i="52"/>
  <c r="D32" i="59"/>
  <c r="D40" i="58"/>
  <c r="D25" i="59"/>
  <c r="D56" i="59"/>
  <c r="D32" i="53"/>
  <c r="D23" i="53"/>
  <c r="D14" i="59"/>
  <c r="D38" i="54"/>
  <c r="S64" i="56"/>
  <c r="S21" i="56"/>
  <c r="S69" i="56"/>
  <c r="D48" i="52"/>
  <c r="D20" i="58"/>
  <c r="S62" i="60"/>
  <c r="D25" i="53"/>
  <c r="D45" i="53"/>
  <c r="D54" i="53"/>
  <c r="D54" i="59"/>
  <c r="D42" i="52"/>
  <c r="D44" i="52"/>
  <c r="D53" i="58"/>
  <c r="D23" i="58"/>
  <c r="D16" i="59"/>
  <c r="D37" i="53"/>
  <c r="D19" i="53"/>
  <c r="D51" i="53"/>
  <c r="D44" i="53"/>
  <c r="D41" i="53"/>
  <c r="D43" i="53"/>
  <c r="D47" i="53"/>
  <c r="D30" i="53"/>
  <c r="D22" i="53"/>
  <c r="D19" i="58"/>
  <c r="D34" i="52"/>
  <c r="D26" i="53"/>
  <c r="D13" i="53"/>
  <c r="D34" i="53"/>
  <c r="D42" i="53"/>
  <c r="D44" i="58"/>
  <c r="D44" i="59"/>
  <c r="D50" i="59"/>
  <c r="S65" i="61"/>
  <c r="D13" i="52"/>
  <c r="D29" i="52"/>
  <c r="D18" i="58"/>
  <c r="S59" i="61"/>
  <c r="D30" i="59"/>
  <c r="S69" i="60"/>
  <c r="S57" i="60"/>
  <c r="S63" i="60"/>
  <c r="S57" i="57"/>
  <c r="N5" i="50"/>
  <c r="Q6" i="50"/>
  <c r="N6" i="50"/>
  <c r="D27" i="53"/>
  <c r="D18" i="53"/>
  <c r="D16" i="53"/>
  <c r="D50" i="53"/>
  <c r="D9" i="53"/>
  <c r="D21" i="53"/>
  <c r="D36" i="53"/>
  <c r="D39" i="58"/>
  <c r="D22" i="58"/>
  <c r="D35" i="59"/>
  <c r="D43" i="59"/>
  <c r="D20" i="52"/>
  <c r="D28" i="52"/>
  <c r="S66" i="56"/>
  <c r="S29" i="55"/>
  <c r="S29" i="54"/>
  <c r="S59" i="60"/>
  <c r="S59" i="56"/>
  <c r="S14" i="52"/>
  <c r="S52" i="52"/>
  <c r="S60" i="56"/>
  <c r="S58" i="55"/>
  <c r="S63" i="55"/>
  <c r="S47" i="58"/>
  <c r="S62" i="57"/>
  <c r="S11" i="53"/>
  <c r="S65" i="56"/>
  <c r="S67" i="57"/>
  <c r="O62" i="56"/>
  <c r="S62" i="56"/>
  <c r="O62" i="55"/>
  <c r="S62" i="55"/>
  <c r="O56" i="56"/>
  <c r="O56" i="55"/>
  <c r="O10" i="53"/>
  <c r="S10" i="53"/>
  <c r="O35" i="52"/>
  <c r="O48" i="55"/>
  <c r="O48" i="54"/>
  <c r="O10" i="54"/>
  <c r="S10" i="54" s="1"/>
  <c r="O10" i="55"/>
  <c r="S10" i="55" s="1"/>
  <c r="O24" i="55"/>
  <c r="O24" i="56"/>
  <c r="O67" i="55"/>
  <c r="S67" i="55" s="1"/>
  <c r="O67" i="56"/>
  <c r="S67" i="56" s="1"/>
  <c r="O25" i="56"/>
  <c r="O25" i="55"/>
  <c r="O20" i="52"/>
  <c r="O20" i="53"/>
  <c r="O48" i="59"/>
  <c r="O48" i="58"/>
  <c r="O50" i="59"/>
  <c r="O50" i="58"/>
  <c r="O68" i="55"/>
  <c r="S68" i="55" s="1"/>
  <c r="O68" i="54"/>
  <c r="S68" i="54" s="1"/>
  <c r="O64" i="57"/>
  <c r="S64" i="57" s="1"/>
  <c r="O64" i="58"/>
  <c r="S64" i="58" s="1"/>
  <c r="O37" i="53"/>
  <c r="O37" i="54"/>
  <c r="O36" i="53"/>
  <c r="O36" i="54"/>
  <c r="S36" i="54"/>
  <c r="O33" i="54"/>
  <c r="S33" i="54"/>
  <c r="O33" i="53"/>
  <c r="O40" i="54"/>
  <c r="S40" i="54" s="1"/>
  <c r="O40" i="53"/>
  <c r="O68" i="56"/>
  <c r="S68" i="56"/>
  <c r="O68" i="57"/>
  <c r="S68" i="57"/>
  <c r="O30" i="57"/>
  <c r="O30" i="58"/>
  <c r="S30" i="58" s="1"/>
  <c r="O19" i="58"/>
  <c r="O19" i="57"/>
  <c r="O15" i="57"/>
  <c r="O15" i="58"/>
  <c r="O44" i="57"/>
  <c r="O44" i="56"/>
  <c r="O47" i="57"/>
  <c r="O47" i="56"/>
  <c r="S47" i="56"/>
  <c r="O16" i="56"/>
  <c r="O16" i="57"/>
  <c r="O61" i="60"/>
  <c r="S61" i="60"/>
  <c r="O61" i="61"/>
  <c r="S61" i="61"/>
  <c r="O64" i="61"/>
  <c r="S64" i="61"/>
  <c r="O64" i="60"/>
  <c r="S64" i="60"/>
  <c r="O58" i="60"/>
  <c r="S58" i="60"/>
  <c r="O58" i="61"/>
  <c r="S58" i="61"/>
  <c r="O39" i="56"/>
  <c r="O39" i="55"/>
  <c r="O47" i="52"/>
  <c r="O47" i="53"/>
  <c r="O38" i="53"/>
  <c r="O38" i="52"/>
  <c r="O28" i="56"/>
  <c r="O28" i="55"/>
  <c r="O20" i="58"/>
  <c r="O20" i="59"/>
  <c r="O16" i="53"/>
  <c r="O16" i="54"/>
  <c r="O51" i="57"/>
  <c r="O59" i="55"/>
  <c r="S59" i="55" s="1"/>
  <c r="O59" i="54"/>
  <c r="S59" i="54" s="1"/>
  <c r="O66" i="57"/>
  <c r="S66" i="57" s="1"/>
  <c r="O66" i="58"/>
  <c r="S66" i="58" s="1"/>
  <c r="O32" i="56"/>
  <c r="O32" i="55"/>
  <c r="O34" i="57"/>
  <c r="O34" i="56"/>
  <c r="O63" i="56"/>
  <c r="S63" i="56" s="1"/>
  <c r="O66" i="60"/>
  <c r="S66" i="60" s="1"/>
  <c r="O66" i="61"/>
  <c r="S66" i="61" s="1"/>
  <c r="O60" i="60"/>
  <c r="S60" i="60" s="1"/>
  <c r="O60" i="61"/>
  <c r="S60" i="61" s="1"/>
  <c r="O55" i="59"/>
  <c r="O55" i="60"/>
  <c r="O37" i="59"/>
  <c r="O37" i="60"/>
  <c r="O28" i="58"/>
  <c r="O28" i="59"/>
  <c r="O33" i="58"/>
  <c r="O33" i="59"/>
  <c r="O31" i="52"/>
  <c r="O24" i="58"/>
  <c r="O24" i="57"/>
  <c r="S24" i="57" s="1"/>
  <c r="O35" i="58"/>
  <c r="S35" i="58" s="1"/>
  <c r="O35" i="59"/>
  <c r="O41" i="59"/>
  <c r="O41" i="58"/>
  <c r="O59" i="58"/>
  <c r="S59" i="58"/>
  <c r="O59" i="57"/>
  <c r="S59" i="57"/>
  <c r="O49" i="56"/>
  <c r="S49" i="56"/>
  <c r="O49" i="57"/>
  <c r="O53" i="57"/>
  <c r="O53" i="56"/>
  <c r="O42" i="54"/>
  <c r="S42" i="54" s="1"/>
  <c r="O29" i="57"/>
  <c r="O12" i="58"/>
  <c r="S12" i="58"/>
  <c r="N45" i="57"/>
  <c r="N45" i="58"/>
  <c r="N18" i="58"/>
  <c r="N18" i="59"/>
  <c r="O60" i="57"/>
  <c r="S60" i="57" s="1"/>
  <c r="O60" i="58"/>
  <c r="S60" i="58" s="1"/>
  <c r="O18" i="58"/>
  <c r="O18" i="57"/>
  <c r="S18" i="57"/>
  <c r="O56" i="57"/>
  <c r="O56" i="58"/>
  <c r="O55" i="58"/>
  <c r="O55" i="57"/>
  <c r="S55" i="57" s="1"/>
  <c r="O23" i="58"/>
  <c r="O23" i="57"/>
  <c r="N13" i="53"/>
  <c r="N13" i="52"/>
  <c r="P37" i="61"/>
  <c r="N22" i="61"/>
  <c r="S22" i="61"/>
  <c r="N31" i="61"/>
  <c r="S16" i="61"/>
  <c r="N56" i="61"/>
  <c r="P56" i="61"/>
  <c r="S56" i="61"/>
  <c r="N54" i="61"/>
  <c r="N23" i="61"/>
  <c r="N52" i="61"/>
  <c r="S28" i="61"/>
  <c r="N28" i="61"/>
  <c r="P29" i="61"/>
  <c r="N32" i="61"/>
  <c r="N32" i="60"/>
  <c r="N31" i="58"/>
  <c r="N31" i="57"/>
  <c r="L10" i="57"/>
  <c r="N10" i="57"/>
  <c r="N10" i="56"/>
  <c r="N46" i="59"/>
  <c r="P46" i="58"/>
  <c r="N46" i="58"/>
  <c r="O46" i="58"/>
  <c r="O46" i="57"/>
  <c r="O38" i="57"/>
  <c r="O38" i="58"/>
  <c r="S38" i="58"/>
  <c r="O65" i="57"/>
  <c r="S65" i="57"/>
  <c r="P26" i="61"/>
  <c r="N26" i="61"/>
  <c r="P44" i="61"/>
  <c r="S44" i="61"/>
  <c r="O40" i="57"/>
  <c r="N14" i="60"/>
  <c r="L14" i="61"/>
  <c r="N14" i="61"/>
  <c r="N25" i="57"/>
  <c r="N25" i="58"/>
  <c r="N26" i="57"/>
  <c r="N26" i="56"/>
  <c r="N17" i="57"/>
  <c r="N17" i="56"/>
  <c r="N42" i="59"/>
  <c r="N42" i="58"/>
  <c r="O13" i="58"/>
  <c r="O13" i="57"/>
  <c r="O54" i="57"/>
  <c r="S54" i="57"/>
  <c r="O54" i="58"/>
  <c r="O45" i="57"/>
  <c r="S45" i="57" s="1"/>
  <c r="O45" i="58"/>
  <c r="O32" i="58"/>
  <c r="O52" i="57"/>
  <c r="N27" i="54"/>
  <c r="N27" i="55"/>
  <c r="O22" i="57"/>
  <c r="S22" i="57"/>
  <c r="N29" i="57"/>
  <c r="N41" i="61"/>
  <c r="P41" i="61"/>
  <c r="P47" i="61"/>
  <c r="N47" i="61"/>
  <c r="S29" i="61"/>
  <c r="P21" i="61"/>
  <c r="P51" i="60"/>
  <c r="S51" i="60"/>
  <c r="P25" i="61"/>
  <c r="S25" i="61"/>
  <c r="N40" i="57"/>
  <c r="N40" i="58"/>
  <c r="O37" i="57"/>
  <c r="S37" i="57" s="1"/>
  <c r="O37" i="58"/>
  <c r="O42" i="57"/>
  <c r="O42" i="58"/>
  <c r="O21" i="58"/>
  <c r="O21" i="57"/>
  <c r="N12" i="54"/>
  <c r="N12" i="55"/>
  <c r="S12" i="55"/>
  <c r="S21" i="61"/>
  <c r="P34" i="61"/>
  <c r="S34" i="61"/>
  <c r="N34" i="61"/>
  <c r="P20" i="61"/>
  <c r="S20" i="61"/>
  <c r="N44" i="57"/>
  <c r="S32" i="61"/>
  <c r="S37" i="61"/>
  <c r="S17" i="61"/>
  <c r="N17" i="60"/>
  <c r="N17" i="61"/>
  <c r="E22" i="58"/>
  <c r="F22" i="58"/>
  <c r="J22" i="58"/>
  <c r="P22" i="58"/>
  <c r="S22" i="58"/>
  <c r="E42" i="53"/>
  <c r="F42" i="53"/>
  <c r="J42" i="53"/>
  <c r="P42" i="53"/>
  <c r="S42" i="53"/>
  <c r="E43" i="53"/>
  <c r="F43" i="53"/>
  <c r="J43" i="53"/>
  <c r="P43" i="53"/>
  <c r="S43" i="53"/>
  <c r="E25" i="53"/>
  <c r="F25" i="53"/>
  <c r="J25" i="53"/>
  <c r="P25" i="53"/>
  <c r="S25" i="53"/>
  <c r="E38" i="54"/>
  <c r="F38" i="54"/>
  <c r="J38" i="54"/>
  <c r="P38" i="54"/>
  <c r="S38" i="54"/>
  <c r="E43" i="54"/>
  <c r="F43" i="54"/>
  <c r="J43" i="54"/>
  <c r="P43" i="54"/>
  <c r="S43" i="54"/>
  <c r="E52" i="53"/>
  <c r="F52" i="53"/>
  <c r="J52" i="53"/>
  <c r="P52" i="53"/>
  <c r="S52" i="53"/>
  <c r="E20" i="54"/>
  <c r="F20" i="54"/>
  <c r="J20" i="54"/>
  <c r="P20" i="54"/>
  <c r="S20" i="54"/>
  <c r="E31" i="58"/>
  <c r="F31" i="58"/>
  <c r="J31" i="58"/>
  <c r="P31" i="58"/>
  <c r="S31" i="58"/>
  <c r="E33" i="59"/>
  <c r="F33" i="59"/>
  <c r="J33" i="59"/>
  <c r="P33" i="59"/>
  <c r="S33" i="59"/>
  <c r="E43" i="52"/>
  <c r="F43" i="52"/>
  <c r="J43" i="52"/>
  <c r="P43" i="52"/>
  <c r="S43" i="52"/>
  <c r="E15" i="61"/>
  <c r="F15" i="61"/>
  <c r="J15" i="61"/>
  <c r="P15" i="61"/>
  <c r="S15" i="61"/>
  <c r="E43" i="61"/>
  <c r="F43" i="61"/>
  <c r="J43" i="61"/>
  <c r="P43" i="61"/>
  <c r="S43" i="61"/>
  <c r="E47" i="59"/>
  <c r="F47" i="59"/>
  <c r="J47" i="59"/>
  <c r="P47" i="59"/>
  <c r="S47" i="59"/>
  <c r="E21" i="57"/>
  <c r="F21" i="57"/>
  <c r="J21" i="57"/>
  <c r="P21" i="57"/>
  <c r="S21" i="57"/>
  <c r="E30" i="57"/>
  <c r="F30" i="57"/>
  <c r="J30" i="57"/>
  <c r="P30" i="57"/>
  <c r="S30" i="57"/>
  <c r="E15" i="57"/>
  <c r="F15" i="57"/>
  <c r="J15" i="57"/>
  <c r="P15" i="57"/>
  <c r="E53" i="53"/>
  <c r="F53" i="53"/>
  <c r="J53" i="53"/>
  <c r="P53" i="53"/>
  <c r="S53" i="53"/>
  <c r="E46" i="52"/>
  <c r="F46" i="52"/>
  <c r="J46" i="52"/>
  <c r="P46" i="52"/>
  <c r="S46" i="52"/>
  <c r="E21" i="60"/>
  <c r="F21" i="60"/>
  <c r="J21" i="60"/>
  <c r="P21" i="60"/>
  <c r="S21" i="60"/>
  <c r="G25" i="60"/>
  <c r="I25" i="60"/>
  <c r="E25" i="60"/>
  <c r="F25" i="60"/>
  <c r="J25" i="60"/>
  <c r="P25" i="60"/>
  <c r="S25" i="60"/>
  <c r="E23" i="60"/>
  <c r="F23" i="60"/>
  <c r="J23" i="60"/>
  <c r="P23" i="60"/>
  <c r="E24" i="60"/>
  <c r="F24" i="60"/>
  <c r="J24" i="60"/>
  <c r="P24" i="60"/>
  <c r="S24" i="60"/>
  <c r="E15" i="58"/>
  <c r="F15" i="58"/>
  <c r="J15" i="58"/>
  <c r="P15" i="58"/>
  <c r="D10" i="56"/>
  <c r="C10" i="57"/>
  <c r="D10" i="57"/>
  <c r="E20" i="56"/>
  <c r="F20" i="56"/>
  <c r="J20" i="56"/>
  <c r="P20" i="56"/>
  <c r="S20" i="56"/>
  <c r="E36" i="55"/>
  <c r="F36" i="55"/>
  <c r="J36" i="55"/>
  <c r="P36" i="55"/>
  <c r="S36" i="55"/>
  <c r="E50" i="55"/>
  <c r="F50" i="55"/>
  <c r="J50" i="55"/>
  <c r="P50" i="55"/>
  <c r="S50" i="55"/>
  <c r="E41" i="54"/>
  <c r="F41" i="54"/>
  <c r="J41" i="54"/>
  <c r="P41" i="54"/>
  <c r="S41" i="54"/>
  <c r="E22" i="1"/>
  <c r="F22" i="1"/>
  <c r="J22" i="1"/>
  <c r="E12" i="1"/>
  <c r="F12" i="1"/>
  <c r="J12" i="1"/>
  <c r="E41" i="1"/>
  <c r="F41" i="1"/>
  <c r="J41" i="1"/>
  <c r="E16" i="1"/>
  <c r="F16" i="1"/>
  <c r="J16" i="1"/>
  <c r="J45" i="59"/>
  <c r="P45" i="59"/>
  <c r="S45" i="59"/>
  <c r="I52" i="55"/>
  <c r="S15" i="58"/>
  <c r="E35" i="59"/>
  <c r="F35" i="59"/>
  <c r="J35" i="59"/>
  <c r="P35" i="59"/>
  <c r="G35" i="59"/>
  <c r="I35" i="59"/>
  <c r="E21" i="53"/>
  <c r="F21" i="53"/>
  <c r="J21" i="53"/>
  <c r="P21" i="53"/>
  <c r="S21" i="53"/>
  <c r="G21" i="53"/>
  <c r="I21" i="53"/>
  <c r="E18" i="53"/>
  <c r="F18" i="53"/>
  <c r="J18" i="53"/>
  <c r="P18" i="53"/>
  <c r="S18" i="53"/>
  <c r="G18" i="53"/>
  <c r="I18" i="53"/>
  <c r="E30" i="59"/>
  <c r="F30" i="59"/>
  <c r="J30" i="59"/>
  <c r="P30" i="59"/>
  <c r="S30" i="59"/>
  <c r="G30" i="59"/>
  <c r="I30" i="59"/>
  <c r="E13" i="52"/>
  <c r="F13" i="52"/>
  <c r="J13" i="52"/>
  <c r="P13" i="52"/>
  <c r="S13" i="52"/>
  <c r="G13" i="52"/>
  <c r="I13" i="52"/>
  <c r="E44" i="58"/>
  <c r="F44" i="58"/>
  <c r="J44" i="58"/>
  <c r="P44" i="58"/>
  <c r="S44" i="58"/>
  <c r="G44" i="58"/>
  <c r="I44" i="58"/>
  <c r="E26" i="53"/>
  <c r="F26" i="53"/>
  <c r="J26" i="53"/>
  <c r="P26" i="53"/>
  <c r="S26" i="53"/>
  <c r="G26" i="53"/>
  <c r="I26" i="53"/>
  <c r="E47" i="53"/>
  <c r="F47" i="53"/>
  <c r="J47" i="53"/>
  <c r="P47" i="53"/>
  <c r="S47" i="53"/>
  <c r="G47" i="53"/>
  <c r="I47" i="53"/>
  <c r="E51" i="53"/>
  <c r="F51" i="53"/>
  <c r="J51" i="53"/>
  <c r="P51" i="53"/>
  <c r="S51" i="53"/>
  <c r="G51" i="53"/>
  <c r="I51" i="53"/>
  <c r="E23" i="58"/>
  <c r="F23" i="58"/>
  <c r="J23" i="58"/>
  <c r="P23" i="58"/>
  <c r="S23" i="58"/>
  <c r="G23" i="58"/>
  <c r="I23" i="58"/>
  <c r="E45" i="53"/>
  <c r="F45" i="53"/>
  <c r="J45" i="53"/>
  <c r="P45" i="53"/>
  <c r="S45" i="53"/>
  <c r="G45" i="53"/>
  <c r="I45" i="53"/>
  <c r="E48" i="52"/>
  <c r="F48" i="52"/>
  <c r="J48" i="52"/>
  <c r="P48" i="52"/>
  <c r="S48" i="52"/>
  <c r="G48" i="52"/>
  <c r="I48" i="52"/>
  <c r="E32" i="53"/>
  <c r="F32" i="53"/>
  <c r="J32" i="53"/>
  <c r="P32" i="53"/>
  <c r="S32" i="53"/>
  <c r="G32" i="53"/>
  <c r="I32" i="53"/>
  <c r="E32" i="59"/>
  <c r="F32" i="59"/>
  <c r="J32" i="59"/>
  <c r="P32" i="59"/>
  <c r="S32" i="59"/>
  <c r="G32" i="59"/>
  <c r="I32" i="59"/>
  <c r="E23" i="52"/>
  <c r="F23" i="52"/>
  <c r="J23" i="52"/>
  <c r="P23" i="52"/>
  <c r="S23" i="52"/>
  <c r="G23" i="52"/>
  <c r="I23" i="52"/>
  <c r="E23" i="54"/>
  <c r="F23" i="54"/>
  <c r="J23" i="54"/>
  <c r="P23" i="54"/>
  <c r="S23" i="54"/>
  <c r="G23" i="54"/>
  <c r="I23" i="54"/>
  <c r="E37" i="58"/>
  <c r="F37" i="58"/>
  <c r="J37" i="58"/>
  <c r="P37" i="58"/>
  <c r="S37" i="58"/>
  <c r="G37" i="58"/>
  <c r="I37" i="58"/>
  <c r="E50" i="58"/>
  <c r="F50" i="58"/>
  <c r="J50" i="58"/>
  <c r="P50" i="58"/>
  <c r="S50" i="58"/>
  <c r="G50" i="58"/>
  <c r="I50" i="58"/>
  <c r="E51" i="59"/>
  <c r="F51" i="59"/>
  <c r="J51" i="59"/>
  <c r="P51" i="59"/>
  <c r="S51" i="59"/>
  <c r="G51" i="59"/>
  <c r="I51" i="59"/>
  <c r="E24" i="52"/>
  <c r="F24" i="52"/>
  <c r="J24" i="52"/>
  <c r="P24" i="52"/>
  <c r="S24" i="52"/>
  <c r="G24" i="52"/>
  <c r="I24" i="52"/>
  <c r="E32" i="54"/>
  <c r="F32" i="54"/>
  <c r="J32" i="54"/>
  <c r="P32" i="54"/>
  <c r="S32" i="54"/>
  <c r="G32" i="54"/>
  <c r="I32" i="54"/>
  <c r="E52" i="58"/>
  <c r="F52" i="58"/>
  <c r="J52" i="58"/>
  <c r="P52" i="58"/>
  <c r="S52" i="58"/>
  <c r="G52" i="58"/>
  <c r="I52" i="58"/>
  <c r="E24" i="58"/>
  <c r="F24" i="58"/>
  <c r="J24" i="58"/>
  <c r="P24" i="58"/>
  <c r="S24" i="58"/>
  <c r="G24" i="58"/>
  <c r="I24" i="58"/>
  <c r="E35" i="52"/>
  <c r="F35" i="52"/>
  <c r="J35" i="52"/>
  <c r="P35" i="52"/>
  <c r="S35" i="52"/>
  <c r="G35" i="52"/>
  <c r="I35" i="52"/>
  <c r="E13" i="54"/>
  <c r="F13" i="54"/>
  <c r="J13" i="54"/>
  <c r="P13" i="54"/>
  <c r="S13" i="54"/>
  <c r="G13" i="54"/>
  <c r="I13" i="54"/>
  <c r="E26" i="54"/>
  <c r="F26" i="54"/>
  <c r="J26" i="54"/>
  <c r="P26" i="54"/>
  <c r="S26" i="54"/>
  <c r="G26" i="54"/>
  <c r="I26" i="54"/>
  <c r="E7" i="52"/>
  <c r="F7" i="52"/>
  <c r="J7" i="52"/>
  <c r="P7" i="52"/>
  <c r="S7" i="52"/>
  <c r="G7" i="52"/>
  <c r="I7" i="52"/>
  <c r="E40" i="52"/>
  <c r="F40" i="52"/>
  <c r="J40" i="52"/>
  <c r="P40" i="52"/>
  <c r="S40" i="52"/>
  <c r="G40" i="52"/>
  <c r="I40" i="52"/>
  <c r="E21" i="59"/>
  <c r="F21" i="59"/>
  <c r="J21" i="59"/>
  <c r="P21" i="59"/>
  <c r="S21" i="59"/>
  <c r="G21" i="59"/>
  <c r="I21" i="59"/>
  <c r="E31" i="61"/>
  <c r="F31" i="61"/>
  <c r="J31" i="61"/>
  <c r="P31" i="61"/>
  <c r="S31" i="61"/>
  <c r="G31" i="61"/>
  <c r="I31" i="61"/>
  <c r="E55" i="61"/>
  <c r="F55" i="61"/>
  <c r="J55" i="61"/>
  <c r="P55" i="61"/>
  <c r="S55" i="61"/>
  <c r="G55" i="61"/>
  <c r="I55" i="61"/>
  <c r="E49" i="61"/>
  <c r="F49" i="61"/>
  <c r="J49" i="61"/>
  <c r="P49" i="61"/>
  <c r="S49" i="61"/>
  <c r="G49" i="61"/>
  <c r="I49" i="61"/>
  <c r="E30" i="61"/>
  <c r="F30" i="61"/>
  <c r="J30" i="61"/>
  <c r="P30" i="61"/>
  <c r="S30" i="61"/>
  <c r="E52" i="61"/>
  <c r="F52" i="61"/>
  <c r="J52" i="61"/>
  <c r="P52" i="61"/>
  <c r="S52" i="61"/>
  <c r="G52" i="61"/>
  <c r="I52" i="61"/>
  <c r="E23" i="61"/>
  <c r="F23" i="61"/>
  <c r="J23" i="61"/>
  <c r="P23" i="61"/>
  <c r="S23" i="61"/>
  <c r="G23" i="61"/>
  <c r="I23" i="61"/>
  <c r="E28" i="59"/>
  <c r="F28" i="59"/>
  <c r="J28" i="59"/>
  <c r="P28" i="59"/>
  <c r="S28" i="59"/>
  <c r="G28" i="59"/>
  <c r="I28" i="59"/>
  <c r="E36" i="59"/>
  <c r="F36" i="59"/>
  <c r="J36" i="59"/>
  <c r="P36" i="59"/>
  <c r="S36" i="59"/>
  <c r="E52" i="59"/>
  <c r="F52" i="59"/>
  <c r="J52" i="59"/>
  <c r="P52" i="59"/>
  <c r="S52" i="59"/>
  <c r="G52" i="59"/>
  <c r="I52" i="59"/>
  <c r="E20" i="57"/>
  <c r="F20" i="57"/>
  <c r="J20" i="57"/>
  <c r="P20" i="57"/>
  <c r="S20" i="57"/>
  <c r="G20" i="57"/>
  <c r="I20" i="57"/>
  <c r="E50" i="57"/>
  <c r="F50" i="57"/>
  <c r="J50" i="57"/>
  <c r="P50" i="57"/>
  <c r="S50" i="57"/>
  <c r="E27" i="57"/>
  <c r="F27" i="57"/>
  <c r="J27" i="57"/>
  <c r="P27" i="57"/>
  <c r="S27" i="57"/>
  <c r="G27" i="57"/>
  <c r="I27" i="57"/>
  <c r="E52" i="57"/>
  <c r="F52" i="57"/>
  <c r="J52" i="57"/>
  <c r="P52" i="57"/>
  <c r="S52" i="57"/>
  <c r="G52" i="57"/>
  <c r="I52" i="57"/>
  <c r="E12" i="57"/>
  <c r="F12" i="57"/>
  <c r="J12" i="57"/>
  <c r="P12" i="57"/>
  <c r="S12" i="57"/>
  <c r="G12" i="57"/>
  <c r="I12" i="57"/>
  <c r="E43" i="57"/>
  <c r="F43" i="57"/>
  <c r="J43" i="57"/>
  <c r="P43" i="57"/>
  <c r="G43" i="57"/>
  <c r="I43" i="57"/>
  <c r="E29" i="57"/>
  <c r="F29" i="57"/>
  <c r="J29" i="57"/>
  <c r="P29" i="57"/>
  <c r="S29" i="57"/>
  <c r="G29" i="57"/>
  <c r="I29" i="57"/>
  <c r="E40" i="57"/>
  <c r="F40" i="57"/>
  <c r="J40" i="57"/>
  <c r="P40" i="57"/>
  <c r="S40" i="57"/>
  <c r="G40" i="57"/>
  <c r="I40" i="57"/>
  <c r="E14" i="57"/>
  <c r="F14" i="57"/>
  <c r="J14" i="57"/>
  <c r="P14" i="57"/>
  <c r="S14" i="57"/>
  <c r="J52" i="56"/>
  <c r="P52" i="56"/>
  <c r="S52" i="56"/>
  <c r="I52" i="56"/>
  <c r="J43" i="55"/>
  <c r="P43" i="55"/>
  <c r="S43" i="55"/>
  <c r="I43" i="55"/>
  <c r="E17" i="53"/>
  <c r="F17" i="53"/>
  <c r="J17" i="53"/>
  <c r="P17" i="53"/>
  <c r="S17" i="53"/>
  <c r="G17" i="53"/>
  <c r="I17" i="53"/>
  <c r="E31" i="53"/>
  <c r="F31" i="53"/>
  <c r="J31" i="53"/>
  <c r="P31" i="53"/>
  <c r="S31" i="53"/>
  <c r="E8" i="53"/>
  <c r="F8" i="53"/>
  <c r="J8" i="53"/>
  <c r="P8" i="53"/>
  <c r="S8" i="53"/>
  <c r="G8" i="53"/>
  <c r="I8" i="53"/>
  <c r="E56" i="52"/>
  <c r="F56" i="52"/>
  <c r="J56" i="52"/>
  <c r="P56" i="52"/>
  <c r="S56" i="52"/>
  <c r="E33" i="52"/>
  <c r="F33" i="52"/>
  <c r="J33" i="52"/>
  <c r="P33" i="52"/>
  <c r="S33" i="52"/>
  <c r="G33" i="52"/>
  <c r="I33" i="52"/>
  <c r="G31" i="52"/>
  <c r="I31" i="52"/>
  <c r="E31" i="52"/>
  <c r="F31" i="52"/>
  <c r="J31" i="52"/>
  <c r="P31" i="52"/>
  <c r="E9" i="52"/>
  <c r="F9" i="52"/>
  <c r="J9" i="52"/>
  <c r="P9" i="52"/>
  <c r="S9" i="52"/>
  <c r="G9" i="52"/>
  <c r="I9" i="52"/>
  <c r="E37" i="54"/>
  <c r="F37" i="54"/>
  <c r="J37" i="54"/>
  <c r="P37" i="54"/>
  <c r="E31" i="60"/>
  <c r="F31" i="60"/>
  <c r="J31" i="60"/>
  <c r="P31" i="60"/>
  <c r="S31" i="60"/>
  <c r="G31" i="60"/>
  <c r="I31" i="60"/>
  <c r="E28" i="60"/>
  <c r="F28" i="60"/>
  <c r="J28" i="60"/>
  <c r="P28" i="60"/>
  <c r="S28" i="60"/>
  <c r="E55" i="60"/>
  <c r="F55" i="60"/>
  <c r="J55" i="60"/>
  <c r="P55" i="60"/>
  <c r="S55" i="60"/>
  <c r="G55" i="60"/>
  <c r="I55" i="60"/>
  <c r="E16" i="60"/>
  <c r="F16" i="60"/>
  <c r="J16" i="60"/>
  <c r="P16" i="60"/>
  <c r="S16" i="60"/>
  <c r="E20" i="60"/>
  <c r="F20" i="60"/>
  <c r="J20" i="60"/>
  <c r="P20" i="60"/>
  <c r="S20" i="60"/>
  <c r="G20" i="60"/>
  <c r="I20" i="60"/>
  <c r="E56" i="60"/>
  <c r="F56" i="60"/>
  <c r="J56" i="60"/>
  <c r="P56" i="60"/>
  <c r="S56" i="60"/>
  <c r="E45" i="60"/>
  <c r="F45" i="60"/>
  <c r="J45" i="60"/>
  <c r="P45" i="60"/>
  <c r="S45" i="60"/>
  <c r="G45" i="60"/>
  <c r="I45" i="60"/>
  <c r="E32" i="60"/>
  <c r="F32" i="60"/>
  <c r="J32" i="60"/>
  <c r="P32" i="60"/>
  <c r="S32" i="60"/>
  <c r="E47" i="60"/>
  <c r="F47" i="60"/>
  <c r="J47" i="60"/>
  <c r="P47" i="60"/>
  <c r="S47" i="60"/>
  <c r="J31" i="59"/>
  <c r="P31" i="59"/>
  <c r="S31" i="59"/>
  <c r="I31" i="59"/>
  <c r="E42" i="58"/>
  <c r="F42" i="58"/>
  <c r="J42" i="58"/>
  <c r="P42" i="58"/>
  <c r="S42" i="58"/>
  <c r="G42" i="58"/>
  <c r="I42" i="58"/>
  <c r="E28" i="58"/>
  <c r="F28" i="58"/>
  <c r="J28" i="58"/>
  <c r="P28" i="58"/>
  <c r="S28" i="58"/>
  <c r="E25" i="56"/>
  <c r="F25" i="56"/>
  <c r="J25" i="56"/>
  <c r="P25" i="56"/>
  <c r="G25" i="56"/>
  <c r="I25" i="56"/>
  <c r="E37" i="56"/>
  <c r="F37" i="56"/>
  <c r="J37" i="56"/>
  <c r="P37" i="56"/>
  <c r="S37" i="56"/>
  <c r="E28" i="56"/>
  <c r="F28" i="56"/>
  <c r="J28" i="56"/>
  <c r="P28" i="56"/>
  <c r="S28" i="56"/>
  <c r="G28" i="56"/>
  <c r="I28" i="56"/>
  <c r="G48" i="56"/>
  <c r="I48" i="56"/>
  <c r="E48" i="56"/>
  <c r="F48" i="56"/>
  <c r="J48" i="56"/>
  <c r="P48" i="56"/>
  <c r="S48" i="56"/>
  <c r="E19" i="56"/>
  <c r="F19" i="56"/>
  <c r="J19" i="56"/>
  <c r="P19" i="56"/>
  <c r="S19" i="56"/>
  <c r="G19" i="56"/>
  <c r="I19" i="56"/>
  <c r="E51" i="56"/>
  <c r="F51" i="56"/>
  <c r="J51" i="56"/>
  <c r="P51" i="56"/>
  <c r="S51" i="56"/>
  <c r="E34" i="55"/>
  <c r="F34" i="55"/>
  <c r="J34" i="55"/>
  <c r="P34" i="55"/>
  <c r="S34" i="55"/>
  <c r="G34" i="55"/>
  <c r="I34" i="55"/>
  <c r="E17" i="55"/>
  <c r="F17" i="55"/>
  <c r="J17" i="55"/>
  <c r="P17" i="55"/>
  <c r="S17" i="55"/>
  <c r="E11" i="55"/>
  <c r="F11" i="55"/>
  <c r="J11" i="55"/>
  <c r="P11" i="55"/>
  <c r="S11" i="55"/>
  <c r="G11" i="55"/>
  <c r="I11" i="55"/>
  <c r="E51" i="55"/>
  <c r="F51" i="55"/>
  <c r="J51" i="55"/>
  <c r="P51" i="55"/>
  <c r="S51" i="55"/>
  <c r="E37" i="55"/>
  <c r="F37" i="55"/>
  <c r="J37" i="55"/>
  <c r="P37" i="55"/>
  <c r="S37" i="55"/>
  <c r="G37" i="55"/>
  <c r="I37" i="55"/>
  <c r="E24" i="55"/>
  <c r="F24" i="55"/>
  <c r="J24" i="55"/>
  <c r="P24" i="55"/>
  <c r="E14" i="55"/>
  <c r="F14" i="55"/>
  <c r="J14" i="55"/>
  <c r="P14" i="55"/>
  <c r="S14" i="55"/>
  <c r="G14" i="55"/>
  <c r="I14" i="55"/>
  <c r="E27" i="55"/>
  <c r="F27" i="55"/>
  <c r="J27" i="55"/>
  <c r="P27" i="55"/>
  <c r="S27" i="55"/>
  <c r="E13" i="55"/>
  <c r="F13" i="55"/>
  <c r="J13" i="55"/>
  <c r="P13" i="55"/>
  <c r="S13" i="55"/>
  <c r="G13" i="55"/>
  <c r="I13" i="55"/>
  <c r="E48" i="54"/>
  <c r="F48" i="54"/>
  <c r="J48" i="54"/>
  <c r="P48" i="54"/>
  <c r="J40" i="53"/>
  <c r="P40" i="53"/>
  <c r="S40" i="53"/>
  <c r="I40" i="53"/>
  <c r="H7" i="54"/>
  <c r="J7" i="53"/>
  <c r="P7" i="53"/>
  <c r="S7" i="53"/>
  <c r="I7" i="53"/>
  <c r="I25" i="52"/>
  <c r="J25" i="52"/>
  <c r="P25" i="52"/>
  <c r="S25" i="52"/>
  <c r="E26" i="1"/>
  <c r="F26" i="1"/>
  <c r="J26" i="1"/>
  <c r="G26" i="1"/>
  <c r="I26" i="1"/>
  <c r="E8" i="1"/>
  <c r="F8" i="1"/>
  <c r="J8" i="1"/>
  <c r="E17" i="1"/>
  <c r="F17" i="1"/>
  <c r="J17" i="1"/>
  <c r="G17" i="1"/>
  <c r="I17" i="1"/>
  <c r="E53" i="1"/>
  <c r="F53" i="1"/>
  <c r="J53" i="1"/>
  <c r="E56" i="1"/>
  <c r="F56" i="1"/>
  <c r="J56" i="1"/>
  <c r="G56" i="1"/>
  <c r="I56" i="1"/>
  <c r="G43" i="1"/>
  <c r="I43" i="1"/>
  <c r="E43" i="1"/>
  <c r="F43" i="1"/>
  <c r="J43" i="1"/>
  <c r="E21" i="1"/>
  <c r="F21" i="1"/>
  <c r="J21" i="1"/>
  <c r="G21" i="1"/>
  <c r="I21" i="1"/>
  <c r="E34" i="1"/>
  <c r="F34" i="1"/>
  <c r="J34" i="1"/>
  <c r="E23" i="1"/>
  <c r="F23" i="1"/>
  <c r="J23" i="1"/>
  <c r="G23" i="1"/>
  <c r="I23" i="1"/>
  <c r="E11" i="1"/>
  <c r="F11" i="1"/>
  <c r="J11" i="1"/>
  <c r="J52" i="60"/>
  <c r="P52" i="60"/>
  <c r="S52" i="60"/>
  <c r="J55" i="53"/>
  <c r="P55" i="53"/>
  <c r="S55" i="53"/>
  <c r="J30" i="56"/>
  <c r="P30" i="56"/>
  <c r="S30" i="56"/>
  <c r="J31" i="1"/>
  <c r="J44" i="56"/>
  <c r="P44" i="56"/>
  <c r="J50" i="1"/>
  <c r="J50" i="56"/>
  <c r="P50" i="56"/>
  <c r="S50" i="56"/>
  <c r="J18" i="1"/>
  <c r="I42" i="55"/>
  <c r="I33" i="1"/>
  <c r="J13" i="60"/>
  <c r="Q12" i="59"/>
  <c r="S12" i="59"/>
  <c r="I12" i="58"/>
  <c r="I18" i="56"/>
  <c r="Q13" i="60"/>
  <c r="S13" i="60"/>
  <c r="I13" i="59"/>
  <c r="I28" i="1"/>
  <c r="I45" i="55"/>
  <c r="I47" i="56"/>
  <c r="S35" i="59"/>
  <c r="S15" i="57"/>
  <c r="E28" i="52"/>
  <c r="F28" i="52"/>
  <c r="J28" i="52"/>
  <c r="P28" i="52"/>
  <c r="S28" i="52"/>
  <c r="G28" i="52"/>
  <c r="I28" i="52"/>
  <c r="E27" i="53"/>
  <c r="F27" i="53"/>
  <c r="J27" i="53"/>
  <c r="P27" i="53"/>
  <c r="E19" i="53"/>
  <c r="F19" i="53"/>
  <c r="J19" i="53"/>
  <c r="P19" i="53"/>
  <c r="S19" i="53"/>
  <c r="G19" i="53"/>
  <c r="I19" i="53"/>
  <c r="E56" i="59"/>
  <c r="F56" i="59"/>
  <c r="J56" i="59"/>
  <c r="P56" i="59"/>
  <c r="S56" i="59"/>
  <c r="E19" i="54"/>
  <c r="F19" i="54"/>
  <c r="J19" i="54"/>
  <c r="P19" i="54"/>
  <c r="S19" i="54"/>
  <c r="G19" i="54"/>
  <c r="I19" i="54"/>
  <c r="E27" i="54"/>
  <c r="F27" i="54"/>
  <c r="J27" i="54"/>
  <c r="P27" i="54"/>
  <c r="S27" i="54"/>
  <c r="E44" i="54"/>
  <c r="F44" i="54"/>
  <c r="J44" i="54"/>
  <c r="P44" i="54"/>
  <c r="S44" i="54"/>
  <c r="G44" i="54"/>
  <c r="I44" i="54"/>
  <c r="E50" i="54"/>
  <c r="F50" i="54"/>
  <c r="J50" i="54"/>
  <c r="P50" i="54"/>
  <c r="E55" i="52"/>
  <c r="F55" i="52"/>
  <c r="J55" i="52"/>
  <c r="P55" i="52"/>
  <c r="S55" i="52"/>
  <c r="G55" i="52"/>
  <c r="I55" i="52"/>
  <c r="E19" i="61"/>
  <c r="F19" i="61"/>
  <c r="J19" i="61"/>
  <c r="P19" i="61"/>
  <c r="S19" i="61"/>
  <c r="E36" i="61"/>
  <c r="F36" i="61"/>
  <c r="J36" i="61"/>
  <c r="P36" i="61"/>
  <c r="S36" i="61"/>
  <c r="G36" i="61"/>
  <c r="I36" i="61"/>
  <c r="E53" i="61"/>
  <c r="F53" i="61"/>
  <c r="J53" i="61"/>
  <c r="P53" i="61"/>
  <c r="S53" i="61"/>
  <c r="E49" i="57"/>
  <c r="F49" i="57"/>
  <c r="J49" i="57"/>
  <c r="P49" i="57"/>
  <c r="G49" i="57"/>
  <c r="I49" i="57"/>
  <c r="C11" i="58"/>
  <c r="D11" i="58"/>
  <c r="D11" i="57"/>
  <c r="E56" i="57"/>
  <c r="F56" i="57"/>
  <c r="J56" i="57"/>
  <c r="P56" i="57"/>
  <c r="S56" i="57"/>
  <c r="G56" i="57"/>
  <c r="I56" i="57"/>
  <c r="E16" i="57"/>
  <c r="F16" i="57"/>
  <c r="J16" i="57"/>
  <c r="P16" i="57"/>
  <c r="S16" i="57"/>
  <c r="E46" i="53"/>
  <c r="F46" i="53"/>
  <c r="J46" i="53"/>
  <c r="P46" i="53"/>
  <c r="S46" i="53"/>
  <c r="G46" i="53"/>
  <c r="I46" i="53"/>
  <c r="E19" i="52"/>
  <c r="F19" i="52"/>
  <c r="J19" i="52"/>
  <c r="P19" i="52"/>
  <c r="S19" i="52"/>
  <c r="E54" i="52"/>
  <c r="F54" i="52"/>
  <c r="J54" i="52"/>
  <c r="P54" i="52"/>
  <c r="S54" i="52"/>
  <c r="G54" i="52"/>
  <c r="I54" i="52"/>
  <c r="E18" i="60"/>
  <c r="F18" i="60"/>
  <c r="J18" i="60"/>
  <c r="P18" i="60"/>
  <c r="S18" i="60"/>
  <c r="E19" i="60"/>
  <c r="F19" i="60"/>
  <c r="J19" i="60"/>
  <c r="P19" i="60"/>
  <c r="S19" i="60"/>
  <c r="G19" i="60"/>
  <c r="I19" i="60"/>
  <c r="E27" i="60"/>
  <c r="F27" i="60"/>
  <c r="J27" i="60"/>
  <c r="P27" i="60"/>
  <c r="S27" i="60"/>
  <c r="E32" i="56"/>
  <c r="F32" i="56"/>
  <c r="J32" i="56"/>
  <c r="P32" i="56"/>
  <c r="G32" i="56"/>
  <c r="I32" i="56"/>
  <c r="E53" i="56"/>
  <c r="F53" i="56"/>
  <c r="J53" i="56"/>
  <c r="P53" i="56"/>
  <c r="E32" i="55"/>
  <c r="F32" i="55"/>
  <c r="J32" i="55"/>
  <c r="P32" i="55"/>
  <c r="S32" i="55"/>
  <c r="G32" i="55"/>
  <c r="I32" i="55"/>
  <c r="E16" i="55"/>
  <c r="F16" i="55"/>
  <c r="J16" i="55"/>
  <c r="P16" i="55"/>
  <c r="S16" i="55"/>
  <c r="E40" i="55"/>
  <c r="F40" i="55"/>
  <c r="J40" i="55"/>
  <c r="P40" i="55"/>
  <c r="S40" i="55"/>
  <c r="G40" i="55"/>
  <c r="I40" i="55"/>
  <c r="E38" i="1"/>
  <c r="F38" i="1"/>
  <c r="J38" i="1"/>
  <c r="E47" i="1"/>
  <c r="F47" i="1"/>
  <c r="J47" i="1"/>
  <c r="G47" i="1"/>
  <c r="I47" i="1"/>
  <c r="E13" i="1"/>
  <c r="F13" i="1"/>
  <c r="J13" i="1"/>
  <c r="J49" i="59"/>
  <c r="P49" i="59"/>
  <c r="S49" i="59"/>
  <c r="I54" i="60"/>
  <c r="S32" i="56"/>
  <c r="S44" i="56"/>
  <c r="S33" i="53"/>
  <c r="S37" i="54"/>
  <c r="S48" i="54"/>
  <c r="E20" i="52"/>
  <c r="F20" i="52"/>
  <c r="J20" i="52"/>
  <c r="P20" i="52"/>
  <c r="S20" i="52"/>
  <c r="G20" i="52"/>
  <c r="I20" i="52"/>
  <c r="E39" i="58"/>
  <c r="F39" i="58"/>
  <c r="J39" i="58"/>
  <c r="P39" i="58"/>
  <c r="S39" i="58"/>
  <c r="E50" i="53"/>
  <c r="F50" i="53"/>
  <c r="J50" i="53"/>
  <c r="P50" i="53"/>
  <c r="S50" i="53"/>
  <c r="G50" i="53"/>
  <c r="I50" i="53"/>
  <c r="E18" i="58"/>
  <c r="F18" i="58"/>
  <c r="J18" i="58"/>
  <c r="P18" i="58"/>
  <c r="S18" i="58"/>
  <c r="G18" i="58"/>
  <c r="I18" i="58"/>
  <c r="E50" i="59"/>
  <c r="F50" i="59"/>
  <c r="J50" i="59"/>
  <c r="P50" i="59"/>
  <c r="G50" i="59"/>
  <c r="I50" i="59"/>
  <c r="E34" i="53"/>
  <c r="F34" i="53"/>
  <c r="J34" i="53"/>
  <c r="P34" i="53"/>
  <c r="S34" i="53"/>
  <c r="G34" i="53"/>
  <c r="I34" i="53"/>
  <c r="E22" i="53"/>
  <c r="F22" i="53"/>
  <c r="J22" i="53"/>
  <c r="P22" i="53"/>
  <c r="S22" i="53"/>
  <c r="G22" i="53"/>
  <c r="I22" i="53"/>
  <c r="E41" i="53"/>
  <c r="F41" i="53"/>
  <c r="J41" i="53"/>
  <c r="P41" i="53"/>
  <c r="S41" i="53"/>
  <c r="G41" i="53"/>
  <c r="I41" i="53"/>
  <c r="E37" i="53"/>
  <c r="F37" i="53"/>
  <c r="J37" i="53"/>
  <c r="P37" i="53"/>
  <c r="G37" i="53"/>
  <c r="I37" i="53"/>
  <c r="E44" i="52"/>
  <c r="F44" i="52"/>
  <c r="J44" i="52"/>
  <c r="P44" i="52"/>
  <c r="S44" i="52"/>
  <c r="G44" i="52"/>
  <c r="I44" i="52"/>
  <c r="E54" i="59"/>
  <c r="F54" i="59"/>
  <c r="J54" i="59"/>
  <c r="P54" i="59"/>
  <c r="S54" i="59"/>
  <c r="E14" i="59"/>
  <c r="F14" i="59"/>
  <c r="J14" i="59"/>
  <c r="P14" i="59"/>
  <c r="S14" i="59"/>
  <c r="G14" i="59"/>
  <c r="I14" i="59"/>
  <c r="E25" i="59"/>
  <c r="F25" i="59"/>
  <c r="J25" i="59"/>
  <c r="P25" i="59"/>
  <c r="S25" i="59"/>
  <c r="E36" i="52"/>
  <c r="F36" i="52"/>
  <c r="J36" i="52"/>
  <c r="P36" i="52"/>
  <c r="S36" i="52"/>
  <c r="G36" i="52"/>
  <c r="I36" i="52"/>
  <c r="E39" i="54"/>
  <c r="F39" i="54"/>
  <c r="J39" i="54"/>
  <c r="P39" i="54"/>
  <c r="S39" i="54"/>
  <c r="E45" i="54"/>
  <c r="F45" i="54"/>
  <c r="J45" i="54"/>
  <c r="P45" i="54"/>
  <c r="S45" i="54"/>
  <c r="G45" i="54"/>
  <c r="I45" i="54"/>
  <c r="E39" i="53"/>
  <c r="F39" i="53"/>
  <c r="J39" i="53"/>
  <c r="P39" i="53"/>
  <c r="S39" i="53"/>
  <c r="E39" i="52"/>
  <c r="F39" i="52"/>
  <c r="J39" i="52"/>
  <c r="P39" i="52"/>
  <c r="S39" i="52"/>
  <c r="G39" i="52"/>
  <c r="I39" i="52"/>
  <c r="E17" i="54"/>
  <c r="F17" i="54"/>
  <c r="J17" i="54"/>
  <c r="P17" i="54"/>
  <c r="S17" i="54"/>
  <c r="E26" i="59"/>
  <c r="F26" i="59"/>
  <c r="J26" i="59"/>
  <c r="P26" i="59"/>
  <c r="S26" i="59"/>
  <c r="G26" i="59"/>
  <c r="I26" i="59"/>
  <c r="E55" i="58"/>
  <c r="F55" i="58"/>
  <c r="J55" i="58"/>
  <c r="P55" i="58"/>
  <c r="S55" i="58"/>
  <c r="E18" i="59"/>
  <c r="F18" i="59"/>
  <c r="J18" i="59"/>
  <c r="P18" i="59"/>
  <c r="G18" i="59"/>
  <c r="I18" i="59"/>
  <c r="E26" i="58"/>
  <c r="F26" i="58"/>
  <c r="J26" i="58"/>
  <c r="P26" i="58"/>
  <c r="S26" i="58"/>
  <c r="E38" i="52"/>
  <c r="F38" i="52"/>
  <c r="J38" i="52"/>
  <c r="P38" i="52"/>
  <c r="S38" i="52"/>
  <c r="G38" i="52"/>
  <c r="I38" i="52"/>
  <c r="E51" i="54"/>
  <c r="F51" i="54"/>
  <c r="J51" i="54"/>
  <c r="P51" i="54"/>
  <c r="S51" i="54"/>
  <c r="E53" i="59"/>
  <c r="F53" i="59"/>
  <c r="J53" i="59"/>
  <c r="P53" i="59"/>
  <c r="S53" i="59"/>
  <c r="G53" i="59"/>
  <c r="I53" i="59"/>
  <c r="E15" i="53"/>
  <c r="F15" i="53"/>
  <c r="J15" i="53"/>
  <c r="P15" i="53"/>
  <c r="S15" i="53"/>
  <c r="E41" i="52"/>
  <c r="F41" i="52"/>
  <c r="J41" i="52"/>
  <c r="P41" i="52"/>
  <c r="S41" i="52"/>
  <c r="G41" i="52"/>
  <c r="I41" i="52"/>
  <c r="E12" i="54"/>
  <c r="F12" i="54"/>
  <c r="J12" i="54"/>
  <c r="P12" i="54"/>
  <c r="S12" i="54"/>
  <c r="E32" i="58"/>
  <c r="F32" i="58"/>
  <c r="J32" i="58"/>
  <c r="P32" i="58"/>
  <c r="S32" i="58"/>
  <c r="G32" i="58"/>
  <c r="I32" i="58"/>
  <c r="E48" i="61"/>
  <c r="F48" i="61"/>
  <c r="J48" i="61"/>
  <c r="P48" i="61"/>
  <c r="S48" i="61"/>
  <c r="E40" i="61"/>
  <c r="F40" i="61"/>
  <c r="J40" i="61"/>
  <c r="P40" i="61"/>
  <c r="S40" i="61"/>
  <c r="G40" i="61"/>
  <c r="I40" i="61"/>
  <c r="E27" i="61"/>
  <c r="F27" i="61"/>
  <c r="J27" i="61"/>
  <c r="P27" i="61"/>
  <c r="S27" i="61"/>
  <c r="E38" i="61"/>
  <c r="F38" i="61"/>
  <c r="J38" i="61"/>
  <c r="P38" i="61"/>
  <c r="S38" i="61"/>
  <c r="G38" i="61"/>
  <c r="I38" i="61"/>
  <c r="E54" i="61"/>
  <c r="F54" i="61"/>
  <c r="J54" i="61"/>
  <c r="P54" i="61"/>
  <c r="S54" i="61"/>
  <c r="E45" i="61"/>
  <c r="F45" i="61"/>
  <c r="J45" i="61"/>
  <c r="P45" i="61"/>
  <c r="S45" i="61"/>
  <c r="G45" i="61"/>
  <c r="I45" i="61"/>
  <c r="E27" i="59"/>
  <c r="F27" i="59"/>
  <c r="J27" i="59"/>
  <c r="P27" i="59"/>
  <c r="E39" i="59"/>
  <c r="F39" i="59"/>
  <c r="J39" i="59"/>
  <c r="P39" i="59"/>
  <c r="S39" i="59"/>
  <c r="G39" i="59"/>
  <c r="I39" i="59"/>
  <c r="E41" i="59"/>
  <c r="F41" i="59"/>
  <c r="J41" i="59"/>
  <c r="P41" i="59"/>
  <c r="S41" i="59"/>
  <c r="E44" i="57"/>
  <c r="F44" i="57"/>
  <c r="J44" i="57"/>
  <c r="P44" i="57"/>
  <c r="G44" i="57"/>
  <c r="I44" i="57"/>
  <c r="E51" i="57"/>
  <c r="F51" i="57"/>
  <c r="J51" i="57"/>
  <c r="P51" i="57"/>
  <c r="E48" i="57"/>
  <c r="F48" i="57"/>
  <c r="J48" i="57"/>
  <c r="P48" i="57"/>
  <c r="S48" i="57"/>
  <c r="G48" i="57"/>
  <c r="I48" i="57"/>
  <c r="E39" i="57"/>
  <c r="F39" i="57"/>
  <c r="J39" i="57"/>
  <c r="P39" i="57"/>
  <c r="S39" i="57"/>
  <c r="E36" i="57"/>
  <c r="F36" i="57"/>
  <c r="J36" i="57"/>
  <c r="P36" i="57"/>
  <c r="S36" i="57"/>
  <c r="G36" i="57"/>
  <c r="I36" i="57"/>
  <c r="E23" i="57"/>
  <c r="F23" i="57"/>
  <c r="J23" i="57"/>
  <c r="P23" i="57"/>
  <c r="S23" i="57"/>
  <c r="E25" i="57"/>
  <c r="F25" i="57"/>
  <c r="J25" i="57"/>
  <c r="P25" i="57"/>
  <c r="S25" i="57"/>
  <c r="G25" i="57"/>
  <c r="I25" i="57"/>
  <c r="E47" i="57"/>
  <c r="F47" i="57"/>
  <c r="J47" i="57"/>
  <c r="P47" i="57"/>
  <c r="E17" i="57"/>
  <c r="F17" i="57"/>
  <c r="J17" i="57"/>
  <c r="P17" i="57"/>
  <c r="S17" i="57"/>
  <c r="G17" i="57"/>
  <c r="I17" i="57"/>
  <c r="E31" i="57"/>
  <c r="F31" i="57"/>
  <c r="J31" i="57"/>
  <c r="P31" i="57"/>
  <c r="S31" i="57"/>
  <c r="J39" i="55"/>
  <c r="P39" i="55"/>
  <c r="S39" i="55"/>
  <c r="I39" i="55"/>
  <c r="E49" i="53"/>
  <c r="F49" i="53"/>
  <c r="J49" i="53"/>
  <c r="P49" i="53"/>
  <c r="S49" i="53"/>
  <c r="E29" i="53"/>
  <c r="F29" i="53"/>
  <c r="J29" i="53"/>
  <c r="P29" i="53"/>
  <c r="S29" i="53"/>
  <c r="G29" i="53"/>
  <c r="I29" i="53"/>
  <c r="E28" i="53"/>
  <c r="F28" i="53"/>
  <c r="J28" i="53"/>
  <c r="P28" i="53"/>
  <c r="S28" i="53"/>
  <c r="E32" i="52"/>
  <c r="F32" i="52"/>
  <c r="J32" i="52"/>
  <c r="P32" i="52"/>
  <c r="S32" i="52"/>
  <c r="G32" i="52"/>
  <c r="I32" i="52"/>
  <c r="E30" i="52"/>
  <c r="F30" i="52"/>
  <c r="J30" i="52"/>
  <c r="P30" i="52"/>
  <c r="S30" i="52"/>
  <c r="E49" i="52"/>
  <c r="F49" i="52"/>
  <c r="J49" i="52"/>
  <c r="P49" i="52"/>
  <c r="S49" i="52"/>
  <c r="G49" i="52"/>
  <c r="I49" i="52"/>
  <c r="J24" i="1"/>
  <c r="I24" i="1"/>
  <c r="E34" i="60"/>
  <c r="F34" i="60"/>
  <c r="J34" i="60"/>
  <c r="P34" i="60"/>
  <c r="S34" i="60"/>
  <c r="G34" i="60"/>
  <c r="I34" i="60"/>
  <c r="E42" i="60"/>
  <c r="F42" i="60"/>
  <c r="J42" i="60"/>
  <c r="P42" i="60"/>
  <c r="S42" i="60"/>
  <c r="E44" i="60"/>
  <c r="F44" i="60"/>
  <c r="J44" i="60"/>
  <c r="P44" i="60"/>
  <c r="S44" i="60"/>
  <c r="G44" i="60"/>
  <c r="I44" i="60"/>
  <c r="E43" i="60"/>
  <c r="F43" i="60"/>
  <c r="J43" i="60"/>
  <c r="P43" i="60"/>
  <c r="S43" i="60"/>
  <c r="E15" i="60"/>
  <c r="F15" i="60"/>
  <c r="J15" i="60"/>
  <c r="P15" i="60"/>
  <c r="S15" i="60"/>
  <c r="G15" i="60"/>
  <c r="I15" i="60"/>
  <c r="E48" i="60"/>
  <c r="F48" i="60"/>
  <c r="J48" i="60"/>
  <c r="P48" i="60"/>
  <c r="S48" i="60"/>
  <c r="E26" i="60"/>
  <c r="F26" i="60"/>
  <c r="J26" i="60"/>
  <c r="P26" i="60"/>
  <c r="S26" i="60"/>
  <c r="G26" i="60"/>
  <c r="I26" i="60"/>
  <c r="E35" i="60"/>
  <c r="F35" i="60"/>
  <c r="J35" i="60"/>
  <c r="P35" i="60"/>
  <c r="S35" i="60"/>
  <c r="E36" i="60"/>
  <c r="F36" i="60"/>
  <c r="J36" i="60"/>
  <c r="P36" i="60"/>
  <c r="S36" i="60"/>
  <c r="G36" i="60"/>
  <c r="I36" i="60"/>
  <c r="J22" i="59"/>
  <c r="P22" i="59"/>
  <c r="S22" i="59"/>
  <c r="I22" i="59"/>
  <c r="E45" i="58"/>
  <c r="F45" i="58"/>
  <c r="J45" i="58"/>
  <c r="P45" i="58"/>
  <c r="S45" i="58"/>
  <c r="G45" i="58"/>
  <c r="I45" i="58"/>
  <c r="E43" i="58"/>
  <c r="F43" i="58"/>
  <c r="J43" i="58"/>
  <c r="P43" i="58"/>
  <c r="E33" i="56"/>
  <c r="F33" i="56"/>
  <c r="J33" i="56"/>
  <c r="P33" i="56"/>
  <c r="S33" i="56"/>
  <c r="G33" i="56"/>
  <c r="I33" i="56"/>
  <c r="E40" i="56"/>
  <c r="F40" i="56"/>
  <c r="J40" i="56"/>
  <c r="P40" i="56"/>
  <c r="S40" i="56"/>
  <c r="E16" i="56"/>
  <c r="F16" i="56"/>
  <c r="J16" i="56"/>
  <c r="P16" i="56"/>
  <c r="S16" i="56"/>
  <c r="G16" i="56"/>
  <c r="I16" i="56"/>
  <c r="E31" i="56"/>
  <c r="F31" i="56"/>
  <c r="J31" i="56"/>
  <c r="P31" i="56"/>
  <c r="S31" i="56"/>
  <c r="E34" i="56"/>
  <c r="F34" i="56"/>
  <c r="J34" i="56"/>
  <c r="P34" i="56"/>
  <c r="G34" i="56"/>
  <c r="I34" i="56"/>
  <c r="G39" i="56"/>
  <c r="I39" i="56"/>
  <c r="E39" i="56"/>
  <c r="F39" i="56"/>
  <c r="J39" i="56"/>
  <c r="P39" i="56"/>
  <c r="S39" i="56"/>
  <c r="E41" i="56"/>
  <c r="F41" i="56"/>
  <c r="J41" i="56"/>
  <c r="P41" i="56"/>
  <c r="S41" i="56"/>
  <c r="G41" i="56"/>
  <c r="I41" i="56"/>
  <c r="E31" i="55"/>
  <c r="F31" i="55"/>
  <c r="J31" i="55"/>
  <c r="P31" i="55"/>
  <c r="S31" i="55"/>
  <c r="E25" i="55"/>
  <c r="F25" i="55"/>
  <c r="J25" i="55"/>
  <c r="P25" i="55"/>
  <c r="S25" i="55"/>
  <c r="G25" i="55"/>
  <c r="I25" i="55"/>
  <c r="E56" i="55"/>
  <c r="F56" i="55"/>
  <c r="J56" i="55"/>
  <c r="P56" i="55"/>
  <c r="S56" i="55"/>
  <c r="E53" i="55"/>
  <c r="F53" i="55"/>
  <c r="J53" i="55"/>
  <c r="P53" i="55"/>
  <c r="S53" i="55"/>
  <c r="G53" i="55"/>
  <c r="I53" i="55"/>
  <c r="D9" i="55"/>
  <c r="C9" i="56"/>
  <c r="D9" i="56"/>
  <c r="E47" i="55"/>
  <c r="F47" i="55"/>
  <c r="J47" i="55"/>
  <c r="P47" i="55"/>
  <c r="S47" i="55"/>
  <c r="G47" i="55"/>
  <c r="I47" i="55"/>
  <c r="E18" i="55"/>
  <c r="F18" i="55"/>
  <c r="J18" i="55"/>
  <c r="P18" i="55"/>
  <c r="S18" i="55"/>
  <c r="E48" i="55"/>
  <c r="F48" i="55"/>
  <c r="J48" i="55"/>
  <c r="P48" i="55"/>
  <c r="G48" i="55"/>
  <c r="I48" i="55"/>
  <c r="E11" i="54"/>
  <c r="F11" i="54"/>
  <c r="J11" i="54"/>
  <c r="P11" i="54"/>
  <c r="S11" i="54"/>
  <c r="E15" i="1"/>
  <c r="F15" i="1"/>
  <c r="J15" i="1"/>
  <c r="G15" i="1"/>
  <c r="I15" i="1"/>
  <c r="E51" i="1"/>
  <c r="F51" i="1"/>
  <c r="J51" i="1"/>
  <c r="E35" i="1"/>
  <c r="F35" i="1"/>
  <c r="J35" i="1"/>
  <c r="G35" i="1"/>
  <c r="I35" i="1"/>
  <c r="G37" i="1"/>
  <c r="I37" i="1"/>
  <c r="E37" i="1"/>
  <c r="F37" i="1"/>
  <c r="J37" i="1"/>
  <c r="E14" i="1"/>
  <c r="F14" i="1"/>
  <c r="J14" i="1"/>
  <c r="G14" i="1"/>
  <c r="I14" i="1"/>
  <c r="E20" i="1"/>
  <c r="F20" i="1"/>
  <c r="J20" i="1"/>
  <c r="E52" i="1"/>
  <c r="F52" i="1"/>
  <c r="J52" i="1"/>
  <c r="G52" i="1"/>
  <c r="I52" i="1"/>
  <c r="E42" i="1"/>
  <c r="F42" i="1"/>
  <c r="J42" i="1"/>
  <c r="E45" i="1"/>
  <c r="F45" i="1"/>
  <c r="J45" i="1"/>
  <c r="G45" i="1"/>
  <c r="I45" i="1"/>
  <c r="J37" i="59"/>
  <c r="P37" i="59"/>
  <c r="S37" i="59"/>
  <c r="J23" i="59"/>
  <c r="P23" i="59"/>
  <c r="S23" i="59"/>
  <c r="J53" i="52"/>
  <c r="P53" i="52"/>
  <c r="S53" i="52"/>
  <c r="J49" i="60"/>
  <c r="P49" i="60"/>
  <c r="S49" i="60"/>
  <c r="I51" i="52"/>
  <c r="J19" i="55"/>
  <c r="P19" i="55"/>
  <c r="S19" i="55"/>
  <c r="I29" i="60"/>
  <c r="J50" i="60"/>
  <c r="P50" i="60"/>
  <c r="S50" i="60"/>
  <c r="J55" i="55"/>
  <c r="P55" i="55"/>
  <c r="S55" i="55"/>
  <c r="J54" i="56"/>
  <c r="P54" i="56"/>
  <c r="S54" i="56"/>
  <c r="J47" i="52"/>
  <c r="P47" i="52"/>
  <c r="S47" i="52"/>
  <c r="I35" i="56"/>
  <c r="I10" i="53"/>
  <c r="Q6" i="53"/>
  <c r="S6" i="53"/>
  <c r="I6" i="52"/>
  <c r="S53" i="56"/>
  <c r="S31" i="52"/>
  <c r="S47" i="57"/>
  <c r="S50" i="59"/>
  <c r="E9" i="53"/>
  <c r="F9" i="53"/>
  <c r="J9" i="53"/>
  <c r="P9" i="53"/>
  <c r="S9" i="53"/>
  <c r="G9" i="53"/>
  <c r="I9" i="53"/>
  <c r="E19" i="58"/>
  <c r="F19" i="58"/>
  <c r="J19" i="58"/>
  <c r="P19" i="58"/>
  <c r="S19" i="58"/>
  <c r="E53" i="58"/>
  <c r="F53" i="58"/>
  <c r="J53" i="58"/>
  <c r="P53" i="58"/>
  <c r="S53" i="58"/>
  <c r="G53" i="58"/>
  <c r="I53" i="58"/>
  <c r="E15" i="52"/>
  <c r="F15" i="52"/>
  <c r="J15" i="52"/>
  <c r="P15" i="52"/>
  <c r="S15" i="52"/>
  <c r="E16" i="58"/>
  <c r="F16" i="58"/>
  <c r="J16" i="58"/>
  <c r="P16" i="58"/>
  <c r="S16" i="58"/>
  <c r="G16" i="58"/>
  <c r="I16" i="58"/>
  <c r="E21" i="58"/>
  <c r="F21" i="58"/>
  <c r="J21" i="58"/>
  <c r="P21" i="58"/>
  <c r="S21" i="58"/>
  <c r="E13" i="58"/>
  <c r="F13" i="58"/>
  <c r="J13" i="58"/>
  <c r="P13" i="58"/>
  <c r="S13" i="58"/>
  <c r="G13" i="58"/>
  <c r="I13" i="58"/>
  <c r="E22" i="52"/>
  <c r="F22" i="52"/>
  <c r="J22" i="52"/>
  <c r="P22" i="52"/>
  <c r="S22" i="52"/>
  <c r="E46" i="59"/>
  <c r="F46" i="59"/>
  <c r="J46" i="59"/>
  <c r="P46" i="59"/>
  <c r="S46" i="59"/>
  <c r="G46" i="59"/>
  <c r="I46" i="59"/>
  <c r="E25" i="58"/>
  <c r="F25" i="58"/>
  <c r="J25" i="58"/>
  <c r="P25" i="58"/>
  <c r="E51" i="61"/>
  <c r="F51" i="61"/>
  <c r="J51" i="61"/>
  <c r="P51" i="61"/>
  <c r="S51" i="61"/>
  <c r="G51" i="61"/>
  <c r="I51" i="61"/>
  <c r="E46" i="61"/>
  <c r="F46" i="61"/>
  <c r="J46" i="61"/>
  <c r="P46" i="61"/>
  <c r="S46" i="61"/>
  <c r="E29" i="59"/>
  <c r="F29" i="59"/>
  <c r="J29" i="59"/>
  <c r="P29" i="59"/>
  <c r="S29" i="59"/>
  <c r="G29" i="59"/>
  <c r="I29" i="59"/>
  <c r="E19" i="57"/>
  <c r="F19" i="57"/>
  <c r="J19" i="57"/>
  <c r="P19" i="57"/>
  <c r="S19" i="57"/>
  <c r="E35" i="57"/>
  <c r="F35" i="57"/>
  <c r="J35" i="57"/>
  <c r="P35" i="57"/>
  <c r="S35" i="57"/>
  <c r="E35" i="53"/>
  <c r="F35" i="53"/>
  <c r="J35" i="53"/>
  <c r="P35" i="53"/>
  <c r="S35" i="53"/>
  <c r="E37" i="52"/>
  <c r="F37" i="52"/>
  <c r="J37" i="52"/>
  <c r="P37" i="52"/>
  <c r="S37" i="52"/>
  <c r="G37" i="52"/>
  <c r="I37" i="52"/>
  <c r="E41" i="60"/>
  <c r="F41" i="60"/>
  <c r="J41" i="60"/>
  <c r="P41" i="60"/>
  <c r="S41" i="60"/>
  <c r="E37" i="60"/>
  <c r="F37" i="60"/>
  <c r="J37" i="60"/>
  <c r="P37" i="60"/>
  <c r="S37" i="60"/>
  <c r="G37" i="60"/>
  <c r="I37" i="60"/>
  <c r="E30" i="60"/>
  <c r="F30" i="60"/>
  <c r="J30" i="60"/>
  <c r="P30" i="60"/>
  <c r="S30" i="60"/>
  <c r="E56" i="58"/>
  <c r="F56" i="58"/>
  <c r="J56" i="58"/>
  <c r="P56" i="58"/>
  <c r="S56" i="58"/>
  <c r="G56" i="58"/>
  <c r="I56" i="58"/>
  <c r="E14" i="56"/>
  <c r="F14" i="56"/>
  <c r="J14" i="56"/>
  <c r="P14" i="56"/>
  <c r="S14" i="56"/>
  <c r="E27" i="56"/>
  <c r="F27" i="56"/>
  <c r="J27" i="56"/>
  <c r="P27" i="56"/>
  <c r="S27" i="56"/>
  <c r="G27" i="56"/>
  <c r="I27" i="56"/>
  <c r="E23" i="55"/>
  <c r="F23" i="55"/>
  <c r="J23" i="55"/>
  <c r="P23" i="55"/>
  <c r="S23" i="55"/>
  <c r="E46" i="55"/>
  <c r="F46" i="55"/>
  <c r="J46" i="55"/>
  <c r="P46" i="55"/>
  <c r="S46" i="55"/>
  <c r="G46" i="55"/>
  <c r="I46" i="55"/>
  <c r="E20" i="55"/>
  <c r="F20" i="55"/>
  <c r="J20" i="55"/>
  <c r="P20" i="55"/>
  <c r="S20" i="55"/>
  <c r="E9" i="1"/>
  <c r="F9" i="1"/>
  <c r="J9" i="1"/>
  <c r="E36" i="1"/>
  <c r="F36" i="1"/>
  <c r="J36" i="1"/>
  <c r="E40" i="1"/>
  <c r="F40" i="1"/>
  <c r="J40" i="1"/>
  <c r="G40" i="1"/>
  <c r="I40" i="1"/>
  <c r="I38" i="53"/>
  <c r="J29" i="1"/>
  <c r="S49" i="57"/>
  <c r="S34" i="56"/>
  <c r="S51" i="57"/>
  <c r="S38" i="53"/>
  <c r="S44" i="57"/>
  <c r="S37" i="53"/>
  <c r="S25" i="56"/>
  <c r="S24" i="55"/>
  <c r="S48" i="55"/>
  <c r="E43" i="59"/>
  <c r="F43" i="59"/>
  <c r="J43" i="59"/>
  <c r="P43" i="59"/>
  <c r="S43" i="59"/>
  <c r="G43" i="59"/>
  <c r="I43" i="59"/>
  <c r="E36" i="53"/>
  <c r="F36" i="53"/>
  <c r="J36" i="53"/>
  <c r="P36" i="53"/>
  <c r="S36" i="53"/>
  <c r="E16" i="53"/>
  <c r="F16" i="53"/>
  <c r="J16" i="53"/>
  <c r="P16" i="53"/>
  <c r="S16" i="53"/>
  <c r="G16" i="53"/>
  <c r="I16" i="53"/>
  <c r="G29" i="52"/>
  <c r="I29" i="52"/>
  <c r="E29" i="52"/>
  <c r="F29" i="52"/>
  <c r="J29" i="52"/>
  <c r="P29" i="52"/>
  <c r="S29" i="52"/>
  <c r="E44" i="59"/>
  <c r="F44" i="59"/>
  <c r="J44" i="59"/>
  <c r="P44" i="59"/>
  <c r="S44" i="59"/>
  <c r="G44" i="59"/>
  <c r="I44" i="59"/>
  <c r="E13" i="53"/>
  <c r="F13" i="53"/>
  <c r="J13" i="53"/>
  <c r="P13" i="53"/>
  <c r="S13" i="53"/>
  <c r="E34" i="52"/>
  <c r="F34" i="52"/>
  <c r="J34" i="52"/>
  <c r="P34" i="52"/>
  <c r="S34" i="52"/>
  <c r="E30" i="53"/>
  <c r="F30" i="53"/>
  <c r="J30" i="53"/>
  <c r="P30" i="53"/>
  <c r="S30" i="53"/>
  <c r="E44" i="53"/>
  <c r="F44" i="53"/>
  <c r="J44" i="53"/>
  <c r="P44" i="53"/>
  <c r="S44" i="53"/>
  <c r="G44" i="53"/>
  <c r="I44" i="53"/>
  <c r="E16" i="59"/>
  <c r="F16" i="59"/>
  <c r="J16" i="59"/>
  <c r="P16" i="59"/>
  <c r="S16" i="59"/>
  <c r="E42" i="52"/>
  <c r="F42" i="52"/>
  <c r="J42" i="52"/>
  <c r="P42" i="52"/>
  <c r="S42" i="52"/>
  <c r="G42" i="52"/>
  <c r="I42" i="52"/>
  <c r="E54" i="53"/>
  <c r="F54" i="53"/>
  <c r="J54" i="53"/>
  <c r="P54" i="53"/>
  <c r="S54" i="53"/>
  <c r="E20" i="58"/>
  <c r="F20" i="58"/>
  <c r="J20" i="58"/>
  <c r="P20" i="58"/>
  <c r="S20" i="58"/>
  <c r="G20" i="58"/>
  <c r="I20" i="58"/>
  <c r="E23" i="53"/>
  <c r="F23" i="53"/>
  <c r="J23" i="53"/>
  <c r="P23" i="53"/>
  <c r="S23" i="53"/>
  <c r="E40" i="58"/>
  <c r="F40" i="58"/>
  <c r="J40" i="58"/>
  <c r="P40" i="58"/>
  <c r="S40" i="58"/>
  <c r="G40" i="58"/>
  <c r="I40" i="58"/>
  <c r="E18" i="52"/>
  <c r="F18" i="52"/>
  <c r="J18" i="52"/>
  <c r="P18" i="52"/>
  <c r="S18" i="52"/>
  <c r="E35" i="54"/>
  <c r="F35" i="54"/>
  <c r="J35" i="54"/>
  <c r="P35" i="54"/>
  <c r="S35" i="54"/>
  <c r="G35" i="54"/>
  <c r="I35" i="54"/>
  <c r="E17" i="58"/>
  <c r="F17" i="58"/>
  <c r="J17" i="58"/>
  <c r="P17" i="58"/>
  <c r="S17" i="58"/>
  <c r="E14" i="53"/>
  <c r="F14" i="53"/>
  <c r="J14" i="53"/>
  <c r="P14" i="53"/>
  <c r="S14" i="53"/>
  <c r="G14" i="53"/>
  <c r="I14" i="53"/>
  <c r="E26" i="52"/>
  <c r="F26" i="52"/>
  <c r="J26" i="52"/>
  <c r="P26" i="52"/>
  <c r="S26" i="52"/>
  <c r="E16" i="54"/>
  <c r="F16" i="54"/>
  <c r="J16" i="54"/>
  <c r="P16" i="54"/>
  <c r="S16" i="54"/>
  <c r="G16" i="54"/>
  <c r="I16" i="54"/>
  <c r="E29" i="58"/>
  <c r="F29" i="58"/>
  <c r="J29" i="58"/>
  <c r="P29" i="58"/>
  <c r="S29" i="58"/>
  <c r="E34" i="59"/>
  <c r="F34" i="59"/>
  <c r="J34" i="59"/>
  <c r="P34" i="59"/>
  <c r="S34" i="59"/>
  <c r="G34" i="59"/>
  <c r="I34" i="59"/>
  <c r="E33" i="58"/>
  <c r="F33" i="58"/>
  <c r="J33" i="58"/>
  <c r="P33" i="58"/>
  <c r="S33" i="58"/>
  <c r="E12" i="52"/>
  <c r="F12" i="52"/>
  <c r="J12" i="52"/>
  <c r="P12" i="52"/>
  <c r="S12" i="52"/>
  <c r="G12" i="52"/>
  <c r="I12" i="52"/>
  <c r="E28" i="54"/>
  <c r="F28" i="54"/>
  <c r="J28" i="54"/>
  <c r="P28" i="54"/>
  <c r="S28" i="54"/>
  <c r="E9" i="54"/>
  <c r="F9" i="54"/>
  <c r="J9" i="54"/>
  <c r="P9" i="54"/>
  <c r="S9" i="54"/>
  <c r="G9" i="54"/>
  <c r="I9" i="54"/>
  <c r="E48" i="58"/>
  <c r="F48" i="58"/>
  <c r="J48" i="58"/>
  <c r="P48" i="58"/>
  <c r="S48" i="58"/>
  <c r="E21" i="52"/>
  <c r="F21" i="52"/>
  <c r="J21" i="52"/>
  <c r="P21" i="52"/>
  <c r="S21" i="52"/>
  <c r="G21" i="52"/>
  <c r="I21" i="52"/>
  <c r="G15" i="54"/>
  <c r="I15" i="54"/>
  <c r="E15" i="54"/>
  <c r="F15" i="54"/>
  <c r="J15" i="54"/>
  <c r="P15" i="54"/>
  <c r="S15" i="54"/>
  <c r="E49" i="58"/>
  <c r="F49" i="58"/>
  <c r="J49" i="58"/>
  <c r="P49" i="58"/>
  <c r="S49" i="58"/>
  <c r="G49" i="58"/>
  <c r="I49" i="58"/>
  <c r="E50" i="61"/>
  <c r="F50" i="61"/>
  <c r="J50" i="61"/>
  <c r="P50" i="61"/>
  <c r="S50" i="61"/>
  <c r="E18" i="61"/>
  <c r="F18" i="61"/>
  <c r="J18" i="61"/>
  <c r="P18" i="61"/>
  <c r="S18" i="61"/>
  <c r="G18" i="61"/>
  <c r="I18" i="61"/>
  <c r="E35" i="61"/>
  <c r="F35" i="61"/>
  <c r="J35" i="61"/>
  <c r="P35" i="61"/>
  <c r="S35" i="61"/>
  <c r="E39" i="61"/>
  <c r="F39" i="61"/>
  <c r="J39" i="61"/>
  <c r="P39" i="61"/>
  <c r="S39" i="61"/>
  <c r="G39" i="61"/>
  <c r="I39" i="61"/>
  <c r="E42" i="61"/>
  <c r="F42" i="61"/>
  <c r="J42" i="61"/>
  <c r="P42" i="61"/>
  <c r="S42" i="61"/>
  <c r="E33" i="61"/>
  <c r="F33" i="61"/>
  <c r="J33" i="61"/>
  <c r="P33" i="61"/>
  <c r="S33" i="61"/>
  <c r="G33" i="61"/>
  <c r="I33" i="61"/>
  <c r="E20" i="59"/>
  <c r="F20" i="59"/>
  <c r="J20" i="59"/>
  <c r="P20" i="59"/>
  <c r="S20" i="59"/>
  <c r="E40" i="59"/>
  <c r="F40" i="59"/>
  <c r="J40" i="59"/>
  <c r="P40" i="59"/>
  <c r="S40" i="59"/>
  <c r="G40" i="59"/>
  <c r="I40" i="59"/>
  <c r="G42" i="59"/>
  <c r="I42" i="59"/>
  <c r="E42" i="59"/>
  <c r="F42" i="59"/>
  <c r="J42" i="59"/>
  <c r="P42" i="59"/>
  <c r="S42" i="59"/>
  <c r="E33" i="57"/>
  <c r="F33" i="57"/>
  <c r="J33" i="57"/>
  <c r="P33" i="57"/>
  <c r="S33" i="57"/>
  <c r="G33" i="57"/>
  <c r="I33" i="57"/>
  <c r="E26" i="57"/>
  <c r="F26" i="57"/>
  <c r="J26" i="57"/>
  <c r="P26" i="57"/>
  <c r="S26" i="57"/>
  <c r="E28" i="57"/>
  <c r="F28" i="57"/>
  <c r="J28" i="57"/>
  <c r="P28" i="57"/>
  <c r="S28" i="57"/>
  <c r="G28" i="57"/>
  <c r="I28" i="57"/>
  <c r="E42" i="57"/>
  <c r="F42" i="57"/>
  <c r="J42" i="57"/>
  <c r="P42" i="57"/>
  <c r="S42" i="57"/>
  <c r="E46" i="57"/>
  <c r="F46" i="57"/>
  <c r="J46" i="57"/>
  <c r="P46" i="57"/>
  <c r="S46" i="57"/>
  <c r="G46" i="57"/>
  <c r="I46" i="57"/>
  <c r="E38" i="57"/>
  <c r="F38" i="57"/>
  <c r="J38" i="57"/>
  <c r="P38" i="57"/>
  <c r="S38" i="57"/>
  <c r="E34" i="57"/>
  <c r="F34" i="57"/>
  <c r="J34" i="57"/>
  <c r="P34" i="57"/>
  <c r="S34" i="57"/>
  <c r="G34" i="57"/>
  <c r="I34" i="57"/>
  <c r="E13" i="57"/>
  <c r="F13" i="57"/>
  <c r="J13" i="57"/>
  <c r="P13" i="57"/>
  <c r="S13" i="57"/>
  <c r="E32" i="57"/>
  <c r="F32" i="57"/>
  <c r="J32" i="57"/>
  <c r="P32" i="57"/>
  <c r="S32" i="57"/>
  <c r="G32" i="57"/>
  <c r="I32" i="57"/>
  <c r="E53" i="57"/>
  <c r="F53" i="57"/>
  <c r="J53" i="57"/>
  <c r="P53" i="57"/>
  <c r="S53" i="57"/>
  <c r="J17" i="56"/>
  <c r="P17" i="56"/>
  <c r="S17" i="56"/>
  <c r="I17" i="56"/>
  <c r="E20" i="53"/>
  <c r="F20" i="53"/>
  <c r="J20" i="53"/>
  <c r="P20" i="53"/>
  <c r="S20" i="53"/>
  <c r="E56" i="53"/>
  <c r="F56" i="53"/>
  <c r="J56" i="53"/>
  <c r="P56" i="53"/>
  <c r="S56" i="53"/>
  <c r="G56" i="53"/>
  <c r="I56" i="53"/>
  <c r="E48" i="53"/>
  <c r="F48" i="53"/>
  <c r="J48" i="53"/>
  <c r="P48" i="53"/>
  <c r="S48" i="53"/>
  <c r="E45" i="52"/>
  <c r="F45" i="52"/>
  <c r="J45" i="52"/>
  <c r="P45" i="52"/>
  <c r="S45" i="52"/>
  <c r="G45" i="52"/>
  <c r="I45" i="52"/>
  <c r="E17" i="52"/>
  <c r="F17" i="52"/>
  <c r="J17" i="52"/>
  <c r="P17" i="52"/>
  <c r="S17" i="52"/>
  <c r="E50" i="52"/>
  <c r="F50" i="52"/>
  <c r="J50" i="52"/>
  <c r="P50" i="52"/>
  <c r="S50" i="52"/>
  <c r="G50" i="52"/>
  <c r="I50" i="52"/>
  <c r="C14" i="61"/>
  <c r="D14" i="61"/>
  <c r="D14" i="60"/>
  <c r="E38" i="60"/>
  <c r="F38" i="60"/>
  <c r="J38" i="60"/>
  <c r="P38" i="60"/>
  <c r="S38" i="60"/>
  <c r="G38" i="60"/>
  <c r="I38" i="60"/>
  <c r="E40" i="60"/>
  <c r="F40" i="60"/>
  <c r="J40" i="60"/>
  <c r="P40" i="60"/>
  <c r="S40" i="60"/>
  <c r="E46" i="60"/>
  <c r="F46" i="60"/>
  <c r="J46" i="60"/>
  <c r="P46" i="60"/>
  <c r="S46" i="60"/>
  <c r="G46" i="60"/>
  <c r="I46" i="60"/>
  <c r="E22" i="60"/>
  <c r="F22" i="60"/>
  <c r="J22" i="60"/>
  <c r="P22" i="60"/>
  <c r="S22" i="60"/>
  <c r="E53" i="60"/>
  <c r="F53" i="60"/>
  <c r="J53" i="60"/>
  <c r="P53" i="60"/>
  <c r="S53" i="60"/>
  <c r="G53" i="60"/>
  <c r="I53" i="60"/>
  <c r="E17" i="60"/>
  <c r="F17" i="60"/>
  <c r="J17" i="60"/>
  <c r="P17" i="60"/>
  <c r="S17" i="60"/>
  <c r="E39" i="60"/>
  <c r="F39" i="60"/>
  <c r="J39" i="60"/>
  <c r="P39" i="60"/>
  <c r="S39" i="60"/>
  <c r="G39" i="60"/>
  <c r="I39" i="60"/>
  <c r="E33" i="60"/>
  <c r="F33" i="60"/>
  <c r="J33" i="60"/>
  <c r="P33" i="60"/>
  <c r="S33" i="60"/>
  <c r="J19" i="59"/>
  <c r="P19" i="59"/>
  <c r="S19" i="59"/>
  <c r="I19" i="59"/>
  <c r="E54" i="58"/>
  <c r="F54" i="58"/>
  <c r="J54" i="58"/>
  <c r="P54" i="58"/>
  <c r="S54" i="58"/>
  <c r="E41" i="58"/>
  <c r="F41" i="58"/>
  <c r="J41" i="58"/>
  <c r="P41" i="58"/>
  <c r="S41" i="58"/>
  <c r="G41" i="58"/>
  <c r="I41" i="58"/>
  <c r="E43" i="56"/>
  <c r="F43" i="56"/>
  <c r="J43" i="56"/>
  <c r="P43" i="56"/>
  <c r="S43" i="56"/>
  <c r="E11" i="56"/>
  <c r="F11" i="56"/>
  <c r="J11" i="56"/>
  <c r="P11" i="56"/>
  <c r="S11" i="56"/>
  <c r="G11" i="56"/>
  <c r="I11" i="56"/>
  <c r="E46" i="56"/>
  <c r="F46" i="56"/>
  <c r="J46" i="56"/>
  <c r="P46" i="56"/>
  <c r="S46" i="56"/>
  <c r="E13" i="56"/>
  <c r="F13" i="56"/>
  <c r="J13" i="56"/>
  <c r="P13" i="56"/>
  <c r="S13" i="56"/>
  <c r="G13" i="56"/>
  <c r="I13" i="56"/>
  <c r="E26" i="56"/>
  <c r="F26" i="56"/>
  <c r="J26" i="56"/>
  <c r="P26" i="56"/>
  <c r="S26" i="56"/>
  <c r="E36" i="56"/>
  <c r="F36" i="56"/>
  <c r="J36" i="56"/>
  <c r="P36" i="56"/>
  <c r="S36" i="56"/>
  <c r="E35" i="55"/>
  <c r="F35" i="55"/>
  <c r="J35" i="55"/>
  <c r="P35" i="55"/>
  <c r="S35" i="55"/>
  <c r="E54" i="55"/>
  <c r="F54" i="55"/>
  <c r="J54" i="55"/>
  <c r="P54" i="55"/>
  <c r="S54" i="55"/>
  <c r="G54" i="55"/>
  <c r="I54" i="55"/>
  <c r="E22" i="55"/>
  <c r="F22" i="55"/>
  <c r="J22" i="55"/>
  <c r="P22" i="55"/>
  <c r="S22" i="55"/>
  <c r="E41" i="55"/>
  <c r="F41" i="55"/>
  <c r="J41" i="55"/>
  <c r="P41" i="55"/>
  <c r="S41" i="55"/>
  <c r="G41" i="55"/>
  <c r="I41" i="55"/>
  <c r="G49" i="55"/>
  <c r="I49" i="55"/>
  <c r="E49" i="55"/>
  <c r="F49" i="55"/>
  <c r="J49" i="55"/>
  <c r="P49" i="55"/>
  <c r="E26" i="55"/>
  <c r="F26" i="55"/>
  <c r="J26" i="55"/>
  <c r="P26" i="55"/>
  <c r="S26" i="55"/>
  <c r="G26" i="55"/>
  <c r="I26" i="55"/>
  <c r="E21" i="55"/>
  <c r="F21" i="55"/>
  <c r="J21" i="55"/>
  <c r="P21" i="55"/>
  <c r="S21" i="55"/>
  <c r="E28" i="55"/>
  <c r="F28" i="55"/>
  <c r="J28" i="55"/>
  <c r="P28" i="55"/>
  <c r="S28" i="55"/>
  <c r="G44" i="55"/>
  <c r="I44" i="55"/>
  <c r="E44" i="55"/>
  <c r="F44" i="55"/>
  <c r="J44" i="55"/>
  <c r="P44" i="55"/>
  <c r="S44" i="55"/>
  <c r="E55" i="54"/>
  <c r="F55" i="54"/>
  <c r="J55" i="54"/>
  <c r="P55" i="54"/>
  <c r="S55" i="54"/>
  <c r="G55" i="54"/>
  <c r="I55" i="54"/>
  <c r="E7" i="1"/>
  <c r="F7" i="1"/>
  <c r="J7" i="1"/>
  <c r="E27" i="1"/>
  <c r="F27" i="1"/>
  <c r="J27" i="1"/>
  <c r="G27" i="1"/>
  <c r="I27" i="1"/>
  <c r="E44" i="1"/>
  <c r="F44" i="1"/>
  <c r="J44" i="1"/>
  <c r="E25" i="1"/>
  <c r="F25" i="1"/>
  <c r="J25" i="1"/>
  <c r="G25" i="1"/>
  <c r="I25" i="1"/>
  <c r="E6" i="1"/>
  <c r="F6" i="1"/>
  <c r="J6" i="1"/>
  <c r="E10" i="1"/>
  <c r="F10" i="1"/>
  <c r="J10" i="1"/>
  <c r="G10" i="1"/>
  <c r="I10" i="1"/>
  <c r="E19" i="1"/>
  <c r="F19" i="1"/>
  <c r="J19" i="1"/>
  <c r="E30" i="1"/>
  <c r="F30" i="1"/>
  <c r="J30" i="1"/>
  <c r="G30" i="1"/>
  <c r="I30" i="1"/>
  <c r="E39" i="1"/>
  <c r="F39" i="1"/>
  <c r="J39" i="1"/>
  <c r="E46" i="1"/>
  <c r="F46" i="1"/>
  <c r="J46" i="1"/>
  <c r="G46" i="1"/>
  <c r="I46" i="1"/>
  <c r="J17" i="59"/>
  <c r="P17" i="59"/>
  <c r="S17" i="59"/>
  <c r="J55" i="59"/>
  <c r="P55" i="59"/>
  <c r="S55" i="59"/>
  <c r="J48" i="59"/>
  <c r="P48" i="59"/>
  <c r="S48" i="59"/>
  <c r="J24" i="56"/>
  <c r="P24" i="56"/>
  <c r="S24" i="56"/>
  <c r="J38" i="59"/>
  <c r="P38" i="59"/>
  <c r="S38" i="59"/>
  <c r="J38" i="55"/>
  <c r="P38" i="55"/>
  <c r="S38" i="55"/>
  <c r="J12" i="53"/>
  <c r="P12" i="53"/>
  <c r="S12" i="53"/>
  <c r="J24" i="53"/>
  <c r="P24" i="53"/>
  <c r="S24" i="53"/>
  <c r="J56" i="56"/>
  <c r="P56" i="56"/>
  <c r="S56" i="56"/>
  <c r="I48" i="1"/>
  <c r="I8" i="52"/>
  <c r="I10" i="52"/>
  <c r="S47" i="61"/>
  <c r="S26" i="61"/>
  <c r="S46" i="58"/>
  <c r="E14" i="61"/>
  <c r="F14" i="61"/>
  <c r="J14" i="61"/>
  <c r="G14" i="61"/>
  <c r="I14" i="61"/>
  <c r="E11" i="58"/>
  <c r="F11" i="58"/>
  <c r="J11" i="58"/>
  <c r="G11" i="58"/>
  <c r="I11" i="58"/>
  <c r="G36" i="56"/>
  <c r="I36" i="56"/>
  <c r="G39" i="1"/>
  <c r="I39" i="1"/>
  <c r="G19" i="1"/>
  <c r="I19" i="1"/>
  <c r="G6" i="1"/>
  <c r="I6" i="1"/>
  <c r="G44" i="1"/>
  <c r="I44" i="1"/>
  <c r="G7" i="1"/>
  <c r="I7" i="1"/>
  <c r="G21" i="55"/>
  <c r="I21" i="55"/>
  <c r="G22" i="55"/>
  <c r="I22" i="55"/>
  <c r="G35" i="55"/>
  <c r="I35" i="55"/>
  <c r="G26" i="56"/>
  <c r="I26" i="56"/>
  <c r="G46" i="56"/>
  <c r="I46" i="56"/>
  <c r="G43" i="56"/>
  <c r="I43" i="56"/>
  <c r="G54" i="58"/>
  <c r="I54" i="58"/>
  <c r="G33" i="60"/>
  <c r="I33" i="60"/>
  <c r="G17" i="60"/>
  <c r="I17" i="60"/>
  <c r="G22" i="60"/>
  <c r="I22" i="60"/>
  <c r="G40" i="60"/>
  <c r="I40" i="60"/>
  <c r="E14" i="60"/>
  <c r="F14" i="60"/>
  <c r="J14" i="60"/>
  <c r="P14" i="60"/>
  <c r="S14" i="60"/>
  <c r="G17" i="52"/>
  <c r="I17" i="52"/>
  <c r="G48" i="53"/>
  <c r="I48" i="53"/>
  <c r="G20" i="53"/>
  <c r="I20" i="53"/>
  <c r="G53" i="57"/>
  <c r="I53" i="57"/>
  <c r="G13" i="57"/>
  <c r="I13" i="57"/>
  <c r="G38" i="57"/>
  <c r="I38" i="57"/>
  <c r="G42" i="57"/>
  <c r="I42" i="57"/>
  <c r="G26" i="57"/>
  <c r="I26" i="57"/>
  <c r="G20" i="59"/>
  <c r="I20" i="59"/>
  <c r="G42" i="61"/>
  <c r="I42" i="61"/>
  <c r="G35" i="61"/>
  <c r="I35" i="61"/>
  <c r="G50" i="61"/>
  <c r="I50" i="61"/>
  <c r="G48" i="58"/>
  <c r="I48" i="58"/>
  <c r="G28" i="54"/>
  <c r="I28" i="54"/>
  <c r="G33" i="58"/>
  <c r="I33" i="58"/>
  <c r="G29" i="58"/>
  <c r="I29" i="58"/>
  <c r="G26" i="52"/>
  <c r="I26" i="52"/>
  <c r="G17" i="58"/>
  <c r="I17" i="58"/>
  <c r="G18" i="52"/>
  <c r="I18" i="52"/>
  <c r="G23" i="53"/>
  <c r="I23" i="53"/>
  <c r="G54" i="53"/>
  <c r="I54" i="53"/>
  <c r="G16" i="59"/>
  <c r="I16" i="59"/>
  <c r="G30" i="53"/>
  <c r="I30" i="53"/>
  <c r="G13" i="53"/>
  <c r="I13" i="53"/>
  <c r="G36" i="53"/>
  <c r="I36" i="53"/>
  <c r="G36" i="1"/>
  <c r="I36" i="1"/>
  <c r="G20" i="55"/>
  <c r="I20" i="55"/>
  <c r="G23" i="55"/>
  <c r="I23" i="55"/>
  <c r="G14" i="56"/>
  <c r="I14" i="56"/>
  <c r="G30" i="60"/>
  <c r="I30" i="60"/>
  <c r="G41" i="60"/>
  <c r="I41" i="60"/>
  <c r="G35" i="53"/>
  <c r="I35" i="53"/>
  <c r="G19" i="57"/>
  <c r="I19" i="57"/>
  <c r="G46" i="61"/>
  <c r="I46" i="61"/>
  <c r="G25" i="58"/>
  <c r="I25" i="58"/>
  <c r="G22" i="52"/>
  <c r="I22" i="52"/>
  <c r="G21" i="58"/>
  <c r="I21" i="58"/>
  <c r="G15" i="52"/>
  <c r="I15" i="52"/>
  <c r="G19" i="58"/>
  <c r="I19" i="58"/>
  <c r="E9" i="55"/>
  <c r="F9" i="55"/>
  <c r="J9" i="55"/>
  <c r="P9" i="55"/>
  <c r="S9" i="55"/>
  <c r="G13" i="1"/>
  <c r="I13" i="1"/>
  <c r="G38" i="1"/>
  <c r="I38" i="1"/>
  <c r="G16" i="55"/>
  <c r="I16" i="55"/>
  <c r="G53" i="56"/>
  <c r="I53" i="56"/>
  <c r="G27" i="60"/>
  <c r="I27" i="60"/>
  <c r="G18" i="60"/>
  <c r="I18" i="60"/>
  <c r="G19" i="52"/>
  <c r="I19" i="52"/>
  <c r="G16" i="57"/>
  <c r="I16" i="57"/>
  <c r="E11" i="57"/>
  <c r="F11" i="57"/>
  <c r="J11" i="57"/>
  <c r="P11" i="57"/>
  <c r="S11" i="57"/>
  <c r="G53" i="61"/>
  <c r="I53" i="61"/>
  <c r="G19" i="61"/>
  <c r="I19" i="61"/>
  <c r="G50" i="54"/>
  <c r="I50" i="54"/>
  <c r="G27" i="54"/>
  <c r="I27" i="54"/>
  <c r="G56" i="59"/>
  <c r="I56" i="59"/>
  <c r="G27" i="53"/>
  <c r="I27" i="53"/>
  <c r="G11" i="1"/>
  <c r="I11" i="1"/>
  <c r="G34" i="1"/>
  <c r="I34" i="1"/>
  <c r="G53" i="1"/>
  <c r="I53" i="1"/>
  <c r="G8" i="1"/>
  <c r="I8" i="1"/>
  <c r="J7" i="54"/>
  <c r="I7" i="54"/>
  <c r="G36" i="59"/>
  <c r="I36" i="59"/>
  <c r="G30" i="61"/>
  <c r="I30" i="61"/>
  <c r="G41" i="1"/>
  <c r="I41" i="1"/>
  <c r="G22" i="1"/>
  <c r="I22" i="1"/>
  <c r="G50" i="55"/>
  <c r="I50" i="55"/>
  <c r="G20" i="56"/>
  <c r="I20" i="56"/>
  <c r="G15" i="58"/>
  <c r="I15" i="58"/>
  <c r="G23" i="60"/>
  <c r="I23" i="60"/>
  <c r="G21" i="60"/>
  <c r="I21" i="60"/>
  <c r="G53" i="53"/>
  <c r="I53" i="53"/>
  <c r="G30" i="57"/>
  <c r="I30" i="57"/>
  <c r="G47" i="59"/>
  <c r="I47" i="59"/>
  <c r="G15" i="61"/>
  <c r="I15" i="61"/>
  <c r="G33" i="59"/>
  <c r="I33" i="59"/>
  <c r="G20" i="54"/>
  <c r="I20" i="54"/>
  <c r="G43" i="54"/>
  <c r="I43" i="54"/>
  <c r="G25" i="53"/>
  <c r="I25" i="53"/>
  <c r="G42" i="53"/>
  <c r="I42" i="53"/>
  <c r="G39" i="58"/>
  <c r="I39" i="58"/>
  <c r="G47" i="60"/>
  <c r="I47" i="60"/>
  <c r="G50" i="57"/>
  <c r="I50" i="57"/>
  <c r="G16" i="1"/>
  <c r="I16" i="1"/>
  <c r="G12" i="1"/>
  <c r="I12" i="1"/>
  <c r="G41" i="54"/>
  <c r="I41" i="54"/>
  <c r="G36" i="55"/>
  <c r="I36" i="55"/>
  <c r="E10" i="57"/>
  <c r="F10" i="57"/>
  <c r="J10" i="57"/>
  <c r="G10" i="57"/>
  <c r="I10" i="57"/>
  <c r="G24" i="60"/>
  <c r="I24" i="60"/>
  <c r="G46" i="52"/>
  <c r="I46" i="52"/>
  <c r="G15" i="57"/>
  <c r="I15" i="57"/>
  <c r="G21" i="57"/>
  <c r="I21" i="57"/>
  <c r="G43" i="61"/>
  <c r="I43" i="61"/>
  <c r="G43" i="52"/>
  <c r="I43" i="52"/>
  <c r="G31" i="58"/>
  <c r="I31" i="58"/>
  <c r="G52" i="53"/>
  <c r="I52" i="53"/>
  <c r="G38" i="54"/>
  <c r="I38" i="54"/>
  <c r="G43" i="53"/>
  <c r="I43" i="53"/>
  <c r="G22" i="58"/>
  <c r="I22" i="58"/>
  <c r="G28" i="55"/>
  <c r="I28" i="55"/>
  <c r="G34" i="52"/>
  <c r="I34" i="52"/>
  <c r="G9" i="1"/>
  <c r="I9" i="1"/>
  <c r="G35" i="57"/>
  <c r="I35" i="57"/>
  <c r="G42" i="1"/>
  <c r="I42" i="1"/>
  <c r="G20" i="1"/>
  <c r="I20" i="1"/>
  <c r="G51" i="1"/>
  <c r="I51" i="1"/>
  <c r="G11" i="54"/>
  <c r="I11" i="54"/>
  <c r="G18" i="55"/>
  <c r="I18" i="55"/>
  <c r="E9" i="56"/>
  <c r="F9" i="56"/>
  <c r="J9" i="56"/>
  <c r="G9" i="56"/>
  <c r="I9" i="56"/>
  <c r="G56" i="55"/>
  <c r="I56" i="55"/>
  <c r="G31" i="55"/>
  <c r="I31" i="55"/>
  <c r="G31" i="56"/>
  <c r="I31" i="56"/>
  <c r="G40" i="56"/>
  <c r="I40" i="56"/>
  <c r="G43" i="58"/>
  <c r="I43" i="58"/>
  <c r="G35" i="60"/>
  <c r="I35" i="60"/>
  <c r="G48" i="60"/>
  <c r="I48" i="60"/>
  <c r="G43" i="60"/>
  <c r="I43" i="60"/>
  <c r="G42" i="60"/>
  <c r="I42" i="60"/>
  <c r="G30" i="52"/>
  <c r="I30" i="52"/>
  <c r="G28" i="53"/>
  <c r="I28" i="53"/>
  <c r="G49" i="53"/>
  <c r="I49" i="53"/>
  <c r="G31" i="57"/>
  <c r="I31" i="57"/>
  <c r="G47" i="57"/>
  <c r="I47" i="57"/>
  <c r="G23" i="57"/>
  <c r="I23" i="57"/>
  <c r="G39" i="57"/>
  <c r="I39" i="57"/>
  <c r="G51" i="57"/>
  <c r="I51" i="57"/>
  <c r="G41" i="59"/>
  <c r="I41" i="59"/>
  <c r="G27" i="59"/>
  <c r="I27" i="59"/>
  <c r="G54" i="61"/>
  <c r="I54" i="61"/>
  <c r="G27" i="61"/>
  <c r="I27" i="61"/>
  <c r="G48" i="61"/>
  <c r="I48" i="61"/>
  <c r="G12" i="54"/>
  <c r="I12" i="54"/>
  <c r="G15" i="53"/>
  <c r="I15" i="53"/>
  <c r="G51" i="54"/>
  <c r="I51" i="54"/>
  <c r="G26" i="58"/>
  <c r="I26" i="58"/>
  <c r="G55" i="58"/>
  <c r="I55" i="58"/>
  <c r="G17" i="54"/>
  <c r="I17" i="54"/>
  <c r="G39" i="53"/>
  <c r="I39" i="53"/>
  <c r="G39" i="54"/>
  <c r="I39" i="54"/>
  <c r="G25" i="59"/>
  <c r="I25" i="59"/>
  <c r="G54" i="59"/>
  <c r="I54" i="59"/>
  <c r="G48" i="54"/>
  <c r="I48" i="54"/>
  <c r="G27" i="55"/>
  <c r="I27" i="55"/>
  <c r="G24" i="55"/>
  <c r="I24" i="55"/>
  <c r="G51" i="55"/>
  <c r="I51" i="55"/>
  <c r="G17" i="55"/>
  <c r="I17" i="55"/>
  <c r="G51" i="56"/>
  <c r="I51" i="56"/>
  <c r="G37" i="56"/>
  <c r="I37" i="56"/>
  <c r="G28" i="58"/>
  <c r="I28" i="58"/>
  <c r="G32" i="60"/>
  <c r="I32" i="60"/>
  <c r="G56" i="60"/>
  <c r="I56" i="60"/>
  <c r="G16" i="60"/>
  <c r="I16" i="60"/>
  <c r="G28" i="60"/>
  <c r="I28" i="60"/>
  <c r="G37" i="54"/>
  <c r="I37" i="54"/>
  <c r="G56" i="52"/>
  <c r="I56" i="52"/>
  <c r="G31" i="53"/>
  <c r="I31" i="53"/>
  <c r="G14" i="57"/>
  <c r="I14" i="57"/>
  <c r="E10" i="56"/>
  <c r="F10" i="56"/>
  <c r="J10" i="56"/>
  <c r="P10" i="56"/>
  <c r="S10" i="56"/>
  <c r="G10" i="56"/>
  <c r="T20" i="52"/>
  <c r="G11" i="57"/>
  <c r="T12" i="52"/>
  <c r="T53" i="52"/>
  <c r="T68" i="52"/>
  <c r="T14" i="52"/>
  <c r="T62" i="52"/>
  <c r="T17" i="52"/>
  <c r="T44" i="52"/>
  <c r="T49" i="52"/>
  <c r="T39" i="52"/>
  <c r="T55" i="52"/>
  <c r="T64" i="52"/>
  <c r="T21" i="52"/>
  <c r="T7" i="52"/>
  <c r="T10" i="52"/>
  <c r="T16" i="52"/>
  <c r="T36" i="52"/>
  <c r="T50" i="52"/>
  <c r="T6" i="52"/>
  <c r="T22" i="52"/>
  <c r="G9" i="55"/>
  <c r="G14" i="60"/>
  <c r="Q10" i="57"/>
  <c r="S10" i="57"/>
  <c r="I10" i="56"/>
  <c r="Q14" i="61"/>
  <c r="S14" i="61"/>
  <c r="I14" i="60"/>
  <c r="I11" i="57"/>
  <c r="Q11" i="58"/>
  <c r="S11" i="58"/>
  <c r="I9" i="55"/>
  <c r="Q9" i="56"/>
  <c r="S9" i="56"/>
  <c r="T2" i="56"/>
  <c r="T17" i="56" s="1"/>
  <c r="T63" i="56"/>
  <c r="T31" i="56"/>
  <c r="T40" i="56"/>
  <c r="T54" i="56"/>
  <c r="T38" i="56"/>
  <c r="T52" i="56"/>
  <c r="T27" i="56"/>
  <c r="T23" i="56"/>
  <c r="T25" i="56"/>
  <c r="T47" i="56"/>
  <c r="T28" i="56"/>
  <c r="T13" i="56"/>
  <c r="T36" i="56"/>
  <c r="T48" i="56"/>
  <c r="T42" i="56"/>
  <c r="T34" i="56"/>
  <c r="T59" i="56"/>
  <c r="T29" i="56"/>
  <c r="T35" i="56"/>
  <c r="D7" i="50"/>
  <c r="F7" i="50" s="1"/>
  <c r="T33" i="56"/>
  <c r="T43" i="56"/>
  <c r="T60" i="56"/>
  <c r="T12" i="56"/>
  <c r="T41" i="56"/>
  <c r="T21" i="56"/>
  <c r="T45" i="56"/>
  <c r="T14" i="56"/>
  <c r="T16" i="56"/>
  <c r="T56" i="56"/>
  <c r="T62" i="56"/>
  <c r="T32" i="56"/>
  <c r="T66" i="56"/>
  <c r="T65" i="56"/>
  <c r="T64" i="56"/>
  <c r="T15" i="56"/>
  <c r="T68" i="56"/>
  <c r="T67" i="56"/>
  <c r="T44" i="56"/>
  <c r="T24" i="56"/>
  <c r="T22" i="56"/>
  <c r="T55" i="56"/>
  <c r="T18" i="56"/>
  <c r="T58" i="56"/>
  <c r="T26" i="56"/>
  <c r="T20" i="56"/>
  <c r="T57" i="56"/>
  <c r="T51" i="56"/>
  <c r="T69" i="56"/>
  <c r="T61" i="56"/>
  <c r="T10" i="56"/>
  <c r="T39" i="56"/>
  <c r="T50" i="56"/>
  <c r="T37" i="56"/>
  <c r="T19" i="56"/>
  <c r="T30" i="56"/>
  <c r="T53" i="56"/>
  <c r="T49" i="56"/>
  <c r="T9" i="56"/>
  <c r="L7" i="50"/>
  <c r="M7" i="50" s="1"/>
  <c r="T46" i="56" l="1"/>
  <c r="T11" i="56"/>
  <c r="S70" i="56" s="1"/>
  <c r="T8" i="52"/>
  <c r="T66" i="52"/>
  <c r="T28" i="52"/>
  <c r="T45" i="52"/>
  <c r="T57" i="52"/>
  <c r="T51" i="52"/>
  <c r="T65" i="52"/>
  <c r="T69" i="52"/>
  <c r="T38" i="52"/>
  <c r="T18" i="52"/>
  <c r="T41" i="52"/>
  <c r="T40" i="52"/>
  <c r="T25" i="52"/>
  <c r="T47" i="52"/>
  <c r="T48" i="52"/>
  <c r="D3" i="50"/>
  <c r="T58" i="52"/>
  <c r="T35" i="52"/>
  <c r="T11" i="52"/>
  <c r="T30" i="52"/>
  <c r="T15" i="52"/>
  <c r="T24" i="52"/>
  <c r="T59" i="52"/>
  <c r="T54" i="52"/>
  <c r="T37" i="52"/>
  <c r="T27" i="52"/>
  <c r="T32" i="52"/>
  <c r="T23" i="52"/>
  <c r="T5" i="52"/>
  <c r="T19" i="52"/>
  <c r="T26" i="52"/>
  <c r="T46" i="52"/>
  <c r="T13" i="52"/>
  <c r="T29" i="52"/>
  <c r="T63" i="52"/>
  <c r="T31" i="52"/>
  <c r="T9" i="52"/>
  <c r="T42" i="52"/>
  <c r="T56" i="52"/>
  <c r="T33" i="52"/>
  <c r="T43" i="52"/>
  <c r="T34" i="52"/>
  <c r="T67" i="52"/>
  <c r="T60" i="52"/>
  <c r="T61" i="52"/>
  <c r="O43" i="58"/>
  <c r="S43" i="58" s="1"/>
  <c r="O43" i="57"/>
  <c r="S43" i="57" s="1"/>
  <c r="O63" i="58"/>
  <c r="S63" i="58" s="1"/>
  <c r="O63" i="57"/>
  <c r="S63" i="57" s="1"/>
  <c r="O61" i="58"/>
  <c r="S61" i="58" s="1"/>
  <c r="O61" i="57"/>
  <c r="S61" i="57" s="1"/>
  <c r="O36" i="58"/>
  <c r="S36" i="58" s="1"/>
  <c r="O25" i="58"/>
  <c r="S25" i="58" s="1"/>
  <c r="O27" i="59"/>
  <c r="S27" i="59" s="1"/>
  <c r="O23" i="60"/>
  <c r="S23" i="60" s="1"/>
  <c r="O50" i="54"/>
  <c r="S50" i="54" s="1"/>
  <c r="O49" i="55"/>
  <c r="S49" i="55" s="1"/>
  <c r="O18" i="59"/>
  <c r="S18" i="59" s="1"/>
  <c r="O67" i="61"/>
  <c r="S67" i="61" s="1"/>
  <c r="O27" i="53"/>
  <c r="S27" i="53" s="1"/>
  <c r="T2" i="53" s="1"/>
  <c r="O41" i="61"/>
  <c r="S41" i="61" s="1"/>
  <c r="O59" i="59"/>
  <c r="S59" i="59" s="1"/>
  <c r="T9" i="53" l="1"/>
  <c r="T21" i="53"/>
  <c r="T56" i="53"/>
  <c r="T34" i="53"/>
  <c r="T55" i="53"/>
  <c r="T7" i="53"/>
  <c r="T40" i="53"/>
  <c r="T46" i="53"/>
  <c r="T35" i="53"/>
  <c r="T50" i="53"/>
  <c r="T29" i="53"/>
  <c r="T14" i="53"/>
  <c r="T54" i="53"/>
  <c r="T68" i="53"/>
  <c r="T30" i="53"/>
  <c r="T25" i="53"/>
  <c r="T64" i="53"/>
  <c r="T23" i="53"/>
  <c r="T62" i="53"/>
  <c r="T47" i="53"/>
  <c r="T18" i="53"/>
  <c r="T13" i="53"/>
  <c r="D4" i="50"/>
  <c r="T44" i="53"/>
  <c r="T36" i="53"/>
  <c r="T19" i="53"/>
  <c r="T26" i="53"/>
  <c r="T51" i="53"/>
  <c r="T38" i="53"/>
  <c r="T59" i="53"/>
  <c r="T43" i="53"/>
  <c r="T11" i="53"/>
  <c r="T42" i="53"/>
  <c r="T53" i="53"/>
  <c r="T32" i="53"/>
  <c r="T45" i="53"/>
  <c r="T65" i="53"/>
  <c r="T31" i="53"/>
  <c r="T28" i="53"/>
  <c r="T20" i="53"/>
  <c r="T6" i="53"/>
  <c r="T49" i="53"/>
  <c r="T58" i="53"/>
  <c r="T8" i="53"/>
  <c r="T61" i="53"/>
  <c r="T12" i="53"/>
  <c r="T22" i="53"/>
  <c r="T39" i="53"/>
  <c r="T33" i="53"/>
  <c r="T66" i="53"/>
  <c r="T69" i="53"/>
  <c r="T41" i="53"/>
  <c r="T37" i="53"/>
  <c r="T52" i="53"/>
  <c r="T57" i="53"/>
  <c r="T17" i="53"/>
  <c r="T10" i="53"/>
  <c r="T15" i="53"/>
  <c r="T67" i="53"/>
  <c r="T60" i="53"/>
  <c r="T48" i="53"/>
  <c r="T16" i="53"/>
  <c r="T63" i="53"/>
  <c r="T24" i="53"/>
  <c r="T2" i="61"/>
  <c r="T41" i="61" s="1"/>
  <c r="T2" i="55"/>
  <c r="T49" i="55" s="1"/>
  <c r="T2" i="58"/>
  <c r="S70" i="52"/>
  <c r="T27" i="53"/>
  <c r="T2" i="60"/>
  <c r="T2" i="57"/>
  <c r="T63" i="57" s="1"/>
  <c r="L4" i="50"/>
  <c r="M4" i="50" s="1"/>
  <c r="F3" i="50"/>
  <c r="L3" i="50"/>
  <c r="M3" i="50" s="1"/>
  <c r="T2" i="54"/>
  <c r="T59" i="59"/>
  <c r="T2" i="59"/>
  <c r="T27" i="59" s="1"/>
  <c r="T18" i="59"/>
  <c r="T61" i="58"/>
  <c r="T11" i="58" l="1"/>
  <c r="T30" i="58"/>
  <c r="T27" i="58"/>
  <c r="D9" i="50"/>
  <c r="T21" i="58"/>
  <c r="T41" i="58"/>
  <c r="T42" i="58"/>
  <c r="T38" i="58"/>
  <c r="T68" i="58"/>
  <c r="T57" i="58"/>
  <c r="T48" i="58"/>
  <c r="T49" i="58"/>
  <c r="T58" i="58"/>
  <c r="T53" i="58"/>
  <c r="T31" i="58"/>
  <c r="T56" i="58"/>
  <c r="T15" i="58"/>
  <c r="T13" i="58"/>
  <c r="T17" i="58"/>
  <c r="T64" i="58"/>
  <c r="T14" i="58"/>
  <c r="T60" i="58"/>
  <c r="T51" i="58"/>
  <c r="T23" i="58"/>
  <c r="T33" i="58"/>
  <c r="T69" i="58"/>
  <c r="T29" i="58"/>
  <c r="T50" i="58"/>
  <c r="T44" i="58"/>
  <c r="T16" i="58"/>
  <c r="T18" i="58"/>
  <c r="T65" i="58"/>
  <c r="T66" i="58"/>
  <c r="T20" i="58"/>
  <c r="T22" i="58"/>
  <c r="T39" i="58"/>
  <c r="T12" i="58"/>
  <c r="T35" i="58"/>
  <c r="T52" i="58"/>
  <c r="T62" i="58"/>
  <c r="T28" i="58"/>
  <c r="T47" i="58"/>
  <c r="T24" i="58"/>
  <c r="T26" i="58"/>
  <c r="T45" i="58"/>
  <c r="T55" i="58"/>
  <c r="T46" i="58"/>
  <c r="T67" i="58"/>
  <c r="T37" i="58"/>
  <c r="T59" i="58"/>
  <c r="T40" i="58"/>
  <c r="T34" i="58"/>
  <c r="T54" i="58"/>
  <c r="T32" i="58"/>
  <c r="T19" i="58"/>
  <c r="T16" i="54"/>
  <c r="T7" i="54"/>
  <c r="T58" i="54"/>
  <c r="T17" i="54"/>
  <c r="T31" i="54"/>
  <c r="D5" i="50"/>
  <c r="T20" i="54"/>
  <c r="T12" i="54"/>
  <c r="T9" i="54"/>
  <c r="T65" i="54"/>
  <c r="T53" i="54"/>
  <c r="T69" i="54"/>
  <c r="T48" i="54"/>
  <c r="T56" i="54"/>
  <c r="T55" i="54"/>
  <c r="T35" i="54"/>
  <c r="T66" i="54"/>
  <c r="T51" i="54"/>
  <c r="T15" i="54"/>
  <c r="T8" i="54"/>
  <c r="T14" i="54"/>
  <c r="T13" i="54"/>
  <c r="T49" i="54"/>
  <c r="T21" i="54"/>
  <c r="T22" i="54"/>
  <c r="T61" i="54"/>
  <c r="T34" i="54"/>
  <c r="T29" i="54"/>
  <c r="T30" i="54"/>
  <c r="T41" i="54"/>
  <c r="T62" i="54"/>
  <c r="T26" i="54"/>
  <c r="T39" i="54"/>
  <c r="T46" i="54"/>
  <c r="T40" i="54"/>
  <c r="T18" i="54"/>
  <c r="T37" i="54"/>
  <c r="T64" i="54"/>
  <c r="T27" i="54"/>
  <c r="T52" i="54"/>
  <c r="T25" i="54"/>
  <c r="T23" i="54"/>
  <c r="T33" i="54"/>
  <c r="T43" i="54"/>
  <c r="T38" i="54"/>
  <c r="T54" i="54"/>
  <c r="T45" i="54"/>
  <c r="T32" i="54"/>
  <c r="T44" i="54"/>
  <c r="T63" i="54"/>
  <c r="T36" i="54"/>
  <c r="T57" i="54"/>
  <c r="T47" i="54"/>
  <c r="T24" i="54"/>
  <c r="T19" i="54"/>
  <c r="T11" i="54"/>
  <c r="T28" i="54"/>
  <c r="T67" i="54"/>
  <c r="T60" i="54"/>
  <c r="T42" i="54"/>
  <c r="T10" i="54"/>
  <c r="T59" i="54"/>
  <c r="T68" i="54"/>
  <c r="T61" i="57"/>
  <c r="T63" i="58"/>
  <c r="T59" i="60"/>
  <c r="T26" i="60"/>
  <c r="T52" i="60"/>
  <c r="T19" i="60"/>
  <c r="T28" i="60"/>
  <c r="T20" i="60"/>
  <c r="T57" i="60"/>
  <c r="T16" i="60"/>
  <c r="T32" i="60"/>
  <c r="T21" i="60"/>
  <c r="T69" i="60"/>
  <c r="T17" i="60"/>
  <c r="T49" i="60"/>
  <c r="T46" i="60"/>
  <c r="T68" i="60"/>
  <c r="T31" i="60"/>
  <c r="T43" i="60"/>
  <c r="T30" i="60"/>
  <c r="T61" i="60"/>
  <c r="T67" i="60"/>
  <c r="T34" i="60"/>
  <c r="T62" i="60"/>
  <c r="T15" i="60"/>
  <c r="T24" i="60"/>
  <c r="T44" i="60"/>
  <c r="T50" i="60"/>
  <c r="T36" i="60"/>
  <c r="T53" i="60"/>
  <c r="T13" i="60"/>
  <c r="T54" i="60"/>
  <c r="T38" i="60"/>
  <c r="T60" i="60"/>
  <c r="T63" i="60"/>
  <c r="T58" i="60"/>
  <c r="T65" i="60"/>
  <c r="T40" i="60"/>
  <c r="T27" i="60"/>
  <c r="T18" i="60"/>
  <c r="T42" i="60"/>
  <c r="T25" i="60"/>
  <c r="T41" i="60"/>
  <c r="D11" i="50"/>
  <c r="T47" i="60"/>
  <c r="T14" i="60"/>
  <c r="T55" i="60"/>
  <c r="T22" i="60"/>
  <c r="T35" i="60"/>
  <c r="T33" i="60"/>
  <c r="T29" i="60"/>
  <c r="T51" i="60"/>
  <c r="T64" i="60"/>
  <c r="T37" i="60"/>
  <c r="T48" i="60"/>
  <c r="T56" i="60"/>
  <c r="T45" i="60"/>
  <c r="T39" i="60"/>
  <c r="T66" i="60"/>
  <c r="T36" i="58"/>
  <c r="T24" i="55"/>
  <c r="T63" i="55"/>
  <c r="T22" i="55"/>
  <c r="T8" i="55"/>
  <c r="T29" i="55"/>
  <c r="T15" i="55"/>
  <c r="T47" i="55"/>
  <c r="T27" i="55"/>
  <c r="T57" i="55"/>
  <c r="T53" i="55"/>
  <c r="T26" i="55"/>
  <c r="T51" i="55"/>
  <c r="T48" i="55"/>
  <c r="T55" i="55"/>
  <c r="T54" i="55"/>
  <c r="T25" i="55"/>
  <c r="T62" i="55"/>
  <c r="T23" i="55"/>
  <c r="T12" i="55"/>
  <c r="D6" i="50"/>
  <c r="T32" i="55"/>
  <c r="T19" i="55"/>
  <c r="T61" i="55"/>
  <c r="T42" i="55"/>
  <c r="T37" i="55"/>
  <c r="T40" i="55"/>
  <c r="T65" i="55"/>
  <c r="T16" i="55"/>
  <c r="T50" i="55"/>
  <c r="T17" i="55"/>
  <c r="T52" i="55"/>
  <c r="T41" i="55"/>
  <c r="T28" i="55"/>
  <c r="T33" i="55"/>
  <c r="T68" i="55"/>
  <c r="T13" i="55"/>
  <c r="T46" i="55"/>
  <c r="T56" i="55"/>
  <c r="T64" i="55"/>
  <c r="T35" i="55"/>
  <c r="T11" i="55"/>
  <c r="T39" i="55"/>
  <c r="T30" i="55"/>
  <c r="T14" i="55"/>
  <c r="T60" i="55"/>
  <c r="T58" i="55"/>
  <c r="T59" i="55"/>
  <c r="T20" i="55"/>
  <c r="T36" i="55"/>
  <c r="T45" i="55"/>
  <c r="T38" i="55"/>
  <c r="T31" i="55"/>
  <c r="T9" i="55"/>
  <c r="T66" i="55"/>
  <c r="T69" i="55"/>
  <c r="T18" i="55"/>
  <c r="T34" i="55"/>
  <c r="T43" i="55"/>
  <c r="T67" i="55"/>
  <c r="T44" i="55"/>
  <c r="T21" i="55"/>
  <c r="T10" i="55"/>
  <c r="O5" i="50"/>
  <c r="P5" i="50" s="1"/>
  <c r="F4" i="50"/>
  <c r="O4" i="50"/>
  <c r="P4" i="50" s="1"/>
  <c r="O6" i="50"/>
  <c r="P6" i="50" s="1"/>
  <c r="T21" i="57"/>
  <c r="T34" i="57"/>
  <c r="T13" i="57"/>
  <c r="T17" i="57"/>
  <c r="T22" i="57"/>
  <c r="T48" i="57"/>
  <c r="T25" i="57"/>
  <c r="D8" i="50"/>
  <c r="T65" i="57"/>
  <c r="T57" i="57"/>
  <c r="T42" i="57"/>
  <c r="T19" i="57"/>
  <c r="T23" i="57"/>
  <c r="T50" i="57"/>
  <c r="T69" i="57"/>
  <c r="T36" i="57"/>
  <c r="T33" i="57"/>
  <c r="T60" i="57"/>
  <c r="T32" i="57"/>
  <c r="T51" i="57"/>
  <c r="T38" i="57"/>
  <c r="T47" i="57"/>
  <c r="T10" i="57"/>
  <c r="T31" i="57"/>
  <c r="T28" i="57"/>
  <c r="T37" i="57"/>
  <c r="T52" i="57"/>
  <c r="T14" i="57"/>
  <c r="T39" i="57"/>
  <c r="T41" i="57"/>
  <c r="T54" i="57"/>
  <c r="T58" i="57"/>
  <c r="T16" i="57"/>
  <c r="T30" i="57"/>
  <c r="T15" i="57"/>
  <c r="T44" i="57"/>
  <c r="T29" i="57"/>
  <c r="T20" i="57"/>
  <c r="T24" i="57"/>
  <c r="T67" i="57"/>
  <c r="T66" i="57"/>
  <c r="T62" i="57"/>
  <c r="T56" i="57"/>
  <c r="T53" i="57"/>
  <c r="T11" i="57"/>
  <c r="T40" i="57"/>
  <c r="T26" i="57"/>
  <c r="T68" i="57"/>
  <c r="T49" i="57"/>
  <c r="T18" i="57"/>
  <c r="T46" i="57"/>
  <c r="T45" i="57"/>
  <c r="T59" i="57"/>
  <c r="T27" i="57"/>
  <c r="T12" i="57"/>
  <c r="T35" i="57"/>
  <c r="T64" i="57"/>
  <c r="T55" i="57"/>
  <c r="T67" i="61"/>
  <c r="T43" i="58"/>
  <c r="T38" i="59"/>
  <c r="T16" i="59"/>
  <c r="T33" i="59"/>
  <c r="T55" i="59"/>
  <c r="T69" i="59"/>
  <c r="T57" i="59"/>
  <c r="T65" i="59"/>
  <c r="T42" i="59"/>
  <c r="T17" i="59"/>
  <c r="T26" i="59"/>
  <c r="T14" i="59"/>
  <c r="T43" i="59"/>
  <c r="T37" i="59"/>
  <c r="T62" i="59"/>
  <c r="T45" i="59"/>
  <c r="T35" i="59"/>
  <c r="T68" i="59"/>
  <c r="T61" i="59"/>
  <c r="T34" i="59"/>
  <c r="T64" i="59"/>
  <c r="T25" i="59"/>
  <c r="T53" i="59"/>
  <c r="T63" i="59"/>
  <c r="T13" i="59"/>
  <c r="T66" i="59"/>
  <c r="T50" i="59"/>
  <c r="D10" i="50"/>
  <c r="T56" i="59"/>
  <c r="T47" i="59"/>
  <c r="T20" i="59"/>
  <c r="T19" i="59"/>
  <c r="T22" i="59"/>
  <c r="T54" i="59"/>
  <c r="T67" i="59"/>
  <c r="T58" i="59"/>
  <c r="T31" i="59"/>
  <c r="T41" i="59"/>
  <c r="T49" i="59"/>
  <c r="T30" i="59"/>
  <c r="T39" i="59"/>
  <c r="T24" i="59"/>
  <c r="T40" i="59"/>
  <c r="T32" i="59"/>
  <c r="T23" i="59"/>
  <c r="T21" i="59"/>
  <c r="T12" i="59"/>
  <c r="T44" i="59"/>
  <c r="T60" i="59"/>
  <c r="T28" i="59"/>
  <c r="T36" i="59"/>
  <c r="T15" i="59"/>
  <c r="T52" i="59"/>
  <c r="T51" i="59"/>
  <c r="T46" i="59"/>
  <c r="T29" i="59"/>
  <c r="T48" i="59"/>
  <c r="T43" i="57"/>
  <c r="T23" i="60"/>
  <c r="T50" i="54"/>
  <c r="T25" i="58"/>
  <c r="T26" i="61"/>
  <c r="T68" i="61"/>
  <c r="T32" i="61"/>
  <c r="T66" i="61"/>
  <c r="T63" i="61"/>
  <c r="T69" i="61"/>
  <c r="T35" i="61"/>
  <c r="T55" i="61"/>
  <c r="T22" i="61"/>
  <c r="T31" i="61"/>
  <c r="T65" i="61"/>
  <c r="T37" i="61"/>
  <c r="T64" i="61"/>
  <c r="T21" i="61"/>
  <c r="T42" i="61"/>
  <c r="T59" i="61"/>
  <c r="T50" i="61"/>
  <c r="T16" i="61"/>
  <c r="T15" i="61"/>
  <c r="T53" i="61"/>
  <c r="T23" i="61"/>
  <c r="T56" i="61"/>
  <c r="T33" i="61"/>
  <c r="T48" i="61"/>
  <c r="T61" i="61"/>
  <c r="T49" i="61"/>
  <c r="T44" i="61"/>
  <c r="T54" i="61"/>
  <c r="T38" i="61"/>
  <c r="T40" i="61"/>
  <c r="T60" i="61"/>
  <c r="T62" i="61"/>
  <c r="T25" i="61"/>
  <c r="T28" i="61"/>
  <c r="T19" i="61"/>
  <c r="T52" i="61"/>
  <c r="T39" i="61"/>
  <c r="T18" i="61"/>
  <c r="T34" i="61"/>
  <c r="T20" i="61"/>
  <c r="T57" i="61"/>
  <c r="T29" i="61"/>
  <c r="T36" i="61"/>
  <c r="T24" i="61"/>
  <c r="T17" i="61"/>
  <c r="T43" i="61"/>
  <c r="T51" i="61"/>
  <c r="T46" i="61"/>
  <c r="T58" i="61"/>
  <c r="D12" i="50"/>
  <c r="T45" i="61"/>
  <c r="T27" i="61"/>
  <c r="T47" i="61"/>
  <c r="T30" i="61"/>
  <c r="T14" i="61"/>
  <c r="S70" i="53"/>
  <c r="S70" i="61" l="1"/>
  <c r="U10" i="50"/>
  <c r="V10" i="50" s="1"/>
  <c r="G10" i="50" s="1"/>
  <c r="F10" i="50"/>
  <c r="F8" i="50"/>
  <c r="O8" i="50"/>
  <c r="P8" i="50" s="1"/>
  <c r="O10" i="50"/>
  <c r="P10" i="50" s="1"/>
  <c r="O9" i="50"/>
  <c r="P9" i="50" s="1"/>
  <c r="L9" i="50"/>
  <c r="M9" i="50" s="1"/>
  <c r="L10" i="50"/>
  <c r="M10" i="50" s="1"/>
  <c r="L8" i="50"/>
  <c r="M8" i="50" s="1"/>
  <c r="G7" i="50" s="1"/>
  <c r="R10" i="50"/>
  <c r="S10" i="50" s="1"/>
  <c r="R9" i="50"/>
  <c r="S9" i="50" s="1"/>
  <c r="G9" i="50" s="1"/>
  <c r="F9" i="50"/>
  <c r="O12" i="50"/>
  <c r="P12" i="50" s="1"/>
  <c r="G12" i="50" s="1"/>
  <c r="F12" i="50"/>
  <c r="S70" i="59"/>
  <c r="S70" i="57"/>
  <c r="G4" i="50"/>
  <c r="F6" i="50"/>
  <c r="U6" i="50"/>
  <c r="V6" i="50" s="1"/>
  <c r="G6" i="50" s="1"/>
  <c r="S70" i="55"/>
  <c r="F11" i="50"/>
  <c r="L12" i="50"/>
  <c r="M12" i="50" s="1"/>
  <c r="L11" i="50"/>
  <c r="M11" i="50" s="1"/>
  <c r="G11" i="50" s="1"/>
  <c r="S70" i="60"/>
  <c r="R5" i="50"/>
  <c r="S5" i="50" s="1"/>
  <c r="F5" i="50"/>
  <c r="R6" i="50"/>
  <c r="S6" i="50" s="1"/>
  <c r="L5" i="50"/>
  <c r="M5" i="50" s="1"/>
  <c r="G3" i="50" s="1"/>
  <c r="L6" i="50"/>
  <c r="M6" i="50" s="1"/>
  <c r="S70" i="54"/>
  <c r="S70" i="58"/>
  <c r="G5" i="50" l="1"/>
  <c r="G8" i="50"/>
</calcChain>
</file>

<file path=xl/sharedStrings.xml><?xml version="1.0" encoding="utf-8"?>
<sst xmlns="http://schemas.openxmlformats.org/spreadsheetml/2006/main" count="416" uniqueCount="61">
  <si>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</si>
  <si>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</si>
  <si>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</si>
  <si>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</si>
  <si>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</si>
  <si>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</si>
  <si>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</si>
  <si>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</si>
  <si>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</si>
  <si>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</si>
  <si>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</si>
  <si>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</si>
  <si>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</si>
  <si>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Return to Education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</si>
  <si>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</si>
  <si>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</si>
  <si>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</si>
  <si>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</si>
  <si>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</si>
  <si>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</si>
  <si>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</si>
  <si>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</si>
  <si>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</si>
  <si>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</si>
  <si>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</si>
  <si>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</si>
  <si>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</si>
  <si>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</si>
  <si>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</si>
  <si>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</si>
  <si>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</si>
  <si>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</si>
  <si>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</si>
  <si>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</si>
  <si>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</si>
  <si>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</si>
  <si>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</si>
  <si>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</si>
  <si>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</si>
  <si>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</si>
  <si>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</si>
  <si>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</si>
  <si>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</si>
  <si>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Social Income</t>
  </si>
  <si>
    <t>Social Benefits</t>
  </si>
  <si>
    <t>Social Unemployment</t>
  </si>
  <si>
    <t>Social Participation</t>
  </si>
  <si>
    <t>Average Net Tax Rate</t>
  </si>
  <si>
    <t>Expected Productivity if Participating</t>
  </si>
  <si>
    <t>Participation</t>
  </si>
  <si>
    <t>Nonparticipation Transfers</t>
  </si>
  <si>
    <t>Crime Risk Factor from crimeworksheet.xls</t>
  </si>
  <si>
    <t>Social Crime Cost</t>
  </si>
  <si>
    <t>Expected Crime Costs</t>
  </si>
  <si>
    <t>Enhanced Participation Benefit</t>
  </si>
  <si>
    <t>Initial Social Participation</t>
  </si>
  <si>
    <t>Social Return to Education</t>
  </si>
  <si>
    <t>Crime Reduction Benefit</t>
  </si>
  <si>
    <t>Expected Productivity Benefit</t>
  </si>
  <si>
    <t>All other variables from metapartm.xls and text</t>
  </si>
  <si>
    <t xml:space="preserve">Crime Risk Factor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</si>
</sst>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8" formatCode="0.000"/>
    <numFmt numFmtId="170" formatCode="0.0000000"/>
    <numFmt numFmtId="171" formatCode="0.0000"/>
    <numFmt numFmtId="173" formatCode="0.0"/>
    <numFmt numFmtId="174" formatCode="0.0%"/>
  </numFmts>
  <fonts count="8" x14ac:knownFonts="1">
    <font>
      <sz val="10"/>
      <name val="Arial"/>
      <family val="2"/>
    </font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8" fontId="3" fillId="0" borderId="0" applyFont="0" applyAlignment="0"/>
    <xf numFmtId="3" fontId="3" fillId="0" borderId="0"/>
    <xf numFmtId="1" fontId="3" fillId="0" borderId="0"/>
    <xf numFmtId="174" fontId="3" fillId="0" borderId="0"/>
    <xf numFmtId="168" fontId="6" fillId="0" borderId="0"/>
  </cellStyleXfs>
  <cellXfs count="32">
    <xf numFmtId="0" fontId="0" fillId="0" borderId="0" xfId="0"/>
    <xf numFmtId="168" fontId="0" fillId="0" borderId="0" xfId="0" applyNumberFormat="1"/>
    <xf numFmtId="168" fontId="3" fillId="0" borderId="0" xfId="0" applyNumberFormat="1" applyFont="1"/>
    <xf numFmtId="168" fontId="4" fillId="0" borderId="0" xfId="0" applyNumberFormat="1" applyFont="1"/>
    <xf numFmtId="170" fontId="0" fillId="0" borderId="0" xfId="0" applyNumberFormat="1"/>
    <xf numFmtId="1" fontId="0" fillId="0" borderId="0" xfId="0" applyNumberFormat="1"/>
    <xf numFmtId="171" fontId="0" fillId="0" borderId="0" xfId="0" applyNumberFormat="1"/>
    <xf numFmtId="1" fontId="3" fillId="0" borderId="0" xfId="0" applyNumberFormat="1" applyFont="1"/>
    <xf numFmtId="168" fontId="1" fillId="0" borderId="0" xfId="0" applyNumberFormat="1" applyFont="1"/>
    <xf numFmtId="0" fontId="1" fillId="0" borderId="0" xfId="0" applyFont="1"/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 applyAlignment="1">
      <alignment vertical="top" wrapText="1"/>
    </xf>
    <xf numFmtId="168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73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8" fontId="0" fillId="0" borderId="0" xfId="0" applyNumberFormat="1" applyFont="1"/>
    <xf numFmtId="3" fontId="3" fillId="0" borderId="0" xfId="2"/>
    <xf numFmtId="1" fontId="3" fillId="0" borderId="0" xfId="3"/>
    <xf numFmtId="0" fontId="0" fillId="0" borderId="0" xfId="0" applyAlignment="1">
      <alignment horizontal="right" vertical="center"/>
    </xf>
    <xf numFmtId="168" fontId="0" fillId="0" borderId="0" xfId="1" applyFont="1" applyAlignment="1">
      <alignment horizontal="right" vertical="center"/>
    </xf>
    <xf numFmtId="3" fontId="0" fillId="0" borderId="0" xfId="0" applyNumberFormat="1" applyFont="1"/>
    <xf numFmtId="168" fontId="3" fillId="0" borderId="0" xfId="1"/>
    <xf numFmtId="1" fontId="0" fillId="0" borderId="0" xfId="0" applyNumberFormat="1" applyFont="1"/>
    <xf numFmtId="0" fontId="0" fillId="0" borderId="0" xfId="0" applyNumberFormat="1" applyFont="1" applyBorder="1"/>
    <xf numFmtId="168" fontId="0" fillId="0" borderId="0" xfId="1" applyFont="1"/>
    <xf numFmtId="49" fontId="1" fillId="0" borderId="0" xfId="0" applyNumberFormat="1" applyFont="1"/>
    <xf numFmtId="0" fontId="7" fillId="0" borderId="0" xfId="0" applyFont="1" applyAlignment="1">
      <alignment horizontal="right" vertical="center"/>
    </xf>
  </cellXfs>
  <cellStyles count="6">
    <cellStyle name="3Decimals" xfId="1"/>
    <cellStyle name="NoDecimals" xfId="2"/>
    <cellStyle name="NoDecimalsNoComma" xfId="3"/>
    <cellStyle name="Normal" xfId="0" builtinId="0" customBuiltin="1"/>
    <cellStyle name="PercentOneDecimal" xfId="4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workbookViewId="0">
      <selection activeCell="S10" sqref="S10"/>
    </sheetView>
  </sheetViews>
  <sheetFormatPr defaultRowHeight="12.75" x14ac:dyDescent="0.2"/>
  <cols>
    <col min="1" max="1" width="9.140625" style="18"/>
    <col min="2" max="3" width="12.42578125" style="8" customWidth="1"/>
    <col min="4" max="7" width="9.140625" style="8"/>
    <col min="8" max="8" width="9.5703125" style="8" customWidth="1"/>
    <col min="9" max="10" width="9.140625" style="8"/>
    <col min="11" max="11" width="9.5703125" style="8" customWidth="1"/>
    <col min="12" max="12" width="9.140625" style="9"/>
    <col min="13" max="16384" width="9.140625" style="8"/>
  </cols>
  <sheetData>
    <row r="1" spans="1:24" x14ac:dyDescent="0.2">
      <c r="A1" s="18" t="s">
        <v>5</v>
      </c>
      <c r="B1" s="20" t="s">
        <v>35</v>
      </c>
      <c r="C1" s="20" t="s">
        <v>36</v>
      </c>
      <c r="D1" s="8" t="s">
        <v>9</v>
      </c>
      <c r="E1" s="8" t="s">
        <v>8</v>
      </c>
      <c r="F1" s="20" t="s">
        <v>42</v>
      </c>
      <c r="H1" s="8" t="s">
        <v>3</v>
      </c>
      <c r="I1" s="8" t="s">
        <v>4</v>
      </c>
      <c r="L1" s="9" t="s">
        <v>16</v>
      </c>
      <c r="M1" s="8" t="s">
        <v>1</v>
      </c>
      <c r="N1" s="20" t="s">
        <v>0</v>
      </c>
      <c r="O1" s="20" t="s">
        <v>60</v>
      </c>
      <c r="P1" s="8" t="s">
        <v>39</v>
      </c>
      <c r="Q1" s="8" t="s">
        <v>40</v>
      </c>
      <c r="R1" s="8" t="s">
        <v>41</v>
      </c>
      <c r="S1" s="20" t="s">
        <v>50</v>
      </c>
      <c r="T1" s="20" t="s">
        <v>43</v>
      </c>
      <c r="U1" s="20" t="s">
        <v>44</v>
      </c>
      <c r="V1" s="20" t="s">
        <v>45</v>
      </c>
      <c r="W1" s="20" t="s">
        <v>52</v>
      </c>
      <c r="X1" s="20" t="s">
        <v>46</v>
      </c>
    </row>
    <row r="2" spans="1:24" x14ac:dyDescent="0.2">
      <c r="A2" s="18">
        <v>8</v>
      </c>
      <c r="B2" s="19">
        <v>45691</v>
      </c>
      <c r="C2" s="19">
        <v>20561</v>
      </c>
      <c r="D2" s="23">
        <v>5.8999999999999997E-2</v>
      </c>
      <c r="E2" s="23">
        <v>1</v>
      </c>
      <c r="F2" s="23">
        <v>0.71199999999999997</v>
      </c>
      <c r="G2" s="24"/>
      <c r="H2" s="8">
        <v>2.5000000000000001E-2</v>
      </c>
      <c r="I2" s="10">
        <f>AVERAGE(M2:M53)</f>
        <v>2.0085479604911836</v>
      </c>
      <c r="J2" s="13"/>
      <c r="K2" s="18"/>
      <c r="L2" s="9">
        <v>0</v>
      </c>
      <c r="M2" s="8">
        <f t="shared" ref="M2:M33" si="0">(1+experiencepremium)^L2</f>
        <v>1</v>
      </c>
      <c r="N2" s="22">
        <v>14</v>
      </c>
      <c r="O2" s="31">
        <v>0.86599999999999999</v>
      </c>
      <c r="P2" s="25">
        <v>11298</v>
      </c>
      <c r="Q2" s="25">
        <v>8279</v>
      </c>
      <c r="R2" s="8">
        <v>0.28000000000000003</v>
      </c>
      <c r="S2" s="22">
        <f>4362+2192</f>
        <v>6554</v>
      </c>
      <c r="T2" s="19">
        <v>60028</v>
      </c>
      <c r="U2" s="19">
        <v>26364</v>
      </c>
      <c r="V2" s="23">
        <v>4.3999999999999997E-2</v>
      </c>
      <c r="W2" s="19">
        <v>2405</v>
      </c>
      <c r="X2" s="23">
        <v>0.77400000000000002</v>
      </c>
    </row>
    <row r="3" spans="1:24" x14ac:dyDescent="0.2">
      <c r="A3" s="18">
        <v>9</v>
      </c>
      <c r="B3" s="19">
        <v>47336</v>
      </c>
      <c r="C3" s="19">
        <v>21301</v>
      </c>
      <c r="D3" s="23">
        <v>5.7000000000000002E-2</v>
      </c>
      <c r="E3" s="23">
        <v>0.97099999999999997</v>
      </c>
      <c r="F3" s="23">
        <v>0.72299999999999998</v>
      </c>
      <c r="G3" s="24"/>
      <c r="I3" s="10">
        <f>AVERAGE(M2:M52)</f>
        <v>1.978852107996969</v>
      </c>
      <c r="J3" s="13"/>
      <c r="K3" s="18"/>
      <c r="L3" s="9">
        <v>1</v>
      </c>
      <c r="M3" s="8">
        <f t="shared" si="0"/>
        <v>1.0249999999999999</v>
      </c>
      <c r="N3" s="22">
        <v>15</v>
      </c>
      <c r="O3" s="31">
        <v>1.54</v>
      </c>
      <c r="Q3" s="15"/>
      <c r="R3" s="15"/>
      <c r="T3" s="19">
        <v>62189</v>
      </c>
      <c r="U3" s="19">
        <v>27313</v>
      </c>
      <c r="V3" s="23">
        <v>4.2999999999999997E-2</v>
      </c>
      <c r="W3" s="19">
        <v>2290</v>
      </c>
      <c r="X3" s="23">
        <v>0.78600000000000003</v>
      </c>
    </row>
    <row r="4" spans="1:24" x14ac:dyDescent="0.2">
      <c r="A4" s="18">
        <v>10</v>
      </c>
      <c r="B4" s="19">
        <v>49040</v>
      </c>
      <c r="C4" s="19">
        <v>22068</v>
      </c>
      <c r="D4" s="23">
        <v>5.5E-2</v>
      </c>
      <c r="E4" s="23">
        <v>0.97099999999999997</v>
      </c>
      <c r="F4" s="23">
        <v>0.73499999999999999</v>
      </c>
      <c r="G4" s="24"/>
      <c r="I4" s="10">
        <f>AVERAGE(M2:M51)</f>
        <v>1.9496869757628374</v>
      </c>
      <c r="J4" s="13"/>
      <c r="K4" s="18"/>
      <c r="L4" s="9">
        <v>2</v>
      </c>
      <c r="M4" s="8">
        <f t="shared" si="0"/>
        <v>1.0506249999999999</v>
      </c>
      <c r="N4" s="22">
        <v>16</v>
      </c>
      <c r="O4" s="31">
        <v>2.0630000000000002</v>
      </c>
      <c r="Q4" s="15"/>
      <c r="R4" s="15"/>
      <c r="T4" s="19">
        <v>64428</v>
      </c>
      <c r="U4" s="19">
        <v>28296</v>
      </c>
      <c r="V4" s="23">
        <v>4.1000000000000002E-2</v>
      </c>
      <c r="W4" s="19">
        <v>2182</v>
      </c>
      <c r="X4" s="23">
        <v>0.79900000000000004</v>
      </c>
    </row>
    <row r="5" spans="1:24" x14ac:dyDescent="0.2">
      <c r="A5" s="18">
        <v>11</v>
      </c>
      <c r="B5" s="19">
        <v>50806</v>
      </c>
      <c r="C5" s="19">
        <v>22862</v>
      </c>
      <c r="D5" s="23">
        <v>5.2999999999999999E-2</v>
      </c>
      <c r="E5" s="23">
        <v>0.97099999999999997</v>
      </c>
      <c r="F5" s="23">
        <v>0.747</v>
      </c>
      <c r="G5" s="24"/>
      <c r="I5" s="10">
        <f>AVERAGE(M2:M50)</f>
        <v>1.9210422854781857</v>
      </c>
      <c r="J5" s="13"/>
      <c r="K5" s="18"/>
      <c r="L5" s="9">
        <v>3</v>
      </c>
      <c r="M5" s="8">
        <f t="shared" si="0"/>
        <v>1.0768906249999999</v>
      </c>
      <c r="N5" s="22">
        <v>17</v>
      </c>
      <c r="O5" s="31">
        <v>2.5329999999999999</v>
      </c>
      <c r="Q5" s="15"/>
      <c r="R5" s="15"/>
      <c r="T5" s="19">
        <v>66747</v>
      </c>
      <c r="U5" s="19">
        <v>29315</v>
      </c>
      <c r="V5" s="23">
        <v>0.04</v>
      </c>
      <c r="W5" s="19">
        <v>2078</v>
      </c>
      <c r="X5" s="23">
        <v>0.81200000000000006</v>
      </c>
    </row>
    <row r="6" spans="1:24" x14ac:dyDescent="0.2">
      <c r="A6" s="18">
        <v>12</v>
      </c>
      <c r="B6" s="19">
        <v>57024</v>
      </c>
      <c r="C6" s="19">
        <v>25661</v>
      </c>
      <c r="D6" s="23">
        <v>4.5999999999999999E-2</v>
      </c>
      <c r="E6" s="23">
        <v>0.97099999999999997</v>
      </c>
      <c r="F6" s="23">
        <v>0.78800000000000003</v>
      </c>
      <c r="G6" s="24"/>
      <c r="I6" s="10">
        <f>AVERAGE(M2:M49)</f>
        <v>1.8929079672445346</v>
      </c>
      <c r="J6" s="13"/>
      <c r="K6" s="18"/>
      <c r="L6" s="9">
        <v>4</v>
      </c>
      <c r="M6" s="8">
        <f t="shared" si="0"/>
        <v>1.1038128906249998</v>
      </c>
      <c r="N6" s="22">
        <v>18</v>
      </c>
      <c r="O6" s="31">
        <v>3.2090000000000001</v>
      </c>
      <c r="Q6" s="15"/>
      <c r="R6" s="15"/>
      <c r="T6" s="19">
        <v>69150</v>
      </c>
      <c r="U6" s="19">
        <v>30370</v>
      </c>
      <c r="V6" s="23">
        <v>3.7999999999999999E-2</v>
      </c>
      <c r="W6" s="19">
        <v>1979</v>
      </c>
      <c r="X6" s="23">
        <v>0.82499999999999996</v>
      </c>
    </row>
    <row r="7" spans="1:24" x14ac:dyDescent="0.2">
      <c r="A7" s="18">
        <v>13</v>
      </c>
      <c r="B7" s="19">
        <v>59234</v>
      </c>
      <c r="C7" s="19">
        <v>26514</v>
      </c>
      <c r="D7" s="23">
        <v>4.4999999999999998E-2</v>
      </c>
      <c r="E7" s="23">
        <v>0.77500000000000002</v>
      </c>
      <c r="F7" s="23">
        <v>0.79500000000000004</v>
      </c>
      <c r="G7" s="24"/>
      <c r="I7" s="10">
        <f>AVERAGE(M2:M48)</f>
        <v>1.8652741552202943</v>
      </c>
      <c r="J7" s="13"/>
      <c r="K7" s="18"/>
      <c r="L7" s="9">
        <v>5</v>
      </c>
      <c r="M7" s="8">
        <f t="shared" si="0"/>
        <v>1.1314082128906247</v>
      </c>
      <c r="N7" s="22">
        <v>19</v>
      </c>
      <c r="O7" s="31">
        <v>3.4049999999999998</v>
      </c>
      <c r="Q7" s="15"/>
      <c r="R7" s="15"/>
      <c r="T7" s="19">
        <v>71830</v>
      </c>
      <c r="U7" s="19">
        <v>31381</v>
      </c>
      <c r="V7" s="23">
        <v>3.6999999999999998E-2</v>
      </c>
      <c r="W7" s="19">
        <v>1947</v>
      </c>
      <c r="X7" s="23">
        <v>0.83199999999999996</v>
      </c>
    </row>
    <row r="8" spans="1:24" x14ac:dyDescent="0.2">
      <c r="A8" s="18">
        <v>14</v>
      </c>
      <c r="B8" s="19">
        <v>61529</v>
      </c>
      <c r="C8" s="19">
        <v>27396</v>
      </c>
      <c r="D8" s="23">
        <v>4.3999999999999997E-2</v>
      </c>
      <c r="E8" s="23">
        <v>0.77500000000000002</v>
      </c>
      <c r="F8" s="23">
        <v>0.80100000000000005</v>
      </c>
      <c r="G8" s="24"/>
      <c r="I8" s="10">
        <f>AVERAGE(M2:M47)</f>
        <v>1.8381311833585117</v>
      </c>
      <c r="J8" s="13"/>
      <c r="K8" s="18"/>
      <c r="L8" s="9">
        <v>6</v>
      </c>
      <c r="M8" s="8">
        <f t="shared" si="0"/>
        <v>1.1596934182128902</v>
      </c>
      <c r="N8" s="22">
        <v>20</v>
      </c>
      <c r="O8" s="31">
        <v>3.2679999999999998</v>
      </c>
      <c r="Q8" s="15"/>
      <c r="R8" s="15"/>
      <c r="T8" s="19">
        <v>74613</v>
      </c>
      <c r="U8" s="19">
        <v>32425</v>
      </c>
      <c r="V8" s="23">
        <v>3.5999999999999997E-2</v>
      </c>
      <c r="W8" s="19">
        <v>1915</v>
      </c>
      <c r="X8" s="23">
        <v>0.83899999999999997</v>
      </c>
    </row>
    <row r="9" spans="1:24" x14ac:dyDescent="0.2">
      <c r="A9" s="18">
        <v>15</v>
      </c>
      <c r="B9" s="19">
        <v>63914</v>
      </c>
      <c r="C9" s="19">
        <v>28308</v>
      </c>
      <c r="D9" s="23">
        <v>4.2000000000000003E-2</v>
      </c>
      <c r="E9" s="23">
        <v>0.77500000000000002</v>
      </c>
      <c r="F9" s="23">
        <v>0.80800000000000005</v>
      </c>
      <c r="G9" s="24"/>
      <c r="I9" s="10">
        <f>AVERAGE(M2:M46)</f>
        <v>1.8114695812355892</v>
      </c>
      <c r="J9" s="13"/>
      <c r="K9" s="18"/>
      <c r="L9" s="9">
        <v>7</v>
      </c>
      <c r="M9" s="8">
        <f t="shared" si="0"/>
        <v>1.1886857536682125</v>
      </c>
      <c r="N9" s="22">
        <v>21</v>
      </c>
      <c r="O9" s="31">
        <v>3.0110000000000001</v>
      </c>
      <c r="Q9" s="15"/>
      <c r="R9" s="15"/>
      <c r="T9" s="19">
        <v>77505</v>
      </c>
      <c r="U9" s="19">
        <v>33504</v>
      </c>
      <c r="V9" s="23">
        <v>3.5000000000000003E-2</v>
      </c>
      <c r="W9" s="19">
        <v>1883</v>
      </c>
      <c r="X9" s="23">
        <v>0.84599999999999997</v>
      </c>
    </row>
    <row r="10" spans="1:24" x14ac:dyDescent="0.2">
      <c r="A10" s="18">
        <v>16</v>
      </c>
      <c r="B10" s="19">
        <v>80508</v>
      </c>
      <c r="C10" s="19">
        <v>34618</v>
      </c>
      <c r="D10" s="23">
        <v>3.4000000000000002E-2</v>
      </c>
      <c r="E10" s="23">
        <v>0.77500000000000002</v>
      </c>
      <c r="F10" s="23">
        <v>0.85299999999999998</v>
      </c>
      <c r="G10" s="24"/>
      <c r="I10" s="10">
        <f>AVERAGE(M2:M45)</f>
        <v>1.7852800699689915</v>
      </c>
      <c r="J10" s="13"/>
      <c r="K10" s="18"/>
      <c r="L10" s="9">
        <v>8</v>
      </c>
      <c r="M10" s="8">
        <f t="shared" si="0"/>
        <v>1.2184028975099177</v>
      </c>
      <c r="N10" s="22">
        <v>22</v>
      </c>
      <c r="O10" s="31">
        <v>2.746</v>
      </c>
      <c r="Q10" s="15"/>
      <c r="R10" s="15"/>
      <c r="T10" s="19">
        <v>80508</v>
      </c>
      <c r="U10" s="19">
        <v>34618</v>
      </c>
      <c r="V10" s="23">
        <v>3.4000000000000002E-2</v>
      </c>
      <c r="W10" s="19">
        <v>1852</v>
      </c>
      <c r="X10" s="23">
        <v>0.85299999999999998</v>
      </c>
    </row>
    <row r="11" spans="1:24" x14ac:dyDescent="0.2">
      <c r="A11" s="18">
        <v>17</v>
      </c>
      <c r="B11" s="19">
        <v>82413</v>
      </c>
      <c r="C11" s="19">
        <v>35289</v>
      </c>
      <c r="D11" s="23">
        <v>3.4000000000000002E-2</v>
      </c>
      <c r="E11" s="23">
        <v>0.52100000000000002</v>
      </c>
      <c r="F11" s="23">
        <v>0.85299999999999998</v>
      </c>
      <c r="G11" s="24"/>
      <c r="I11" s="10">
        <f>AVERAGE(M2:M44)</f>
        <v>1.7595535582220223</v>
      </c>
      <c r="J11" s="13"/>
      <c r="K11" s="18"/>
      <c r="L11" s="9">
        <v>9</v>
      </c>
      <c r="M11" s="8">
        <f t="shared" si="0"/>
        <v>1.2488629699476654</v>
      </c>
      <c r="N11" s="22">
        <v>23</v>
      </c>
      <c r="O11" s="31">
        <v>2.56</v>
      </c>
      <c r="Q11" s="15"/>
      <c r="R11" s="15"/>
      <c r="T11" s="19">
        <v>82413</v>
      </c>
      <c r="U11" s="19">
        <v>35289</v>
      </c>
      <c r="V11" s="23">
        <v>3.4000000000000002E-2</v>
      </c>
      <c r="W11" s="19">
        <v>1852</v>
      </c>
      <c r="X11" s="23">
        <v>0.85299999999999998</v>
      </c>
    </row>
    <row r="12" spans="1:24" x14ac:dyDescent="0.2">
      <c r="A12" s="18">
        <v>18</v>
      </c>
      <c r="B12" s="19">
        <v>95479</v>
      </c>
      <c r="C12" s="19">
        <v>39871</v>
      </c>
      <c r="D12" s="23">
        <v>3.1E-2</v>
      </c>
      <c r="E12" s="23">
        <v>0.52100000000000002</v>
      </c>
      <c r="F12" s="23">
        <v>0.85299999999999998</v>
      </c>
      <c r="G12" s="24"/>
      <c r="I12" s="10">
        <f>AVERAGE(M2:M43)</f>
        <v>1.7342811382937739</v>
      </c>
      <c r="J12" s="13"/>
      <c r="K12" s="18"/>
      <c r="L12" s="9">
        <v>10</v>
      </c>
      <c r="M12" s="8">
        <f t="shared" si="0"/>
        <v>1.2800845441963571</v>
      </c>
      <c r="N12" s="22">
        <v>24</v>
      </c>
      <c r="O12" s="31">
        <v>2.4420000000000002</v>
      </c>
      <c r="Q12" s="15"/>
      <c r="R12" s="15"/>
      <c r="T12" s="19">
        <v>84363</v>
      </c>
      <c r="U12" s="19">
        <v>35973</v>
      </c>
      <c r="V12" s="23">
        <v>3.3000000000000002E-2</v>
      </c>
      <c r="W12" s="19">
        <v>1852</v>
      </c>
      <c r="X12" s="23">
        <v>0.85299999999999998</v>
      </c>
    </row>
    <row r="13" spans="1:24" x14ac:dyDescent="0.2">
      <c r="B13"/>
      <c r="C13"/>
      <c r="F13" s="2"/>
      <c r="L13" s="9">
        <v>11</v>
      </c>
      <c r="M13" s="8">
        <f t="shared" si="0"/>
        <v>1.312086657801266</v>
      </c>
      <c r="N13" s="22">
        <v>25</v>
      </c>
      <c r="O13" s="31">
        <v>2.0329999999999999</v>
      </c>
    </row>
    <row r="14" spans="1:24" x14ac:dyDescent="0.2">
      <c r="B14" s="14"/>
      <c r="C14" s="14"/>
      <c r="D14" s="16"/>
      <c r="E14" s="16"/>
      <c r="F14" s="16"/>
      <c r="L14" s="9">
        <v>12</v>
      </c>
      <c r="M14" s="8">
        <f t="shared" si="0"/>
        <v>1.3448888242462975</v>
      </c>
      <c r="N14" s="22">
        <v>26</v>
      </c>
      <c r="O14" s="31">
        <v>2.0329999999999999</v>
      </c>
    </row>
    <row r="15" spans="1:24" ht="14.25" x14ac:dyDescent="0.2">
      <c r="B15" s="14"/>
      <c r="C15" s="14"/>
      <c r="D15" s="17"/>
      <c r="E15" s="17"/>
      <c r="F15" s="28"/>
      <c r="L15" s="9">
        <v>13</v>
      </c>
      <c r="M15" s="8">
        <f t="shared" si="0"/>
        <v>1.3785110448524549</v>
      </c>
      <c r="N15" s="22">
        <v>27</v>
      </c>
      <c r="O15" s="31">
        <v>2.0329999999999999</v>
      </c>
    </row>
    <row r="16" spans="1:24" ht="14.25" x14ac:dyDescent="0.2">
      <c r="B16" s="14"/>
      <c r="C16" s="14"/>
      <c r="D16" s="17"/>
      <c r="E16" s="17"/>
      <c r="F16" s="16" t="s">
        <v>51</v>
      </c>
      <c r="L16" s="9">
        <v>14</v>
      </c>
      <c r="M16" s="8">
        <f t="shared" si="0"/>
        <v>1.4129738209737661</v>
      </c>
      <c r="N16" s="22">
        <v>28</v>
      </c>
      <c r="O16" s="31">
        <v>2.0329999999999999</v>
      </c>
    </row>
    <row r="17" spans="2:15" ht="14.25" x14ac:dyDescent="0.2">
      <c r="B17" s="14"/>
      <c r="C17" s="14"/>
      <c r="D17" s="17"/>
      <c r="E17" s="17"/>
      <c r="F17" s="28" t="s">
        <v>59</v>
      </c>
      <c r="L17" s="9">
        <v>15</v>
      </c>
      <c r="M17" s="8">
        <f t="shared" si="0"/>
        <v>1.4482981664981105</v>
      </c>
      <c r="N17" s="22">
        <v>29</v>
      </c>
      <c r="O17" s="31">
        <v>2.0329999999999999</v>
      </c>
    </row>
    <row r="18" spans="2:15" ht="14.25" x14ac:dyDescent="0.2">
      <c r="B18" s="14"/>
      <c r="C18" s="14"/>
      <c r="D18" s="17"/>
      <c r="E18" s="17"/>
      <c r="F18" s="16"/>
      <c r="L18" s="9">
        <v>16</v>
      </c>
      <c r="M18" s="8">
        <f t="shared" si="0"/>
        <v>1.4845056206605631</v>
      </c>
      <c r="N18" s="22">
        <v>30</v>
      </c>
      <c r="O18" s="31">
        <v>1.675</v>
      </c>
    </row>
    <row r="19" spans="2:15" ht="14.25" x14ac:dyDescent="0.2">
      <c r="B19" s="14"/>
      <c r="C19" s="14"/>
      <c r="D19" s="17"/>
      <c r="E19" s="17"/>
      <c r="F19" s="16"/>
      <c r="L19" s="9">
        <v>17</v>
      </c>
      <c r="M19" s="8">
        <f t="shared" si="0"/>
        <v>1.521618261177077</v>
      </c>
      <c r="N19" s="22">
        <v>31</v>
      </c>
      <c r="O19" s="31">
        <v>1.675</v>
      </c>
    </row>
    <row r="20" spans="2:15" ht="14.25" x14ac:dyDescent="0.2">
      <c r="B20" s="14"/>
      <c r="C20" s="14"/>
      <c r="D20" s="17"/>
      <c r="E20" s="17"/>
      <c r="F20" s="16"/>
      <c r="L20" s="9">
        <v>18</v>
      </c>
      <c r="M20" s="8">
        <f t="shared" si="0"/>
        <v>1.559658717706504</v>
      </c>
      <c r="N20" s="22">
        <v>32</v>
      </c>
      <c r="O20" s="31">
        <v>1.675</v>
      </c>
    </row>
    <row r="21" spans="2:15" ht="14.25" x14ac:dyDescent="0.2">
      <c r="B21" s="14"/>
      <c r="C21" s="14"/>
      <c r="D21" s="17"/>
      <c r="E21" s="17"/>
      <c r="F21" s="16"/>
      <c r="L21" s="9">
        <v>19</v>
      </c>
      <c r="M21" s="8">
        <f t="shared" si="0"/>
        <v>1.5986501856491666</v>
      </c>
      <c r="N21" s="22">
        <v>33</v>
      </c>
      <c r="O21" s="31">
        <v>1.675</v>
      </c>
    </row>
    <row r="22" spans="2:15" ht="14.25" x14ac:dyDescent="0.2">
      <c r="B22" s="14"/>
      <c r="C22" s="14"/>
      <c r="D22" s="17"/>
      <c r="E22" s="17"/>
      <c r="F22" s="16"/>
      <c r="L22" s="9">
        <v>20</v>
      </c>
      <c r="M22" s="8">
        <f t="shared" si="0"/>
        <v>1.6386164402903955</v>
      </c>
      <c r="N22" s="22">
        <v>34</v>
      </c>
      <c r="O22" s="31">
        <v>1.675</v>
      </c>
    </row>
    <row r="23" spans="2:15" ht="14.25" x14ac:dyDescent="0.2">
      <c r="B23" s="14"/>
      <c r="C23" s="14"/>
      <c r="D23" s="17"/>
      <c r="E23" s="17"/>
      <c r="F23" s="16"/>
      <c r="L23" s="9">
        <v>21</v>
      </c>
      <c r="M23" s="8">
        <f t="shared" si="0"/>
        <v>1.6795818512976552</v>
      </c>
      <c r="N23" s="22">
        <v>35</v>
      </c>
      <c r="O23" s="31">
        <v>1.266</v>
      </c>
    </row>
    <row r="24" spans="2:15" ht="14.25" x14ac:dyDescent="0.2">
      <c r="B24" s="14"/>
      <c r="C24" s="14"/>
      <c r="D24" s="17"/>
      <c r="E24" s="17"/>
      <c r="F24" s="16"/>
      <c r="L24" s="9">
        <v>22</v>
      </c>
      <c r="M24" s="8">
        <f t="shared" si="0"/>
        <v>1.7215713975800966</v>
      </c>
      <c r="N24" s="22">
        <v>36</v>
      </c>
      <c r="O24" s="31">
        <v>1.266</v>
      </c>
    </row>
    <row r="25" spans="2:15" ht="14.25" x14ac:dyDescent="0.2">
      <c r="B25" s="14"/>
      <c r="C25" s="14"/>
      <c r="D25" s="17"/>
      <c r="E25" s="17"/>
      <c r="F25" s="16"/>
      <c r="L25" s="9">
        <v>23</v>
      </c>
      <c r="M25" s="8">
        <f t="shared" si="0"/>
        <v>1.7646106825195991</v>
      </c>
      <c r="N25" s="22">
        <v>37</v>
      </c>
      <c r="O25" s="31">
        <v>1.266</v>
      </c>
    </row>
    <row r="26" spans="2:15" x14ac:dyDescent="0.2">
      <c r="B26" s="14"/>
      <c r="C26" s="14"/>
      <c r="D26" s="16"/>
      <c r="E26" s="16"/>
      <c r="F26" s="16"/>
      <c r="L26" s="9">
        <v>24</v>
      </c>
      <c r="M26" s="8">
        <f t="shared" si="0"/>
        <v>1.8087259495825889</v>
      </c>
      <c r="N26" s="22">
        <v>38</v>
      </c>
      <c r="O26" s="31">
        <v>1.266</v>
      </c>
    </row>
    <row r="27" spans="2:15" x14ac:dyDescent="0.2">
      <c r="B27" s="2"/>
      <c r="C27" s="2"/>
      <c r="D27" s="2"/>
      <c r="E27" s="2"/>
      <c r="F27" s="2"/>
      <c r="L27" s="9">
        <v>25</v>
      </c>
      <c r="M27" s="8">
        <f t="shared" si="0"/>
        <v>1.8539440983221533</v>
      </c>
      <c r="N27" s="22">
        <v>39</v>
      </c>
      <c r="O27" s="31">
        <v>1.266</v>
      </c>
    </row>
    <row r="28" spans="2:15" x14ac:dyDescent="0.2">
      <c r="B28" s="2"/>
      <c r="C28" s="2"/>
      <c r="D28" s="2"/>
      <c r="E28" s="2"/>
      <c r="F28" s="2"/>
      <c r="L28" s="9">
        <v>26</v>
      </c>
      <c r="M28" s="8">
        <f t="shared" si="0"/>
        <v>1.9002927007802071</v>
      </c>
      <c r="N28" s="22">
        <v>40</v>
      </c>
      <c r="O28" s="31">
        <v>1.131</v>
      </c>
    </row>
    <row r="29" spans="2:15" x14ac:dyDescent="0.2">
      <c r="L29" s="9">
        <v>27</v>
      </c>
      <c r="M29" s="8">
        <f t="shared" si="0"/>
        <v>1.9478000182997122</v>
      </c>
      <c r="N29" s="22">
        <v>41</v>
      </c>
      <c r="O29" s="31">
        <v>1.131</v>
      </c>
    </row>
    <row r="30" spans="2:15" x14ac:dyDescent="0.2">
      <c r="L30" s="9">
        <v>28</v>
      </c>
      <c r="M30" s="8">
        <f t="shared" si="0"/>
        <v>1.9964950187572048</v>
      </c>
      <c r="N30" s="22">
        <v>42</v>
      </c>
      <c r="O30" s="31">
        <v>1.131</v>
      </c>
    </row>
    <row r="31" spans="2:15" x14ac:dyDescent="0.2">
      <c r="L31" s="9">
        <v>29</v>
      </c>
      <c r="M31" s="8">
        <f t="shared" si="0"/>
        <v>2.0464073942261352</v>
      </c>
      <c r="N31" s="22">
        <v>43</v>
      </c>
      <c r="O31" s="31">
        <v>1.131</v>
      </c>
    </row>
    <row r="32" spans="2:15" x14ac:dyDescent="0.2">
      <c r="L32" s="9">
        <v>30</v>
      </c>
      <c r="M32" s="8">
        <f t="shared" si="0"/>
        <v>2.097567579081788</v>
      </c>
      <c r="N32" s="22">
        <v>44</v>
      </c>
      <c r="O32" s="31">
        <v>1.131</v>
      </c>
    </row>
    <row r="33" spans="12:15" x14ac:dyDescent="0.2">
      <c r="L33" s="9">
        <v>31</v>
      </c>
      <c r="M33" s="8">
        <f t="shared" si="0"/>
        <v>2.1500067685588333</v>
      </c>
      <c r="N33" s="22">
        <v>45</v>
      </c>
      <c r="O33" s="31">
        <v>0.95899999999999996</v>
      </c>
    </row>
    <row r="34" spans="12:15" x14ac:dyDescent="0.2">
      <c r="L34" s="9">
        <v>32</v>
      </c>
      <c r="M34" s="8">
        <f t="shared" ref="M34:M53" si="1">(1+experiencepremium)^L34</f>
        <v>2.2037569377728037</v>
      </c>
      <c r="N34" s="22">
        <v>46</v>
      </c>
      <c r="O34" s="31">
        <v>0.95899999999999996</v>
      </c>
    </row>
    <row r="35" spans="12:15" x14ac:dyDescent="0.2">
      <c r="L35" s="9">
        <v>33</v>
      </c>
      <c r="M35" s="8">
        <f t="shared" si="1"/>
        <v>2.2588508612171236</v>
      </c>
      <c r="N35" s="22">
        <v>47</v>
      </c>
      <c r="O35" s="31">
        <v>0.95899999999999996</v>
      </c>
    </row>
    <row r="36" spans="12:15" x14ac:dyDescent="0.2">
      <c r="L36" s="9">
        <v>34</v>
      </c>
      <c r="M36" s="8">
        <f t="shared" si="1"/>
        <v>2.3153221327475517</v>
      </c>
      <c r="N36" s="22">
        <v>48</v>
      </c>
      <c r="O36" s="31">
        <v>0.95899999999999996</v>
      </c>
    </row>
    <row r="37" spans="12:15" x14ac:dyDescent="0.2">
      <c r="L37" s="9">
        <v>35</v>
      </c>
      <c r="M37" s="8">
        <f t="shared" si="1"/>
        <v>2.3732051860662402</v>
      </c>
      <c r="N37" s="22">
        <v>49</v>
      </c>
      <c r="O37" s="31">
        <v>0.95899999999999996</v>
      </c>
    </row>
    <row r="38" spans="12:15" x14ac:dyDescent="0.2">
      <c r="L38" s="9">
        <v>36</v>
      </c>
      <c r="M38" s="8">
        <f t="shared" si="1"/>
        <v>2.4325353157178964</v>
      </c>
      <c r="N38" s="22">
        <v>50</v>
      </c>
      <c r="O38" s="31">
        <v>0.69399999999999995</v>
      </c>
    </row>
    <row r="39" spans="12:15" x14ac:dyDescent="0.2">
      <c r="L39" s="9">
        <v>37</v>
      </c>
      <c r="M39" s="8">
        <f t="shared" si="1"/>
        <v>2.4933486986108435</v>
      </c>
      <c r="N39" s="22">
        <v>51</v>
      </c>
      <c r="O39" s="31">
        <v>0.69399999999999995</v>
      </c>
    </row>
    <row r="40" spans="12:15" x14ac:dyDescent="0.2">
      <c r="L40" s="9">
        <v>38</v>
      </c>
      <c r="M40" s="8">
        <f t="shared" si="1"/>
        <v>2.555682416076114</v>
      </c>
      <c r="N40" s="22">
        <v>52</v>
      </c>
      <c r="O40" s="31">
        <v>0.69399999999999995</v>
      </c>
    </row>
    <row r="41" spans="12:15" x14ac:dyDescent="0.2">
      <c r="L41" s="9">
        <v>39</v>
      </c>
      <c r="M41" s="8">
        <f t="shared" si="1"/>
        <v>2.6195744764780171</v>
      </c>
      <c r="N41" s="22">
        <v>53</v>
      </c>
      <c r="O41" s="31">
        <v>0.69399999999999995</v>
      </c>
    </row>
    <row r="42" spans="12:15" x14ac:dyDescent="0.2">
      <c r="L42" s="9">
        <v>40</v>
      </c>
      <c r="M42" s="8">
        <f t="shared" si="1"/>
        <v>2.6850638383899672</v>
      </c>
      <c r="N42" s="22">
        <v>54</v>
      </c>
      <c r="O42" s="31">
        <v>0.69399999999999995</v>
      </c>
    </row>
    <row r="43" spans="12:15" x14ac:dyDescent="0.2">
      <c r="L43" s="9">
        <v>41</v>
      </c>
      <c r="M43" s="8">
        <f t="shared" si="1"/>
        <v>2.7521904343497163</v>
      </c>
      <c r="N43" s="22">
        <v>55</v>
      </c>
      <c r="O43" s="31">
        <v>0.41499999999999998</v>
      </c>
    </row>
    <row r="44" spans="12:15" x14ac:dyDescent="0.2">
      <c r="L44" s="9">
        <v>42</v>
      </c>
      <c r="M44" s="8">
        <f t="shared" si="1"/>
        <v>2.8209951952084591</v>
      </c>
      <c r="N44" s="22">
        <v>56</v>
      </c>
      <c r="O44" s="31">
        <v>0.41499999999999998</v>
      </c>
    </row>
    <row r="45" spans="12:15" x14ac:dyDescent="0.2">
      <c r="L45" s="9">
        <v>43</v>
      </c>
      <c r="M45" s="8">
        <f t="shared" si="1"/>
        <v>2.8915200750886707</v>
      </c>
      <c r="N45" s="22">
        <v>57</v>
      </c>
      <c r="O45" s="31">
        <v>0.41499999999999998</v>
      </c>
    </row>
    <row r="46" spans="12:15" x14ac:dyDescent="0.2">
      <c r="L46" s="9">
        <v>44</v>
      </c>
      <c r="M46" s="8">
        <f t="shared" si="1"/>
        <v>2.9638080769658868</v>
      </c>
      <c r="N46" s="22">
        <v>58</v>
      </c>
      <c r="O46" s="31">
        <v>0.41499999999999998</v>
      </c>
    </row>
    <row r="47" spans="12:15" x14ac:dyDescent="0.2">
      <c r="L47" s="9">
        <v>45</v>
      </c>
      <c r="M47" s="8">
        <f t="shared" si="1"/>
        <v>3.0379032788900342</v>
      </c>
      <c r="N47" s="22">
        <v>59</v>
      </c>
      <c r="O47" s="31">
        <v>0.41499999999999998</v>
      </c>
    </row>
    <row r="48" spans="12:15" x14ac:dyDescent="0.2">
      <c r="L48" s="9">
        <v>46</v>
      </c>
      <c r="M48" s="8">
        <f t="shared" si="1"/>
        <v>3.1138508608622844</v>
      </c>
      <c r="N48" s="22">
        <v>60</v>
      </c>
      <c r="O48" s="31">
        <v>0.22800000000000001</v>
      </c>
    </row>
    <row r="49" spans="12:15" x14ac:dyDescent="0.2">
      <c r="L49" s="9">
        <v>47</v>
      </c>
      <c r="M49" s="8">
        <f t="shared" si="1"/>
        <v>3.1916971323838421</v>
      </c>
      <c r="N49" s="22">
        <v>61</v>
      </c>
      <c r="O49" s="31">
        <v>0.22800000000000001</v>
      </c>
    </row>
    <row r="50" spans="12:15" x14ac:dyDescent="0.2">
      <c r="L50" s="9">
        <v>48</v>
      </c>
      <c r="M50" s="8">
        <f t="shared" si="1"/>
        <v>3.2714895606934378</v>
      </c>
      <c r="N50" s="22">
        <v>62</v>
      </c>
      <c r="O50" s="31">
        <v>0.22800000000000001</v>
      </c>
    </row>
    <row r="51" spans="12:15" x14ac:dyDescent="0.2">
      <c r="L51" s="9">
        <v>49</v>
      </c>
      <c r="M51" s="8">
        <f t="shared" si="1"/>
        <v>3.3532767997107733</v>
      </c>
      <c r="N51" s="22">
        <v>63</v>
      </c>
      <c r="O51" s="31">
        <v>0.22800000000000001</v>
      </c>
    </row>
    <row r="52" spans="12:15" x14ac:dyDescent="0.2">
      <c r="L52" s="9">
        <v>50</v>
      </c>
      <c r="M52" s="8">
        <f t="shared" si="1"/>
        <v>3.4371087197035428</v>
      </c>
      <c r="N52" s="22">
        <v>64</v>
      </c>
      <c r="O52" s="31">
        <v>0.22800000000000001</v>
      </c>
    </row>
    <row r="53" spans="12:15" x14ac:dyDescent="0.2">
      <c r="L53" s="9">
        <v>51</v>
      </c>
      <c r="M53" s="8">
        <f t="shared" si="1"/>
        <v>3.5230364376961316</v>
      </c>
      <c r="N53" s="22">
        <v>65</v>
      </c>
      <c r="O53" s="31">
        <v>7.1999999999999995E-2</v>
      </c>
    </row>
    <row r="54" spans="12:15" x14ac:dyDescent="0.2">
      <c r="N54" s="22">
        <v>66</v>
      </c>
      <c r="O54" s="31">
        <v>7.1999999999999995E-2</v>
      </c>
    </row>
    <row r="55" spans="12:15" x14ac:dyDescent="0.2">
      <c r="N55" s="22">
        <v>67</v>
      </c>
      <c r="O55" s="31">
        <v>7.1999999999999995E-2</v>
      </c>
    </row>
    <row r="56" spans="12:15" x14ac:dyDescent="0.2">
      <c r="N56" s="22">
        <v>68</v>
      </c>
      <c r="O56" s="31">
        <v>7.1999999999999995E-2</v>
      </c>
    </row>
    <row r="57" spans="12:15" x14ac:dyDescent="0.2">
      <c r="N57" s="22">
        <v>69</v>
      </c>
      <c r="O57" s="31">
        <v>7.1999999999999995E-2</v>
      </c>
    </row>
    <row r="58" spans="12:15" x14ac:dyDescent="0.2">
      <c r="N58" s="22">
        <v>70</v>
      </c>
      <c r="O58" s="31">
        <v>7.1999999999999995E-2</v>
      </c>
    </row>
    <row r="59" spans="12:15" x14ac:dyDescent="0.2">
      <c r="N59" s="22">
        <v>71</v>
      </c>
      <c r="O59" s="31">
        <v>7.1999999999999995E-2</v>
      </c>
    </row>
    <row r="60" spans="12:15" x14ac:dyDescent="0.2">
      <c r="N60" s="22">
        <v>72</v>
      </c>
      <c r="O60" s="31">
        <v>7.1999999999999995E-2</v>
      </c>
    </row>
    <row r="61" spans="12:15" x14ac:dyDescent="0.2">
      <c r="N61" s="22">
        <v>73</v>
      </c>
      <c r="O61" s="31">
        <v>7.1999999999999995E-2</v>
      </c>
    </row>
    <row r="62" spans="12:15" x14ac:dyDescent="0.2">
      <c r="N62" s="22">
        <v>74</v>
      </c>
      <c r="O62" s="31">
        <v>7.1999999999999995E-2</v>
      </c>
    </row>
    <row r="63" spans="12:15" x14ac:dyDescent="0.2">
      <c r="N63" s="22">
        <v>75</v>
      </c>
      <c r="O63" s="31">
        <v>7.1999999999999995E-2</v>
      </c>
    </row>
    <row r="64" spans="12:15" x14ac:dyDescent="0.2">
      <c r="N64" s="22">
        <v>76</v>
      </c>
      <c r="O64" s="31">
        <v>7.1999999999999995E-2</v>
      </c>
    </row>
    <row r="65" spans="14:15" x14ac:dyDescent="0.2">
      <c r="N65" s="22">
        <v>77</v>
      </c>
      <c r="O65" s="31">
        <v>7.1999999999999995E-2</v>
      </c>
    </row>
    <row r="66" spans="14:15" x14ac:dyDescent="0.2">
      <c r="N66" s="22">
        <v>78</v>
      </c>
      <c r="O66" s="31">
        <v>7.1999999999999995E-2</v>
      </c>
    </row>
    <row r="67" spans="14:15" x14ac:dyDescent="0.2">
      <c r="N67" s="22">
        <v>79</v>
      </c>
      <c r="O67" s="31">
        <v>7.1999999999999995E-2</v>
      </c>
    </row>
    <row r="68" spans="14:15" x14ac:dyDescent="0.2">
      <c r="N68" s="22">
        <v>80</v>
      </c>
      <c r="O68" s="31">
        <v>7.1999999999999995E-2</v>
      </c>
    </row>
    <row r="69" spans="14:15" x14ac:dyDescent="0.2">
      <c r="N69" s="22">
        <v>81</v>
      </c>
      <c r="O69" s="31">
        <v>7.1999999999999995E-2</v>
      </c>
    </row>
    <row r="70" spans="14:15" x14ac:dyDescent="0.2">
      <c r="N70" s="22">
        <v>82</v>
      </c>
      <c r="O70" s="31">
        <v>7.1999999999999995E-2</v>
      </c>
    </row>
    <row r="71" spans="14:15" x14ac:dyDescent="0.2">
      <c r="N71" s="22">
        <v>83</v>
      </c>
      <c r="O71" s="31">
        <v>7.1999999999999995E-2</v>
      </c>
    </row>
    <row r="72" spans="14:15" x14ac:dyDescent="0.2">
      <c r="N72" s="22">
        <v>84</v>
      </c>
      <c r="O72" s="31">
        <v>7.1999999999999995E-2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Q2" sqref="Q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Meta!A9+6</f>
        <v>21</v>
      </c>
      <c r="C2" s="7">
        <f>Meta!B9</f>
        <v>63914</v>
      </c>
      <c r="D2" s="7">
        <f>Meta!C9</f>
        <v>28308</v>
      </c>
      <c r="E2" s="1">
        <f>Meta!D9</f>
        <v>4.2000000000000003E-2</v>
      </c>
      <c r="F2" s="1">
        <f>Meta!F9</f>
        <v>0.80800000000000005</v>
      </c>
      <c r="G2" s="1">
        <f>Meta!I9</f>
        <v>1.8114695812355892</v>
      </c>
      <c r="H2" s="1">
        <f>Meta!E9</f>
        <v>0.77500000000000002</v>
      </c>
      <c r="I2" s="13"/>
      <c r="J2" s="1">
        <f>Meta!X8</f>
        <v>0.83899999999999997</v>
      </c>
      <c r="K2" s="1">
        <f>Meta!D8</f>
        <v>4.3999999999999997E-2</v>
      </c>
      <c r="L2" s="29"/>
      <c r="N2" s="22">
        <f>Meta!T9</f>
        <v>77505</v>
      </c>
      <c r="O2" s="22">
        <f>Meta!U9</f>
        <v>33504</v>
      </c>
      <c r="P2" s="1">
        <f>Meta!V9</f>
        <v>3.5000000000000003E-2</v>
      </c>
      <c r="Q2" s="1">
        <f>Meta!X9</f>
        <v>0.84599999999999997</v>
      </c>
      <c r="R2" s="22">
        <f>Meta!W9</f>
        <v>1883</v>
      </c>
      <c r="T2" s="12">
        <f>IRR(S5:S69)+1</f>
        <v>1.0183015387514285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B11" s="1">
        <v>1</v>
      </c>
      <c r="C11" s="5">
        <f>0.1*Grade14!C11</f>
        <v>3347.3671823345212</v>
      </c>
      <c r="D11" s="5">
        <f t="shared" ref="D11:D36" si="0">IF(A11&lt;startage,1,0)*(C11*(1-initialunempprob))+IF(A11=startage,1,0)*(C11*(1-unempprob))+IF(A11&gt;startage,1,0)*(C11*(1-unempprob)+unempprob*300*52)</f>
        <v>3200.0830263118023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244.80635151285287</v>
      </c>
      <c r="G11" s="5">
        <f t="shared" ref="G11:G56" si="3">D11-F11</f>
        <v>2955.2766747989494</v>
      </c>
      <c r="H11" s="22">
        <f>0.1*Grade14!H11</f>
        <v>1490.4268121899679</v>
      </c>
      <c r="I11" s="5">
        <f t="shared" ref="I11:I36" si="4">G11+IF(A11&lt;startage,1,0)*(H11*(1-initialunempprob))+IF(A11&gt;=startage,1,0)*(H11*(1-unempprob))</f>
        <v>4380.1247072525584</v>
      </c>
      <c r="J11" s="26">
        <f t="shared" ref="J11:J56" si="5">(F11-(IF(A11&gt;startage,1,0)*(unempprob*300*52)))/(IF(A11&lt;startage,1,0)*((C11+H11)*(1-initialunempprob))+IF(A11&gt;=startage,1,0)*((C11+H11)*(1-unempprob)))</f>
        <v>5.293189204385719E-2</v>
      </c>
      <c r="L11" s="22">
        <f>0.1*Grade14!L11</f>
        <v>5613.561911912504</v>
      </c>
      <c r="M11" s="5">
        <f>scrimecost*Meta!O8</f>
        <v>6153.6439999999993</v>
      </c>
      <c r="N11" s="5">
        <f>L11-Grade14!L11</f>
        <v>-50522.057207212536</v>
      </c>
      <c r="O11" s="5"/>
      <c r="P11" s="22"/>
      <c r="Q11" s="22">
        <f>0.05*feel*Grade14!G11</f>
        <v>340.9358285509399</v>
      </c>
      <c r="R11" s="22">
        <f>coltuition</f>
        <v>8279</v>
      </c>
      <c r="S11" s="22">
        <f t="shared" ref="S11:S42" si="6">IF(A11&lt;startage,1,0)*(N11-Q11-R11)+IF(A11&gt;=startage,1,0)*completionprob*(N11*spart+O11+P11)</f>
        <v>-59141.993035763473</v>
      </c>
      <c r="T11" s="22">
        <f t="shared" ref="T11:T42" si="7">S11/sreturn^(A11-startage+1)</f>
        <v>-59141.993035763473</v>
      </c>
    </row>
    <row r="12" spans="1:20" x14ac:dyDescent="0.2">
      <c r="A12" s="5">
        <v>21</v>
      </c>
      <c r="B12" s="1">
        <f t="shared" ref="B12:B36" si="8">(1+experiencepremium)^(A12-startage)</f>
        <v>1</v>
      </c>
      <c r="C12" s="5">
        <f t="shared" ref="C12:C36" si="9">pretaxincome*B12/expnorm</f>
        <v>35282.955155341202</v>
      </c>
      <c r="D12" s="5">
        <f t="shared" si="0"/>
        <v>33801.071038816874</v>
      </c>
      <c r="E12" s="5">
        <f t="shared" si="1"/>
        <v>24301.071038816874</v>
      </c>
      <c r="F12" s="5">
        <f t="shared" si="2"/>
        <v>8236.0496941737092</v>
      </c>
      <c r="G12" s="5">
        <f t="shared" si="3"/>
        <v>25565.021344643166</v>
      </c>
      <c r="H12" s="22">
        <f t="shared" ref="H12:H36" si="10">benefits*B12/expnorm</f>
        <v>15627.091005685745</v>
      </c>
      <c r="I12" s="5">
        <f t="shared" si="4"/>
        <v>40535.774528090107</v>
      </c>
      <c r="J12" s="26">
        <f t="shared" si="5"/>
        <v>0.16886901044833261</v>
      </c>
      <c r="L12" s="22">
        <f t="shared" ref="L12:L36" si="11">(sincome+sbenefits)*(1-sunemp)*B12/expnorm</f>
        <v>59136.342177455597</v>
      </c>
      <c r="M12" s="5">
        <f>scrimecost*Meta!O9</f>
        <v>5669.7130000000006</v>
      </c>
      <c r="N12" s="5">
        <f>L12-Grade14!L12</f>
        <v>1597.3325803524422</v>
      </c>
      <c r="O12" s="5">
        <f>Grade14!M12-M12</f>
        <v>96.351999999999862</v>
      </c>
      <c r="P12" s="22">
        <f t="shared" ref="P12:P56" si="12">(spart-initialspart)*(L12*J12+nptrans)</f>
        <v>115.78206909528654</v>
      </c>
      <c r="Q12" s="22"/>
      <c r="R12" s="22"/>
      <c r="S12" s="22">
        <f t="shared" si="6"/>
        <v>1211.6950098569255</v>
      </c>
      <c r="T12" s="22">
        <f t="shared" si="7"/>
        <v>1189.9176852296844</v>
      </c>
    </row>
    <row r="13" spans="1:20" x14ac:dyDescent="0.2">
      <c r="A13" s="5">
        <v>22</v>
      </c>
      <c r="B13" s="1">
        <f t="shared" si="8"/>
        <v>1.0249999999999999</v>
      </c>
      <c r="C13" s="5">
        <f t="shared" si="9"/>
        <v>36165.029034224724</v>
      </c>
      <c r="D13" s="5">
        <f t="shared" si="0"/>
        <v>35301.297814787278</v>
      </c>
      <c r="E13" s="5">
        <f t="shared" si="1"/>
        <v>25801.297814787278</v>
      </c>
      <c r="F13" s="5">
        <f t="shared" si="2"/>
        <v>8725.8737365280467</v>
      </c>
      <c r="G13" s="5">
        <f t="shared" si="3"/>
        <v>26575.424078259231</v>
      </c>
      <c r="H13" s="22">
        <f t="shared" si="10"/>
        <v>16017.768280827888</v>
      </c>
      <c r="I13" s="5">
        <f t="shared" si="4"/>
        <v>41920.446091292346</v>
      </c>
      <c r="J13" s="26">
        <f t="shared" si="5"/>
        <v>0.1614421474118822</v>
      </c>
      <c r="L13" s="22">
        <f t="shared" si="11"/>
        <v>60614.750731891982</v>
      </c>
      <c r="M13" s="5">
        <f>scrimecost*Meta!O10</f>
        <v>5170.7179999999998</v>
      </c>
      <c r="N13" s="5">
        <f>L13-Grade14!L13</f>
        <v>1637.2658948612443</v>
      </c>
      <c r="O13" s="5">
        <f>Grade14!M13-M13</f>
        <v>87.872000000000298</v>
      </c>
      <c r="P13" s="22">
        <f t="shared" si="12"/>
        <v>114.3784286609483</v>
      </c>
      <c r="Q13" s="22"/>
      <c r="R13" s="22"/>
      <c r="S13" s="22">
        <f t="shared" si="6"/>
        <v>1230.21746617801</v>
      </c>
      <c r="T13" s="22">
        <f t="shared" si="7"/>
        <v>1186.3944015109012</v>
      </c>
    </row>
    <row r="14" spans="1:20" x14ac:dyDescent="0.2">
      <c r="A14" s="5">
        <v>23</v>
      </c>
      <c r="B14" s="1">
        <f t="shared" si="8"/>
        <v>1.0506249999999999</v>
      </c>
      <c r="C14" s="5">
        <f t="shared" si="9"/>
        <v>37069.154760080346</v>
      </c>
      <c r="D14" s="5">
        <f t="shared" si="0"/>
        <v>36167.450260156969</v>
      </c>
      <c r="E14" s="5">
        <f t="shared" si="1"/>
        <v>26667.450260156969</v>
      </c>
      <c r="F14" s="5">
        <f t="shared" si="2"/>
        <v>9008.6725099412506</v>
      </c>
      <c r="G14" s="5">
        <f t="shared" si="3"/>
        <v>27158.777750215719</v>
      </c>
      <c r="H14" s="22">
        <f t="shared" si="10"/>
        <v>16418.212487848585</v>
      </c>
      <c r="I14" s="5">
        <f t="shared" si="4"/>
        <v>42887.425313574662</v>
      </c>
      <c r="J14" s="26">
        <f t="shared" si="5"/>
        <v>0.16302353910176026</v>
      </c>
      <c r="L14" s="22">
        <f t="shared" si="11"/>
        <v>62130.119500189277</v>
      </c>
      <c r="M14" s="5">
        <f>scrimecost*Meta!O11</f>
        <v>4820.4800000000005</v>
      </c>
      <c r="N14" s="5">
        <f>L14-Grade14!L14</f>
        <v>1678.1975422327669</v>
      </c>
      <c r="O14" s="5">
        <f>Grade14!M14-M14</f>
        <v>81.920000000000073</v>
      </c>
      <c r="P14" s="22">
        <f t="shared" si="12"/>
        <v>116.77870376015314</v>
      </c>
      <c r="Q14" s="22"/>
      <c r="R14" s="22"/>
      <c r="S14" s="22">
        <f t="shared" si="6"/>
        <v>1254.3017139790322</v>
      </c>
      <c r="T14" s="22">
        <f t="shared" si="7"/>
        <v>1187.8806710508197</v>
      </c>
    </row>
    <row r="15" spans="1:20" x14ac:dyDescent="0.2">
      <c r="A15" s="5">
        <v>24</v>
      </c>
      <c r="B15" s="1">
        <f t="shared" si="8"/>
        <v>1.0768906249999999</v>
      </c>
      <c r="C15" s="5">
        <f t="shared" si="9"/>
        <v>37995.88362908236</v>
      </c>
      <c r="D15" s="5">
        <f t="shared" si="0"/>
        <v>37055.256516660898</v>
      </c>
      <c r="E15" s="5">
        <f t="shared" si="1"/>
        <v>27555.256516660898</v>
      </c>
      <c r="F15" s="5">
        <f t="shared" si="2"/>
        <v>9298.5412526897835</v>
      </c>
      <c r="G15" s="5">
        <f t="shared" si="3"/>
        <v>27756.715263971113</v>
      </c>
      <c r="H15" s="22">
        <f t="shared" si="10"/>
        <v>16828.667800044801</v>
      </c>
      <c r="I15" s="5">
        <f t="shared" si="4"/>
        <v>43878.579016414034</v>
      </c>
      <c r="J15" s="26">
        <f t="shared" si="5"/>
        <v>0.16456636026261698</v>
      </c>
      <c r="L15" s="22">
        <f t="shared" si="11"/>
        <v>63683.37248769401</v>
      </c>
      <c r="M15" s="5">
        <f>scrimecost*Meta!O12</f>
        <v>4598.2860000000001</v>
      </c>
      <c r="N15" s="5">
        <f>L15-Grade14!L15</f>
        <v>1720.1524807886017</v>
      </c>
      <c r="O15" s="5">
        <f>Grade14!M15-M15</f>
        <v>78.144000000000233</v>
      </c>
      <c r="P15" s="22">
        <f t="shared" si="12"/>
        <v>119.23898573683809</v>
      </c>
      <c r="Q15" s="22"/>
      <c r="R15" s="22"/>
      <c r="S15" s="22">
        <f t="shared" si="6"/>
        <v>1280.7897879750963</v>
      </c>
      <c r="T15" s="22">
        <f t="shared" si="7"/>
        <v>1191.1659106654472</v>
      </c>
    </row>
    <row r="16" spans="1:20" x14ac:dyDescent="0.2">
      <c r="A16" s="5">
        <v>25</v>
      </c>
      <c r="B16" s="1">
        <f t="shared" si="8"/>
        <v>1.1038128906249998</v>
      </c>
      <c r="C16" s="5">
        <f t="shared" si="9"/>
        <v>38945.780719809409</v>
      </c>
      <c r="D16" s="5">
        <f t="shared" si="0"/>
        <v>37965.257929577412</v>
      </c>
      <c r="E16" s="5">
        <f t="shared" si="1"/>
        <v>28465.257929577412</v>
      </c>
      <c r="F16" s="5">
        <f t="shared" si="2"/>
        <v>9595.6567140070256</v>
      </c>
      <c r="G16" s="5">
        <f t="shared" si="3"/>
        <v>28369.601215570387</v>
      </c>
      <c r="H16" s="22">
        <f t="shared" si="10"/>
        <v>17249.384495045917</v>
      </c>
      <c r="I16" s="5">
        <f t="shared" si="4"/>
        <v>44894.511561824373</v>
      </c>
      <c r="J16" s="26">
        <f t="shared" si="5"/>
        <v>0.16607155163906248</v>
      </c>
      <c r="L16" s="22">
        <f t="shared" si="11"/>
        <v>65275.456799886349</v>
      </c>
      <c r="M16" s="5">
        <f>scrimecost*Meta!O13</f>
        <v>3828.1389999999997</v>
      </c>
      <c r="N16" s="5">
        <f>L16-Grade14!L16</f>
        <v>1763.1562928083076</v>
      </c>
      <c r="O16" s="5">
        <f>Grade14!M16-M16</f>
        <v>65.05600000000004</v>
      </c>
      <c r="P16" s="22">
        <f t="shared" si="12"/>
        <v>121.76077476294014</v>
      </c>
      <c r="Q16" s="22"/>
      <c r="R16" s="22"/>
      <c r="S16" s="22">
        <f t="shared" si="6"/>
        <v>1300.7964238210454</v>
      </c>
      <c r="T16" s="22">
        <f t="shared" si="7"/>
        <v>1188.0297992019784</v>
      </c>
    </row>
    <row r="17" spans="1:20" x14ac:dyDescent="0.2">
      <c r="A17" s="5">
        <v>26</v>
      </c>
      <c r="B17" s="1">
        <f t="shared" si="8"/>
        <v>1.1314082128906247</v>
      </c>
      <c r="C17" s="5">
        <f t="shared" si="9"/>
        <v>39919.425237804644</v>
      </c>
      <c r="D17" s="5">
        <f t="shared" si="0"/>
        <v>38898.009377816845</v>
      </c>
      <c r="E17" s="5">
        <f t="shared" si="1"/>
        <v>29398.009377816845</v>
      </c>
      <c r="F17" s="5">
        <f t="shared" si="2"/>
        <v>9900.2000618572001</v>
      </c>
      <c r="G17" s="5">
        <f t="shared" si="3"/>
        <v>28997.809315959646</v>
      </c>
      <c r="H17" s="22">
        <f t="shared" si="10"/>
        <v>17680.619107422062</v>
      </c>
      <c r="I17" s="5">
        <f t="shared" si="4"/>
        <v>45935.84242086998</v>
      </c>
      <c r="J17" s="26">
        <f t="shared" si="5"/>
        <v>0.16754003103071666</v>
      </c>
      <c r="L17" s="22">
        <f t="shared" si="11"/>
        <v>66907.343219883507</v>
      </c>
      <c r="M17" s="5">
        <f>scrimecost*Meta!O14</f>
        <v>3828.1389999999997</v>
      </c>
      <c r="N17" s="5">
        <f>L17-Grade14!L17</f>
        <v>1807.235200128518</v>
      </c>
      <c r="O17" s="5">
        <f>Grade14!M17-M17</f>
        <v>65.05600000000004</v>
      </c>
      <c r="P17" s="22">
        <f t="shared" si="12"/>
        <v>124.34560851469477</v>
      </c>
      <c r="Q17" s="22"/>
      <c r="R17" s="22"/>
      <c r="S17" s="22">
        <f t="shared" si="6"/>
        <v>1331.7000055631513</v>
      </c>
      <c r="T17" s="22">
        <f t="shared" si="7"/>
        <v>1194.3950679797319</v>
      </c>
    </row>
    <row r="18" spans="1:20" x14ac:dyDescent="0.2">
      <c r="A18" s="5">
        <v>27</v>
      </c>
      <c r="B18" s="1">
        <f t="shared" si="8"/>
        <v>1.1596934182128902</v>
      </c>
      <c r="C18" s="5">
        <f t="shared" si="9"/>
        <v>40917.41086874975</v>
      </c>
      <c r="D18" s="5">
        <f t="shared" si="0"/>
        <v>39854.079612262256</v>
      </c>
      <c r="E18" s="5">
        <f t="shared" si="1"/>
        <v>30354.079612262256</v>
      </c>
      <c r="F18" s="5">
        <f t="shared" si="2"/>
        <v>10212.356993403626</v>
      </c>
      <c r="G18" s="5">
        <f t="shared" si="3"/>
        <v>29641.722618858628</v>
      </c>
      <c r="H18" s="22">
        <f t="shared" si="10"/>
        <v>18122.634585107615</v>
      </c>
      <c r="I18" s="5">
        <f t="shared" si="4"/>
        <v>47003.206551391719</v>
      </c>
      <c r="J18" s="26">
        <f t="shared" si="5"/>
        <v>0.1689726938518426</v>
      </c>
      <c r="L18" s="22">
        <f t="shared" si="11"/>
        <v>68580.026800380583</v>
      </c>
      <c r="M18" s="5">
        <f>scrimecost*Meta!O15</f>
        <v>3828.1389999999997</v>
      </c>
      <c r="N18" s="5">
        <f>L18-Grade14!L18</f>
        <v>1852.4160801317194</v>
      </c>
      <c r="O18" s="5">
        <f>Grade14!M18-M18</f>
        <v>65.05600000000004</v>
      </c>
      <c r="P18" s="22">
        <f t="shared" si="12"/>
        <v>126.99506311024318</v>
      </c>
      <c r="Q18" s="22"/>
      <c r="R18" s="22"/>
      <c r="S18" s="22">
        <f t="shared" si="6"/>
        <v>1363.3761768488002</v>
      </c>
      <c r="T18" s="22">
        <f t="shared" si="7"/>
        <v>1200.8282624436345</v>
      </c>
    </row>
    <row r="19" spans="1:20" x14ac:dyDescent="0.2">
      <c r="A19" s="5">
        <v>28</v>
      </c>
      <c r="B19" s="1">
        <f t="shared" si="8"/>
        <v>1.1886857536682125</v>
      </c>
      <c r="C19" s="5">
        <f t="shared" si="9"/>
        <v>41940.3461404685</v>
      </c>
      <c r="D19" s="5">
        <f t="shared" si="0"/>
        <v>40834.051602568819</v>
      </c>
      <c r="E19" s="5">
        <f t="shared" si="1"/>
        <v>31334.051602568819</v>
      </c>
      <c r="F19" s="5">
        <f t="shared" si="2"/>
        <v>10532.317848238719</v>
      </c>
      <c r="G19" s="5">
        <f t="shared" si="3"/>
        <v>30301.7337543301</v>
      </c>
      <c r="H19" s="22">
        <f t="shared" si="10"/>
        <v>18575.700449735305</v>
      </c>
      <c r="I19" s="5">
        <f t="shared" si="4"/>
        <v>48097.254785176519</v>
      </c>
      <c r="J19" s="26">
        <f t="shared" si="5"/>
        <v>0.17037041367733144</v>
      </c>
      <c r="L19" s="22">
        <f t="shared" si="11"/>
        <v>70294.527470390109</v>
      </c>
      <c r="M19" s="5">
        <f>scrimecost*Meta!O16</f>
        <v>3828.1389999999997</v>
      </c>
      <c r="N19" s="5">
        <f>L19-Grade14!L19</f>
        <v>1898.7264821350254</v>
      </c>
      <c r="O19" s="5">
        <f>Grade14!M19-M19</f>
        <v>65.05600000000004</v>
      </c>
      <c r="P19" s="22">
        <f t="shared" si="12"/>
        <v>129.71075407068042</v>
      </c>
      <c r="Q19" s="22"/>
      <c r="R19" s="22"/>
      <c r="S19" s="22">
        <f t="shared" si="6"/>
        <v>1395.8442524166069</v>
      </c>
      <c r="T19" s="22">
        <f t="shared" si="7"/>
        <v>1207.3293611465908</v>
      </c>
    </row>
    <row r="20" spans="1:20" x14ac:dyDescent="0.2">
      <c r="A20" s="5">
        <v>29</v>
      </c>
      <c r="B20" s="1">
        <f t="shared" si="8"/>
        <v>1.2184028975099177</v>
      </c>
      <c r="C20" s="5">
        <f t="shared" si="9"/>
        <v>42988.854793980208</v>
      </c>
      <c r="D20" s="5">
        <f t="shared" si="0"/>
        <v>41838.522892633038</v>
      </c>
      <c r="E20" s="5">
        <f t="shared" si="1"/>
        <v>32338.522892633038</v>
      </c>
      <c r="F20" s="5">
        <f t="shared" si="2"/>
        <v>10860.277724444688</v>
      </c>
      <c r="G20" s="5">
        <f t="shared" si="3"/>
        <v>30978.24516818835</v>
      </c>
      <c r="H20" s="22">
        <f t="shared" si="10"/>
        <v>19040.092960978687</v>
      </c>
      <c r="I20" s="5">
        <f t="shared" si="4"/>
        <v>49218.654224805927</v>
      </c>
      <c r="J20" s="26">
        <f t="shared" si="5"/>
        <v>0.17173404277536936</v>
      </c>
      <c r="L20" s="22">
        <f t="shared" si="11"/>
        <v>72051.890657149852</v>
      </c>
      <c r="M20" s="5">
        <f>scrimecost*Meta!O17</f>
        <v>3828.1389999999997</v>
      </c>
      <c r="N20" s="5">
        <f>L20-Grade14!L20</f>
        <v>1946.1946441884065</v>
      </c>
      <c r="O20" s="5">
        <f>Grade14!M20-M20</f>
        <v>65.05600000000004</v>
      </c>
      <c r="P20" s="22">
        <f t="shared" si="12"/>
        <v>132.49433730512857</v>
      </c>
      <c r="Q20" s="22"/>
      <c r="R20" s="22"/>
      <c r="S20" s="22">
        <f t="shared" si="6"/>
        <v>1429.1240298736034</v>
      </c>
      <c r="T20" s="22">
        <f t="shared" si="7"/>
        <v>1213.8983509163702</v>
      </c>
    </row>
    <row r="21" spans="1:20" x14ac:dyDescent="0.2">
      <c r="A21" s="5">
        <v>30</v>
      </c>
      <c r="B21" s="1">
        <f t="shared" si="8"/>
        <v>1.2488629699476654</v>
      </c>
      <c r="C21" s="5">
        <f t="shared" si="9"/>
        <v>44063.576163829704</v>
      </c>
      <c r="D21" s="5">
        <f t="shared" si="0"/>
        <v>42868.105964948852</v>
      </c>
      <c r="E21" s="5">
        <f t="shared" si="1"/>
        <v>33368.105964948852</v>
      </c>
      <c r="F21" s="5">
        <f t="shared" si="2"/>
        <v>11196.436597555799</v>
      </c>
      <c r="G21" s="5">
        <f t="shared" si="3"/>
        <v>31671.669367393053</v>
      </c>
      <c r="H21" s="22">
        <f t="shared" si="10"/>
        <v>19516.095285003146</v>
      </c>
      <c r="I21" s="5">
        <f t="shared" si="4"/>
        <v>50368.088650426071</v>
      </c>
      <c r="J21" s="26">
        <f t="shared" si="5"/>
        <v>0.17306441262711353</v>
      </c>
      <c r="L21" s="22">
        <f t="shared" si="11"/>
        <v>73853.187923578575</v>
      </c>
      <c r="M21" s="5">
        <f>scrimecost*Meta!O18</f>
        <v>3154.0250000000001</v>
      </c>
      <c r="N21" s="5">
        <f>L21-Grade14!L21</f>
        <v>1994.8495102930901</v>
      </c>
      <c r="O21" s="5">
        <f>Grade14!M21-M21</f>
        <v>53.599999999999909</v>
      </c>
      <c r="P21" s="22">
        <f t="shared" si="12"/>
        <v>135.34751012043785</v>
      </c>
      <c r="Q21" s="22"/>
      <c r="R21" s="22"/>
      <c r="S21" s="22">
        <f t="shared" si="6"/>
        <v>1454.3574017670037</v>
      </c>
      <c r="T21" s="22">
        <f t="shared" si="7"/>
        <v>1213.1294484528487</v>
      </c>
    </row>
    <row r="22" spans="1:20" x14ac:dyDescent="0.2">
      <c r="A22" s="5">
        <v>31</v>
      </c>
      <c r="B22" s="1">
        <f t="shared" si="8"/>
        <v>1.2800845441963571</v>
      </c>
      <c r="C22" s="5">
        <f t="shared" si="9"/>
        <v>45165.165567925447</v>
      </c>
      <c r="D22" s="5">
        <f t="shared" si="0"/>
        <v>43923.428614072574</v>
      </c>
      <c r="E22" s="5">
        <f t="shared" si="1"/>
        <v>34423.428614072574</v>
      </c>
      <c r="F22" s="5">
        <f t="shared" si="2"/>
        <v>11540.999442494696</v>
      </c>
      <c r="G22" s="5">
        <f t="shared" si="3"/>
        <v>32382.429171577878</v>
      </c>
      <c r="H22" s="22">
        <f t="shared" si="10"/>
        <v>20003.997667128231</v>
      </c>
      <c r="I22" s="5">
        <f t="shared" si="4"/>
        <v>51546.258936686718</v>
      </c>
      <c r="J22" s="26">
        <f t="shared" si="5"/>
        <v>0.17436233443369328</v>
      </c>
      <c r="L22" s="22">
        <f t="shared" si="11"/>
        <v>75699.517621668056</v>
      </c>
      <c r="M22" s="5">
        <f>scrimecost*Meta!O19</f>
        <v>3154.0250000000001</v>
      </c>
      <c r="N22" s="5">
        <f>L22-Grade14!L22</f>
        <v>2044.7207480504439</v>
      </c>
      <c r="O22" s="5">
        <f>Grade14!M22-M22</f>
        <v>53.599999999999909</v>
      </c>
      <c r="P22" s="22">
        <f t="shared" si="12"/>
        <v>138.27201225612993</v>
      </c>
      <c r="Q22" s="22"/>
      <c r="R22" s="22"/>
      <c r="S22" s="22">
        <f t="shared" si="6"/>
        <v>1489.3219679577744</v>
      </c>
      <c r="T22" s="22">
        <f t="shared" si="7"/>
        <v>1219.9673146394398</v>
      </c>
    </row>
    <row r="23" spans="1:20" x14ac:dyDescent="0.2">
      <c r="A23" s="5">
        <v>32</v>
      </c>
      <c r="B23" s="1">
        <f t="shared" si="8"/>
        <v>1.312086657801266</v>
      </c>
      <c r="C23" s="5">
        <f t="shared" si="9"/>
        <v>46294.294707123583</v>
      </c>
      <c r="D23" s="5">
        <f t="shared" si="0"/>
        <v>45005.134329424385</v>
      </c>
      <c r="E23" s="5">
        <f t="shared" si="1"/>
        <v>35505.134329424385</v>
      </c>
      <c r="F23" s="5">
        <f t="shared" si="2"/>
        <v>11994.689791499499</v>
      </c>
      <c r="G23" s="5">
        <f t="shared" si="3"/>
        <v>33010.444537924886</v>
      </c>
      <c r="H23" s="22">
        <f t="shared" si="10"/>
        <v>20504.097608806434</v>
      </c>
      <c r="I23" s="5">
        <f t="shared" si="4"/>
        <v>52653.37004716145</v>
      </c>
      <c r="J23" s="26">
        <f t="shared" si="5"/>
        <v>0.17719929723548322</v>
      </c>
      <c r="L23" s="22">
        <f t="shared" si="11"/>
        <v>77592.005562209742</v>
      </c>
      <c r="M23" s="5">
        <f>scrimecost*Meta!O20</f>
        <v>3154.0250000000001</v>
      </c>
      <c r="N23" s="5">
        <f>L23-Grade14!L23</f>
        <v>2095.8387667516945</v>
      </c>
      <c r="O23" s="5">
        <f>Grade14!M23-M23</f>
        <v>53.599999999999909</v>
      </c>
      <c r="P23" s="22">
        <f t="shared" si="12"/>
        <v>142.12274199700704</v>
      </c>
      <c r="Q23" s="22"/>
      <c r="R23" s="22"/>
      <c r="S23" s="22">
        <f t="shared" si="6"/>
        <v>1525.821812468429</v>
      </c>
      <c r="T23" s="22">
        <f t="shared" si="7"/>
        <v>1227.4025429857761</v>
      </c>
    </row>
    <row r="24" spans="1:20" x14ac:dyDescent="0.2">
      <c r="A24" s="5">
        <v>33</v>
      </c>
      <c r="B24" s="1">
        <f t="shared" si="8"/>
        <v>1.3448888242462975</v>
      </c>
      <c r="C24" s="5">
        <f t="shared" si="9"/>
        <v>47451.65207480167</v>
      </c>
      <c r="D24" s="5">
        <f t="shared" si="0"/>
        <v>46113.882687659992</v>
      </c>
      <c r="E24" s="5">
        <f t="shared" si="1"/>
        <v>36613.882687659992</v>
      </c>
      <c r="F24" s="5">
        <f t="shared" si="2"/>
        <v>12467.570966286987</v>
      </c>
      <c r="G24" s="5">
        <f t="shared" si="3"/>
        <v>33646.311721373007</v>
      </c>
      <c r="H24" s="22">
        <f t="shared" si="10"/>
        <v>21016.700049026593</v>
      </c>
      <c r="I24" s="5">
        <f t="shared" si="4"/>
        <v>53780.310368340484</v>
      </c>
      <c r="J24" s="26">
        <f t="shared" si="5"/>
        <v>0.18008672196254671</v>
      </c>
      <c r="L24" s="22">
        <f t="shared" si="11"/>
        <v>79531.805701264981</v>
      </c>
      <c r="M24" s="5">
        <f>scrimecost*Meta!O21</f>
        <v>3154.0250000000001</v>
      </c>
      <c r="N24" s="5">
        <f>L24-Grade14!L24</f>
        <v>2148.2347359204869</v>
      </c>
      <c r="O24" s="5">
        <f>Grade14!M24-M24</f>
        <v>53.599999999999909</v>
      </c>
      <c r="P24" s="22">
        <f t="shared" si="12"/>
        <v>146.13635526352107</v>
      </c>
      <c r="Q24" s="22"/>
      <c r="R24" s="22"/>
      <c r="S24" s="22">
        <f t="shared" si="6"/>
        <v>1563.2857799354961</v>
      </c>
      <c r="T24" s="22">
        <f t="shared" si="7"/>
        <v>1234.9380644395815</v>
      </c>
    </row>
    <row r="25" spans="1:20" x14ac:dyDescent="0.2">
      <c r="A25" s="5">
        <v>34</v>
      </c>
      <c r="B25" s="1">
        <f t="shared" si="8"/>
        <v>1.3785110448524549</v>
      </c>
      <c r="C25" s="5">
        <f t="shared" si="9"/>
        <v>48637.943376671712</v>
      </c>
      <c r="D25" s="5">
        <f t="shared" si="0"/>
        <v>47250.349754851493</v>
      </c>
      <c r="E25" s="5">
        <f t="shared" si="1"/>
        <v>37750.349754851493</v>
      </c>
      <c r="F25" s="5">
        <f t="shared" si="2"/>
        <v>12952.274170444163</v>
      </c>
      <c r="G25" s="5">
        <f t="shared" si="3"/>
        <v>34298.075584407328</v>
      </c>
      <c r="H25" s="22">
        <f t="shared" si="10"/>
        <v>21542.11755025226</v>
      </c>
      <c r="I25" s="5">
        <f t="shared" si="4"/>
        <v>54935.424197548993</v>
      </c>
      <c r="J25" s="26">
        <f t="shared" si="5"/>
        <v>0.18290372169626723</v>
      </c>
      <c r="L25" s="22">
        <f t="shared" si="11"/>
        <v>81520.100843796608</v>
      </c>
      <c r="M25" s="5">
        <f>scrimecost*Meta!O22</f>
        <v>3154.0250000000001</v>
      </c>
      <c r="N25" s="5">
        <f>L25-Grade14!L25</f>
        <v>2201.9406043185008</v>
      </c>
      <c r="O25" s="5">
        <f>Grade14!M25-M25</f>
        <v>53.599999999999909</v>
      </c>
      <c r="P25" s="22">
        <f t="shared" si="12"/>
        <v>150.25030886169802</v>
      </c>
      <c r="Q25" s="22"/>
      <c r="R25" s="22"/>
      <c r="S25" s="22">
        <f t="shared" si="6"/>
        <v>1601.6863465892411</v>
      </c>
      <c r="T25" s="22">
        <f t="shared" si="7"/>
        <v>1242.5328319370853</v>
      </c>
    </row>
    <row r="26" spans="1:20" x14ac:dyDescent="0.2">
      <c r="A26" s="5">
        <v>35</v>
      </c>
      <c r="B26" s="1">
        <f t="shared" si="8"/>
        <v>1.4129738209737661</v>
      </c>
      <c r="C26" s="5">
        <f t="shared" si="9"/>
        <v>49853.891961088491</v>
      </c>
      <c r="D26" s="5">
        <f t="shared" si="0"/>
        <v>48415.228498722769</v>
      </c>
      <c r="E26" s="5">
        <f t="shared" si="1"/>
        <v>38915.228498722769</v>
      </c>
      <c r="F26" s="5">
        <f t="shared" si="2"/>
        <v>13449.094954705261</v>
      </c>
      <c r="G26" s="5">
        <f t="shared" si="3"/>
        <v>34966.13354401751</v>
      </c>
      <c r="H26" s="22">
        <f t="shared" si="10"/>
        <v>22080.67048900856</v>
      </c>
      <c r="I26" s="5">
        <f t="shared" si="4"/>
        <v>56119.415872487705</v>
      </c>
      <c r="J26" s="26">
        <f t="shared" si="5"/>
        <v>0.1856520141194091</v>
      </c>
      <c r="L26" s="22">
        <f t="shared" si="11"/>
        <v>83558.103364891504</v>
      </c>
      <c r="M26" s="5">
        <f>scrimecost*Meta!O23</f>
        <v>2383.8780000000002</v>
      </c>
      <c r="N26" s="5">
        <f>L26-Grade14!L26</f>
        <v>2256.9891194264346</v>
      </c>
      <c r="O26" s="5">
        <f>Grade14!M26-M26</f>
        <v>40.511999999999716</v>
      </c>
      <c r="P26" s="22">
        <f t="shared" si="12"/>
        <v>154.46711129982933</v>
      </c>
      <c r="Q26" s="22"/>
      <c r="R26" s="22"/>
      <c r="S26" s="22">
        <f t="shared" si="6"/>
        <v>1630.9037274093091</v>
      </c>
      <c r="T26" s="22">
        <f t="shared" si="7"/>
        <v>1242.4597396659408</v>
      </c>
    </row>
    <row r="27" spans="1:20" x14ac:dyDescent="0.2">
      <c r="A27" s="5">
        <v>36</v>
      </c>
      <c r="B27" s="1">
        <f t="shared" si="8"/>
        <v>1.4482981664981105</v>
      </c>
      <c r="C27" s="5">
        <f t="shared" si="9"/>
        <v>51100.239260115719</v>
      </c>
      <c r="D27" s="5">
        <f t="shared" si="0"/>
        <v>49609.229211190854</v>
      </c>
      <c r="E27" s="5">
        <f t="shared" si="1"/>
        <v>40109.229211190854</v>
      </c>
      <c r="F27" s="5">
        <f t="shared" si="2"/>
        <v>13958.336258572899</v>
      </c>
      <c r="G27" s="5">
        <f t="shared" si="3"/>
        <v>35650.892952617956</v>
      </c>
      <c r="H27" s="22">
        <f t="shared" si="10"/>
        <v>22632.687251233776</v>
      </c>
      <c r="I27" s="5">
        <f t="shared" si="4"/>
        <v>57333.007339299911</v>
      </c>
      <c r="J27" s="26">
        <f t="shared" si="5"/>
        <v>0.18833327502003547</v>
      </c>
      <c r="L27" s="22">
        <f t="shared" si="11"/>
        <v>85647.055949013811</v>
      </c>
      <c r="M27" s="5">
        <f>scrimecost*Meta!O24</f>
        <v>2383.8780000000002</v>
      </c>
      <c r="N27" s="5">
        <f>L27-Grade14!L27</f>
        <v>2313.4138474121282</v>
      </c>
      <c r="O27" s="5">
        <f>Grade14!M27-M27</f>
        <v>40.511999999999716</v>
      </c>
      <c r="P27" s="22">
        <f t="shared" si="12"/>
        <v>158.78933379891402</v>
      </c>
      <c r="Q27" s="22"/>
      <c r="R27" s="22"/>
      <c r="S27" s="22">
        <f t="shared" si="6"/>
        <v>1671.2483227499201</v>
      </c>
      <c r="T27" s="22">
        <f t="shared" si="7"/>
        <v>1250.3125313718397</v>
      </c>
    </row>
    <row r="28" spans="1:20" x14ac:dyDescent="0.2">
      <c r="A28" s="5">
        <v>37</v>
      </c>
      <c r="B28" s="1">
        <f t="shared" si="8"/>
        <v>1.4845056206605631</v>
      </c>
      <c r="C28" s="5">
        <f t="shared" si="9"/>
        <v>52377.745241618613</v>
      </c>
      <c r="D28" s="5">
        <f t="shared" si="0"/>
        <v>50833.079941470627</v>
      </c>
      <c r="E28" s="5">
        <f t="shared" si="1"/>
        <v>41333.079941470627</v>
      </c>
      <c r="F28" s="5">
        <f t="shared" si="2"/>
        <v>14480.308595037224</v>
      </c>
      <c r="G28" s="5">
        <f t="shared" si="3"/>
        <v>36352.771346433401</v>
      </c>
      <c r="H28" s="22">
        <f t="shared" si="10"/>
        <v>23198.504432514619</v>
      </c>
      <c r="I28" s="5">
        <f t="shared" si="4"/>
        <v>58576.938592782404</v>
      </c>
      <c r="J28" s="26">
        <f t="shared" si="5"/>
        <v>0.19094913931332946</v>
      </c>
      <c r="L28" s="22">
        <f t="shared" si="11"/>
        <v>87788.232347739147</v>
      </c>
      <c r="M28" s="5">
        <f>scrimecost*Meta!O25</f>
        <v>2383.8780000000002</v>
      </c>
      <c r="N28" s="5">
        <f>L28-Grade14!L28</f>
        <v>2371.2491935974249</v>
      </c>
      <c r="O28" s="5">
        <f>Grade14!M28-M28</f>
        <v>40.511999999999716</v>
      </c>
      <c r="P28" s="22">
        <f t="shared" si="12"/>
        <v>163.21961186047579</v>
      </c>
      <c r="Q28" s="22"/>
      <c r="R28" s="22"/>
      <c r="S28" s="22">
        <f t="shared" si="6"/>
        <v>1712.6015329740201</v>
      </c>
      <c r="T28" s="22">
        <f t="shared" si="7"/>
        <v>1258.2227341121331</v>
      </c>
    </row>
    <row r="29" spans="1:20" x14ac:dyDescent="0.2">
      <c r="A29" s="5">
        <v>38</v>
      </c>
      <c r="B29" s="1">
        <f t="shared" si="8"/>
        <v>1.521618261177077</v>
      </c>
      <c r="C29" s="5">
        <f t="shared" si="9"/>
        <v>53687.188872659062</v>
      </c>
      <c r="D29" s="5">
        <f t="shared" si="0"/>
        <v>52087.526940007374</v>
      </c>
      <c r="E29" s="5">
        <f t="shared" si="1"/>
        <v>42587.526940007374</v>
      </c>
      <c r="F29" s="5">
        <f t="shared" si="2"/>
        <v>15015.330239913144</v>
      </c>
      <c r="G29" s="5">
        <f t="shared" si="3"/>
        <v>37072.196700094231</v>
      </c>
      <c r="H29" s="22">
        <f t="shared" si="10"/>
        <v>23778.467043327484</v>
      </c>
      <c r="I29" s="5">
        <f t="shared" si="4"/>
        <v>59851.968127601962</v>
      </c>
      <c r="J29" s="26">
        <f t="shared" si="5"/>
        <v>0.19350120203849416</v>
      </c>
      <c r="L29" s="22">
        <f t="shared" si="11"/>
        <v>89982.938156432618</v>
      </c>
      <c r="M29" s="5">
        <f>scrimecost*Meta!O26</f>
        <v>2383.8780000000002</v>
      </c>
      <c r="N29" s="5">
        <f>L29-Grade14!L29</f>
        <v>2430.5304234373471</v>
      </c>
      <c r="O29" s="5">
        <f>Grade14!M29-M29</f>
        <v>40.511999999999716</v>
      </c>
      <c r="P29" s="22">
        <f t="shared" si="12"/>
        <v>167.76064687357652</v>
      </c>
      <c r="Q29" s="22"/>
      <c r="R29" s="22"/>
      <c r="S29" s="22">
        <f t="shared" si="6"/>
        <v>1754.9885734537183</v>
      </c>
      <c r="T29" s="22">
        <f t="shared" si="7"/>
        <v>1266.1906221119527</v>
      </c>
    </row>
    <row r="30" spans="1:20" x14ac:dyDescent="0.2">
      <c r="A30" s="5">
        <v>39</v>
      </c>
      <c r="B30" s="1">
        <f t="shared" si="8"/>
        <v>1.559658717706504</v>
      </c>
      <c r="C30" s="5">
        <f t="shared" si="9"/>
        <v>55029.368594475549</v>
      </c>
      <c r="D30" s="5">
        <f t="shared" si="0"/>
        <v>53373.335113507572</v>
      </c>
      <c r="E30" s="5">
        <f t="shared" si="1"/>
        <v>43873.335113507572</v>
      </c>
      <c r="F30" s="5">
        <f t="shared" si="2"/>
        <v>15563.72742591098</v>
      </c>
      <c r="G30" s="5">
        <f t="shared" si="3"/>
        <v>37809.607687596595</v>
      </c>
      <c r="H30" s="22">
        <f t="shared" si="10"/>
        <v>24372.928719410669</v>
      </c>
      <c r="I30" s="5">
        <f t="shared" si="4"/>
        <v>61158.873400792014</v>
      </c>
      <c r="J30" s="26">
        <f t="shared" si="5"/>
        <v>0.19599101933133797</v>
      </c>
      <c r="L30" s="22">
        <f t="shared" si="11"/>
        <v>92232.511610343441</v>
      </c>
      <c r="M30" s="5">
        <f>scrimecost*Meta!O27</f>
        <v>2383.8780000000002</v>
      </c>
      <c r="N30" s="5">
        <f>L30-Grade14!L30</f>
        <v>2491.2936840232869</v>
      </c>
      <c r="O30" s="5">
        <f>Grade14!M30-M30</f>
        <v>40.511999999999716</v>
      </c>
      <c r="P30" s="22">
        <f t="shared" si="12"/>
        <v>172.41520776200488</v>
      </c>
      <c r="Q30" s="22"/>
      <c r="R30" s="22"/>
      <c r="S30" s="22">
        <f t="shared" si="6"/>
        <v>1798.4352899454213</v>
      </c>
      <c r="T30" s="22">
        <f t="shared" si="7"/>
        <v>1274.2164732591852</v>
      </c>
    </row>
    <row r="31" spans="1:20" x14ac:dyDescent="0.2">
      <c r="A31" s="5">
        <v>40</v>
      </c>
      <c r="B31" s="1">
        <f t="shared" si="8"/>
        <v>1.5986501856491666</v>
      </c>
      <c r="C31" s="5">
        <f t="shared" si="9"/>
        <v>56405.102809337433</v>
      </c>
      <c r="D31" s="5">
        <f t="shared" si="0"/>
        <v>54691.288491345258</v>
      </c>
      <c r="E31" s="5">
        <f t="shared" si="1"/>
        <v>45191.288491345258</v>
      </c>
      <c r="F31" s="5">
        <f t="shared" si="2"/>
        <v>16125.834541558754</v>
      </c>
      <c r="G31" s="5">
        <f t="shared" si="3"/>
        <v>38565.453949786504</v>
      </c>
      <c r="H31" s="22">
        <f t="shared" si="10"/>
        <v>24982.25193739594</v>
      </c>
      <c r="I31" s="5">
        <f t="shared" si="4"/>
        <v>62498.451305811817</v>
      </c>
      <c r="J31" s="26">
        <f t="shared" si="5"/>
        <v>0.19842010937313673</v>
      </c>
      <c r="L31" s="22">
        <f t="shared" si="11"/>
        <v>94538.32440060204</v>
      </c>
      <c r="M31" s="5">
        <f>scrimecost*Meta!O28</f>
        <v>2129.6730000000002</v>
      </c>
      <c r="N31" s="5">
        <f>L31-Grade14!L31</f>
        <v>2553.5760261239047</v>
      </c>
      <c r="O31" s="5">
        <f>Grade14!M31-M31</f>
        <v>36.192000000000007</v>
      </c>
      <c r="P31" s="22">
        <f t="shared" si="12"/>
        <v>177.18613267264391</v>
      </c>
      <c r="Q31" s="22"/>
      <c r="R31" s="22"/>
      <c r="S31" s="22">
        <f t="shared" si="6"/>
        <v>1839.6201743494373</v>
      </c>
      <c r="T31" s="22">
        <f t="shared" si="7"/>
        <v>1279.9710973413364</v>
      </c>
    </row>
    <row r="32" spans="1:20" x14ac:dyDescent="0.2">
      <c r="A32" s="5">
        <v>41</v>
      </c>
      <c r="B32" s="1">
        <f t="shared" si="8"/>
        <v>1.6386164402903955</v>
      </c>
      <c r="C32" s="5">
        <f t="shared" si="9"/>
        <v>57815.230379570858</v>
      </c>
      <c r="D32" s="5">
        <f t="shared" si="0"/>
        <v>56042.190703628876</v>
      </c>
      <c r="E32" s="5">
        <f t="shared" si="1"/>
        <v>46542.190703628876</v>
      </c>
      <c r="F32" s="5">
        <f t="shared" si="2"/>
        <v>16701.994335097716</v>
      </c>
      <c r="G32" s="5">
        <f t="shared" si="3"/>
        <v>39340.196368531164</v>
      </c>
      <c r="H32" s="22">
        <f t="shared" si="10"/>
        <v>25606.808235830831</v>
      </c>
      <c r="I32" s="5">
        <f t="shared" si="4"/>
        <v>63871.518658457098</v>
      </c>
      <c r="J32" s="26">
        <f t="shared" si="5"/>
        <v>0.20078995331635494</v>
      </c>
      <c r="L32" s="22">
        <f t="shared" si="11"/>
        <v>96901.782510617064</v>
      </c>
      <c r="M32" s="5">
        <f>scrimecost*Meta!O29</f>
        <v>2129.6730000000002</v>
      </c>
      <c r="N32" s="5">
        <f>L32-Grade14!L32</f>
        <v>2617.4154267769918</v>
      </c>
      <c r="O32" s="5">
        <f>Grade14!M32-M32</f>
        <v>36.192000000000007</v>
      </c>
      <c r="P32" s="22">
        <f t="shared" si="12"/>
        <v>182.07633070604882</v>
      </c>
      <c r="Q32" s="22"/>
      <c r="R32" s="22"/>
      <c r="S32" s="22">
        <f t="shared" si="6"/>
        <v>1885.2663808635225</v>
      </c>
      <c r="T32" s="22">
        <f t="shared" si="7"/>
        <v>1288.1555897446658</v>
      </c>
    </row>
    <row r="33" spans="1:20" x14ac:dyDescent="0.2">
      <c r="A33" s="5">
        <v>42</v>
      </c>
      <c r="B33" s="1">
        <f t="shared" si="8"/>
        <v>1.6795818512976552</v>
      </c>
      <c r="C33" s="5">
        <f t="shared" si="9"/>
        <v>59260.611139060129</v>
      </c>
      <c r="D33" s="5">
        <f t="shared" si="0"/>
        <v>57426.8654712196</v>
      </c>
      <c r="E33" s="5">
        <f t="shared" si="1"/>
        <v>47926.8654712196</v>
      </c>
      <c r="F33" s="5">
        <f t="shared" si="2"/>
        <v>17292.558123475159</v>
      </c>
      <c r="G33" s="5">
        <f t="shared" si="3"/>
        <v>40134.307347744441</v>
      </c>
      <c r="H33" s="22">
        <f t="shared" si="10"/>
        <v>26246.978441726602</v>
      </c>
      <c r="I33" s="5">
        <f t="shared" si="4"/>
        <v>65278.91269491853</v>
      </c>
      <c r="J33" s="26">
        <f t="shared" si="5"/>
        <v>0.20310199618778743</v>
      </c>
      <c r="L33" s="22">
        <f t="shared" si="11"/>
        <v>99324.327073382476</v>
      </c>
      <c r="M33" s="5">
        <f>scrimecost*Meta!O30</f>
        <v>2129.6730000000002</v>
      </c>
      <c r="N33" s="5">
        <f>L33-Grade14!L33</f>
        <v>2682.8508124463988</v>
      </c>
      <c r="O33" s="5">
        <f>Grade14!M33-M33</f>
        <v>36.192000000000007</v>
      </c>
      <c r="P33" s="22">
        <f t="shared" si="12"/>
        <v>187.08878369028892</v>
      </c>
      <c r="Q33" s="22"/>
      <c r="R33" s="22"/>
      <c r="S33" s="22">
        <f t="shared" si="6"/>
        <v>1932.0537425404552</v>
      </c>
      <c r="T33" s="22">
        <f t="shared" si="7"/>
        <v>1296.3981483912735</v>
      </c>
    </row>
    <row r="34" spans="1:20" x14ac:dyDescent="0.2">
      <c r="A34" s="5">
        <v>43</v>
      </c>
      <c r="B34" s="1">
        <f t="shared" si="8"/>
        <v>1.7215713975800966</v>
      </c>
      <c r="C34" s="5">
        <f t="shared" si="9"/>
        <v>60742.126417536623</v>
      </c>
      <c r="D34" s="5">
        <f t="shared" si="0"/>
        <v>58846.157108000079</v>
      </c>
      <c r="E34" s="5">
        <f t="shared" si="1"/>
        <v>49346.157108000079</v>
      </c>
      <c r="F34" s="5">
        <f t="shared" si="2"/>
        <v>17897.886006562032</v>
      </c>
      <c r="G34" s="5">
        <f t="shared" si="3"/>
        <v>40948.271101438047</v>
      </c>
      <c r="H34" s="22">
        <f t="shared" si="10"/>
        <v>26903.152902769765</v>
      </c>
      <c r="I34" s="5">
        <f t="shared" si="4"/>
        <v>66721.491582291477</v>
      </c>
      <c r="J34" s="26">
        <f t="shared" si="5"/>
        <v>0.20535764776967275</v>
      </c>
      <c r="L34" s="22">
        <f t="shared" si="11"/>
        <v>101807.43525021704</v>
      </c>
      <c r="M34" s="5">
        <f>scrimecost*Meta!O31</f>
        <v>2129.6730000000002</v>
      </c>
      <c r="N34" s="5">
        <f>L34-Grade14!L34</f>
        <v>2749.9220827575482</v>
      </c>
      <c r="O34" s="5">
        <f>Grade14!M34-M34</f>
        <v>36.192000000000007</v>
      </c>
      <c r="P34" s="22">
        <f t="shared" si="12"/>
        <v>192.22654799913502</v>
      </c>
      <c r="Q34" s="22"/>
      <c r="R34" s="22"/>
      <c r="S34" s="22">
        <f t="shared" si="6"/>
        <v>1980.0107882593161</v>
      </c>
      <c r="T34" s="22">
        <f t="shared" si="7"/>
        <v>1304.6990792558415</v>
      </c>
    </row>
    <row r="35" spans="1:20" x14ac:dyDescent="0.2">
      <c r="A35" s="5">
        <v>44</v>
      </c>
      <c r="B35" s="1">
        <f t="shared" si="8"/>
        <v>1.7646106825195991</v>
      </c>
      <c r="C35" s="5">
        <f t="shared" si="9"/>
        <v>62260.679577975046</v>
      </c>
      <c r="D35" s="5">
        <f t="shared" si="0"/>
        <v>60300.931035700087</v>
      </c>
      <c r="E35" s="5">
        <f t="shared" si="1"/>
        <v>50800.931035700087</v>
      </c>
      <c r="F35" s="5">
        <f t="shared" si="2"/>
        <v>18518.347086726088</v>
      </c>
      <c r="G35" s="5">
        <f t="shared" si="3"/>
        <v>41782.583948974003</v>
      </c>
      <c r="H35" s="22">
        <f t="shared" si="10"/>
        <v>27575.73172533901</v>
      </c>
      <c r="I35" s="5">
        <f t="shared" si="4"/>
        <v>68200.134941848781</v>
      </c>
      <c r="J35" s="26">
        <f t="shared" si="5"/>
        <v>0.20755828345931704</v>
      </c>
      <c r="L35" s="22">
        <f t="shared" si="11"/>
        <v>104352.62113147246</v>
      </c>
      <c r="M35" s="5">
        <f>scrimecost*Meta!O32</f>
        <v>2129.6730000000002</v>
      </c>
      <c r="N35" s="5">
        <f>L35-Grade14!L35</f>
        <v>2818.6701348264905</v>
      </c>
      <c r="O35" s="5">
        <f>Grade14!M35-M35</f>
        <v>36.192000000000007</v>
      </c>
      <c r="P35" s="22">
        <f t="shared" si="12"/>
        <v>197.49275641570233</v>
      </c>
      <c r="Q35" s="22"/>
      <c r="R35" s="22"/>
      <c r="S35" s="22">
        <f t="shared" si="6"/>
        <v>2029.1667601211579</v>
      </c>
      <c r="T35" s="22">
        <f t="shared" si="7"/>
        <v>1313.058691691497</v>
      </c>
    </row>
    <row r="36" spans="1:20" x14ac:dyDescent="0.2">
      <c r="A36" s="5">
        <v>45</v>
      </c>
      <c r="B36" s="1">
        <f t="shared" si="8"/>
        <v>1.8087259495825889</v>
      </c>
      <c r="C36" s="5">
        <f t="shared" si="9"/>
        <v>63817.19656742442</v>
      </c>
      <c r="D36" s="5">
        <f t="shared" si="0"/>
        <v>61792.074311592587</v>
      </c>
      <c r="E36" s="5">
        <f t="shared" si="1"/>
        <v>52292.074311592587</v>
      </c>
      <c r="F36" s="5">
        <f t="shared" si="2"/>
        <v>19154.319693894238</v>
      </c>
      <c r="G36" s="5">
        <f t="shared" si="3"/>
        <v>42637.754617698345</v>
      </c>
      <c r="H36" s="22">
        <f t="shared" si="10"/>
        <v>28265.125018472485</v>
      </c>
      <c r="I36" s="5">
        <f t="shared" si="4"/>
        <v>69715.744385394981</v>
      </c>
      <c r="J36" s="26">
        <f t="shared" si="5"/>
        <v>0.20970524510775046</v>
      </c>
      <c r="L36" s="22">
        <f t="shared" si="11"/>
        <v>106961.43665975929</v>
      </c>
      <c r="M36" s="5">
        <f>scrimecost*Meta!O33</f>
        <v>1805.797</v>
      </c>
      <c r="N36" s="5">
        <f>L36-Grade14!L36</f>
        <v>2889.1368881971866</v>
      </c>
      <c r="O36" s="5">
        <f>Grade14!M36-M36</f>
        <v>30.687999999999874</v>
      </c>
      <c r="P36" s="22">
        <f t="shared" si="12"/>
        <v>202.89062004268379</v>
      </c>
      <c r="Q36" s="22"/>
      <c r="R36" s="22"/>
      <c r="S36" s="22">
        <f t="shared" si="6"/>
        <v>2075.2860312795651</v>
      </c>
      <c r="T36" s="22">
        <f t="shared" si="7"/>
        <v>1318.7666691363631</v>
      </c>
    </row>
    <row r="37" spans="1:20" x14ac:dyDescent="0.2">
      <c r="A37" s="5">
        <v>46</v>
      </c>
      <c r="B37" s="1">
        <f t="shared" ref="B37:B56" si="13">(1+experiencepremium)^(A37-startage)</f>
        <v>1.8539440983221533</v>
      </c>
      <c r="C37" s="5">
        <f t="shared" ref="C37:C56" si="14">pretaxincome*B37/expnorm</f>
        <v>65412.626481610016</v>
      </c>
      <c r="D37" s="5">
        <f t="shared" ref="D37:D56" si="15">IF(A37&lt;startage,1,0)*(C37*(1-initialunempprob))+IF(A37=startage,1,0)*(C37*(1-unempprob))+IF(A37&gt;startage,1,0)*(C37*(1-unempprob)+unempprob*300*52)</f>
        <v>63320.496169382386</v>
      </c>
      <c r="E37" s="5">
        <f t="shared" si="1"/>
        <v>53820.496169382386</v>
      </c>
      <c r="F37" s="5">
        <f t="shared" si="2"/>
        <v>19806.191616241587</v>
      </c>
      <c r="G37" s="5">
        <f t="shared" si="3"/>
        <v>43514.304553140799</v>
      </c>
      <c r="H37" s="22">
        <f t="shared" ref="H37:H56" si="16">benefits*B37/expnorm</f>
        <v>28971.753143934293</v>
      </c>
      <c r="I37" s="5">
        <f t="shared" ref="I37:I56" si="17">G37+IF(A37&lt;startage,1,0)*(H37*(1-initialunempprob))+IF(A37&gt;=startage,1,0)*(H37*(1-unempprob))</f>
        <v>71269.244065029852</v>
      </c>
      <c r="J37" s="26">
        <f t="shared" si="5"/>
        <v>0.21179984183792935</v>
      </c>
      <c r="L37" s="22">
        <f t="shared" ref="L37:L56" si="18">(sincome+sbenefits)*(1-sunemp)*B37/expnorm</f>
        <v>109635.47257625323</v>
      </c>
      <c r="M37" s="5">
        <f>scrimecost*Meta!O34</f>
        <v>1805.797</v>
      </c>
      <c r="N37" s="5">
        <f>L37-Grade14!L37</f>
        <v>2961.3653104020777</v>
      </c>
      <c r="O37" s="5">
        <f>Grade14!M37-M37</f>
        <v>30.687999999999874</v>
      </c>
      <c r="P37" s="22">
        <f t="shared" si="12"/>
        <v>208.4234302603397</v>
      </c>
      <c r="Q37" s="22"/>
      <c r="R37" s="22"/>
      <c r="S37" s="22">
        <f t="shared" si="6"/>
        <v>2126.9305242168853</v>
      </c>
      <c r="T37" s="22">
        <f t="shared" si="7"/>
        <v>1327.2933033654647</v>
      </c>
    </row>
    <row r="38" spans="1:20" x14ac:dyDescent="0.2">
      <c r="A38" s="5">
        <v>47</v>
      </c>
      <c r="B38" s="1">
        <f t="shared" si="13"/>
        <v>1.9002927007802071</v>
      </c>
      <c r="C38" s="5">
        <f t="shared" si="14"/>
        <v>67047.94214365026</v>
      </c>
      <c r="D38" s="5">
        <f t="shared" si="15"/>
        <v>64887.128573616945</v>
      </c>
      <c r="E38" s="5">
        <f t="shared" si="1"/>
        <v>55387.128573616945</v>
      </c>
      <c r="F38" s="5">
        <f t="shared" si="2"/>
        <v>20474.360336647627</v>
      </c>
      <c r="G38" s="5">
        <f t="shared" si="3"/>
        <v>44412.768236969321</v>
      </c>
      <c r="H38" s="22">
        <f t="shared" si="16"/>
        <v>29696.046972532647</v>
      </c>
      <c r="I38" s="5">
        <f t="shared" si="17"/>
        <v>72861.581236655591</v>
      </c>
      <c r="J38" s="26">
        <f t="shared" si="5"/>
        <v>0.21384335084298201</v>
      </c>
      <c r="L38" s="22">
        <f t="shared" si="18"/>
        <v>112376.35939065956</v>
      </c>
      <c r="M38" s="5">
        <f>scrimecost*Meta!O35</f>
        <v>1805.797</v>
      </c>
      <c r="N38" s="5">
        <f>L38-Grade14!L38</f>
        <v>3035.3994431621541</v>
      </c>
      <c r="O38" s="5">
        <f>Grade14!M38-M38</f>
        <v>30.687999999999874</v>
      </c>
      <c r="P38" s="22">
        <f t="shared" si="12"/>
        <v>214.09456073343711</v>
      </c>
      <c r="Q38" s="22"/>
      <c r="R38" s="22"/>
      <c r="S38" s="22">
        <f t="shared" si="6"/>
        <v>2179.8661294776803</v>
      </c>
      <c r="T38" s="22">
        <f t="shared" si="7"/>
        <v>1335.8786919012891</v>
      </c>
    </row>
    <row r="39" spans="1:20" x14ac:dyDescent="0.2">
      <c r="A39" s="5">
        <v>48</v>
      </c>
      <c r="B39" s="1">
        <f t="shared" si="13"/>
        <v>1.9478000182997122</v>
      </c>
      <c r="C39" s="5">
        <f t="shared" si="14"/>
        <v>68724.140697241513</v>
      </c>
      <c r="D39" s="5">
        <f t="shared" si="15"/>
        <v>66492.92678795736</v>
      </c>
      <c r="E39" s="5">
        <f t="shared" si="1"/>
        <v>56992.92678795736</v>
      </c>
      <c r="F39" s="5">
        <f t="shared" si="2"/>
        <v>21159.233275063816</v>
      </c>
      <c r="G39" s="5">
        <f t="shared" si="3"/>
        <v>45333.693512893544</v>
      </c>
      <c r="H39" s="22">
        <f t="shared" si="16"/>
        <v>30438.44814684596</v>
      </c>
      <c r="I39" s="5">
        <f t="shared" si="17"/>
        <v>74493.726837571972</v>
      </c>
      <c r="J39" s="26">
        <f t="shared" si="5"/>
        <v>0.21583701816498455</v>
      </c>
      <c r="L39" s="22">
        <f t="shared" si="18"/>
        <v>115185.76837542605</v>
      </c>
      <c r="M39" s="5">
        <f>scrimecost*Meta!O36</f>
        <v>1805.797</v>
      </c>
      <c r="N39" s="5">
        <f>L39-Grade14!L39</f>
        <v>3111.2844292412046</v>
      </c>
      <c r="O39" s="5">
        <f>Grade14!M39-M39</f>
        <v>30.687999999999874</v>
      </c>
      <c r="P39" s="22">
        <f t="shared" si="12"/>
        <v>219.90746946836194</v>
      </c>
      <c r="Q39" s="22"/>
      <c r="R39" s="22"/>
      <c r="S39" s="22">
        <f t="shared" si="6"/>
        <v>2234.1251248699759</v>
      </c>
      <c r="T39" s="22">
        <f t="shared" si="7"/>
        <v>1344.5231733280743</v>
      </c>
    </row>
    <row r="40" spans="1:20" x14ac:dyDescent="0.2">
      <c r="A40" s="5">
        <v>49</v>
      </c>
      <c r="B40" s="1">
        <f t="shared" si="13"/>
        <v>1.9964950187572048</v>
      </c>
      <c r="C40" s="5">
        <f t="shared" si="14"/>
        <v>70442.244214672552</v>
      </c>
      <c r="D40" s="5">
        <f t="shared" si="15"/>
        <v>68138.869957656294</v>
      </c>
      <c r="E40" s="5">
        <f t="shared" si="1"/>
        <v>58638.869957656294</v>
      </c>
      <c r="F40" s="5">
        <f t="shared" si="2"/>
        <v>21861.228036940411</v>
      </c>
      <c r="G40" s="5">
        <f t="shared" si="3"/>
        <v>46277.641920715883</v>
      </c>
      <c r="H40" s="22">
        <f t="shared" si="16"/>
        <v>31199.409350517108</v>
      </c>
      <c r="I40" s="5">
        <f t="shared" si="17"/>
        <v>76166.676078511271</v>
      </c>
      <c r="J40" s="26">
        <f t="shared" si="5"/>
        <v>0.2177820594547431</v>
      </c>
      <c r="L40" s="22">
        <f t="shared" si="18"/>
        <v>118065.41258481168</v>
      </c>
      <c r="M40" s="5">
        <f>scrimecost*Meta!O37</f>
        <v>1805.797</v>
      </c>
      <c r="N40" s="5">
        <f>L40-Grade14!L40</f>
        <v>3189.0665399721911</v>
      </c>
      <c r="O40" s="5">
        <f>Grade14!M40-M40</f>
        <v>30.687999999999874</v>
      </c>
      <c r="P40" s="22">
        <f t="shared" si="12"/>
        <v>225.86570092165982</v>
      </c>
      <c r="Q40" s="22"/>
      <c r="R40" s="22"/>
      <c r="S40" s="22">
        <f t="shared" si="6"/>
        <v>2289.7405951470532</v>
      </c>
      <c r="T40" s="22">
        <f t="shared" si="7"/>
        <v>1353.2270893183179</v>
      </c>
    </row>
    <row r="41" spans="1:20" x14ac:dyDescent="0.2">
      <c r="A41" s="5">
        <v>50</v>
      </c>
      <c r="B41" s="1">
        <f t="shared" si="13"/>
        <v>2.0464073942261352</v>
      </c>
      <c r="C41" s="5">
        <f t="shared" si="14"/>
        <v>72203.300320039372</v>
      </c>
      <c r="D41" s="5">
        <f t="shared" si="15"/>
        <v>69825.961706597707</v>
      </c>
      <c r="E41" s="5">
        <f t="shared" si="1"/>
        <v>60325.961706597707</v>
      </c>
      <c r="F41" s="5">
        <f t="shared" si="2"/>
        <v>22580.772667863923</v>
      </c>
      <c r="G41" s="5">
        <f t="shared" si="3"/>
        <v>47245.189038733784</v>
      </c>
      <c r="H41" s="22">
        <f t="shared" si="16"/>
        <v>31979.394584280042</v>
      </c>
      <c r="I41" s="5">
        <f t="shared" si="17"/>
        <v>77881.449050474068</v>
      </c>
      <c r="J41" s="26">
        <f t="shared" si="5"/>
        <v>0.21967966071304415</v>
      </c>
      <c r="L41" s="22">
        <f t="shared" si="18"/>
        <v>121017.047899432</v>
      </c>
      <c r="M41" s="5">
        <f>scrimecost*Meta!O38</f>
        <v>1306.8019999999999</v>
      </c>
      <c r="N41" s="5">
        <f>L41-Grade14!L41</f>
        <v>3268.7932034715632</v>
      </c>
      <c r="O41" s="5">
        <f>Grade14!M41-M41</f>
        <v>22.208000000000084</v>
      </c>
      <c r="P41" s="22">
        <f t="shared" si="12"/>
        <v>231.97288816129026</v>
      </c>
      <c r="Q41" s="22"/>
      <c r="R41" s="22"/>
      <c r="S41" s="22">
        <f t="shared" si="6"/>
        <v>2340.1744521811302</v>
      </c>
      <c r="T41" s="22">
        <f t="shared" si="7"/>
        <v>1358.1765662638077</v>
      </c>
    </row>
    <row r="42" spans="1:20" x14ac:dyDescent="0.2">
      <c r="A42" s="5">
        <v>51</v>
      </c>
      <c r="B42" s="1">
        <f t="shared" si="13"/>
        <v>2.097567579081788</v>
      </c>
      <c r="C42" s="5">
        <f t="shared" si="14"/>
        <v>74008.38282804034</v>
      </c>
      <c r="D42" s="5">
        <f t="shared" si="15"/>
        <v>71555.230749262642</v>
      </c>
      <c r="E42" s="5">
        <f t="shared" si="1"/>
        <v>62055.230749262642</v>
      </c>
      <c r="F42" s="5">
        <f t="shared" si="2"/>
        <v>23318.305914560515</v>
      </c>
      <c r="G42" s="5">
        <f t="shared" si="3"/>
        <v>48236.924834702128</v>
      </c>
      <c r="H42" s="22">
        <f t="shared" si="16"/>
        <v>32778.879448887034</v>
      </c>
      <c r="I42" s="5">
        <f t="shared" si="17"/>
        <v>79639.091346735906</v>
      </c>
      <c r="J42" s="26">
        <f t="shared" si="5"/>
        <v>0.22153097901382571</v>
      </c>
      <c r="L42" s="22">
        <f t="shared" si="18"/>
        <v>124042.47409691777</v>
      </c>
      <c r="M42" s="5">
        <f>scrimecost*Meta!O39</f>
        <v>1306.8019999999999</v>
      </c>
      <c r="N42" s="5">
        <f>L42-Grade14!L42</f>
        <v>3350.5130335582944</v>
      </c>
      <c r="O42" s="5">
        <f>Grade14!M42-M42</f>
        <v>22.208000000000084</v>
      </c>
      <c r="P42" s="22">
        <f t="shared" si="12"/>
        <v>238.23275508191136</v>
      </c>
      <c r="Q42" s="22"/>
      <c r="R42" s="22"/>
      <c r="S42" s="22">
        <f t="shared" si="6"/>
        <v>2398.6054556409772</v>
      </c>
      <c r="T42" s="22">
        <f t="shared" si="7"/>
        <v>1367.0689402439286</v>
      </c>
    </row>
    <row r="43" spans="1:20" x14ac:dyDescent="0.2">
      <c r="A43" s="5">
        <v>52</v>
      </c>
      <c r="B43" s="1">
        <f t="shared" si="13"/>
        <v>2.1500067685588333</v>
      </c>
      <c r="C43" s="5">
        <f t="shared" si="14"/>
        <v>75858.59239874137</v>
      </c>
      <c r="D43" s="5">
        <f t="shared" si="15"/>
        <v>73327.731517994223</v>
      </c>
      <c r="E43" s="5">
        <f t="shared" si="1"/>
        <v>63827.731517994223</v>
      </c>
      <c r="F43" s="5">
        <f t="shared" si="2"/>
        <v>24074.277492424535</v>
      </c>
      <c r="G43" s="5">
        <f t="shared" si="3"/>
        <v>49253.454025569692</v>
      </c>
      <c r="H43" s="22">
        <f t="shared" si="16"/>
        <v>33598.351435109216</v>
      </c>
      <c r="I43" s="5">
        <f t="shared" si="17"/>
        <v>81440.674700404314</v>
      </c>
      <c r="J43" s="26">
        <f t="shared" si="5"/>
        <v>0.22333714320971013</v>
      </c>
      <c r="L43" s="22">
        <f t="shared" si="18"/>
        <v>127143.53594934074</v>
      </c>
      <c r="M43" s="5">
        <f>scrimecost*Meta!O40</f>
        <v>1306.8019999999999</v>
      </c>
      <c r="N43" s="5">
        <f>L43-Grade14!L43</f>
        <v>3434.2758593972976</v>
      </c>
      <c r="O43" s="5">
        <f>Grade14!M43-M43</f>
        <v>22.208000000000084</v>
      </c>
      <c r="P43" s="22">
        <f t="shared" si="12"/>
        <v>244.64911867554812</v>
      </c>
      <c r="Q43" s="22"/>
      <c r="R43" s="22"/>
      <c r="S43" s="22">
        <f t="shared" ref="S43:S69" si="19">IF(A43&lt;startage,1,0)*(N43-Q43-R43)+IF(A43&gt;=startage,1,0)*completionprob*(N43*spart+O43+P43)</f>
        <v>2458.4972341873881</v>
      </c>
      <c r="T43" s="22">
        <f t="shared" ref="T43:T69" si="20">S43/sreturn^(A43-startage+1)</f>
        <v>1376.0205603354007</v>
      </c>
    </row>
    <row r="44" spans="1:20" x14ac:dyDescent="0.2">
      <c r="A44" s="5">
        <v>53</v>
      </c>
      <c r="B44" s="1">
        <f t="shared" si="13"/>
        <v>2.2037569377728037</v>
      </c>
      <c r="C44" s="5">
        <f t="shared" si="14"/>
        <v>77755.057208709884</v>
      </c>
      <c r="D44" s="5">
        <f t="shared" si="15"/>
        <v>75144.544805944068</v>
      </c>
      <c r="E44" s="5">
        <f t="shared" si="1"/>
        <v>65644.544805944068</v>
      </c>
      <c r="F44" s="5">
        <f t="shared" si="2"/>
        <v>24849.148359735143</v>
      </c>
      <c r="G44" s="5">
        <f t="shared" si="3"/>
        <v>50295.396446208921</v>
      </c>
      <c r="H44" s="22">
        <f t="shared" si="16"/>
        <v>34438.310220986939</v>
      </c>
      <c r="I44" s="5">
        <f t="shared" si="17"/>
        <v>83287.297637914409</v>
      </c>
      <c r="J44" s="26">
        <f t="shared" si="5"/>
        <v>0.22509925462032906</v>
      </c>
      <c r="L44" s="22">
        <f t="shared" si="18"/>
        <v>130322.12434807424</v>
      </c>
      <c r="M44" s="5">
        <f>scrimecost*Meta!O41</f>
        <v>1306.8019999999999</v>
      </c>
      <c r="N44" s="5">
        <f>L44-Grade14!L44</f>
        <v>3520.1327558822231</v>
      </c>
      <c r="O44" s="5">
        <f>Grade14!M44-M44</f>
        <v>22.208000000000084</v>
      </c>
      <c r="P44" s="22">
        <f t="shared" si="12"/>
        <v>251.22589135902564</v>
      </c>
      <c r="Q44" s="22"/>
      <c r="R44" s="22"/>
      <c r="S44" s="22">
        <f t="shared" si="19"/>
        <v>2519.8863071974247</v>
      </c>
      <c r="T44" s="22">
        <f t="shared" si="20"/>
        <v>1385.0318027581902</v>
      </c>
    </row>
    <row r="45" spans="1:20" x14ac:dyDescent="0.2">
      <c r="A45" s="5">
        <v>54</v>
      </c>
      <c r="B45" s="1">
        <f t="shared" si="13"/>
        <v>2.2588508612171236</v>
      </c>
      <c r="C45" s="5">
        <f t="shared" si="14"/>
        <v>79698.933638927629</v>
      </c>
      <c r="D45" s="5">
        <f t="shared" si="15"/>
        <v>77006.778426092656</v>
      </c>
      <c r="E45" s="5">
        <f t="shared" si="1"/>
        <v>67506.778426092656</v>
      </c>
      <c r="F45" s="5">
        <f t="shared" si="2"/>
        <v>25643.390998728519</v>
      </c>
      <c r="G45" s="5">
        <f t="shared" si="3"/>
        <v>51363.387427364141</v>
      </c>
      <c r="H45" s="22">
        <f t="shared" si="16"/>
        <v>35299.267976511612</v>
      </c>
      <c r="I45" s="5">
        <f t="shared" si="17"/>
        <v>85180.086148862261</v>
      </c>
      <c r="J45" s="26">
        <f t="shared" si="5"/>
        <v>0.22681838770385976</v>
      </c>
      <c r="L45" s="22">
        <f t="shared" si="18"/>
        <v>133580.17745677609</v>
      </c>
      <c r="M45" s="5">
        <f>scrimecost*Meta!O42</f>
        <v>1306.8019999999999</v>
      </c>
      <c r="N45" s="5">
        <f>L45-Grade14!L45</f>
        <v>3608.1360747792642</v>
      </c>
      <c r="O45" s="5">
        <f>Grade14!M45-M45</f>
        <v>22.208000000000084</v>
      </c>
      <c r="P45" s="22">
        <f t="shared" si="12"/>
        <v>257.96708335959022</v>
      </c>
      <c r="Q45" s="22"/>
      <c r="R45" s="22"/>
      <c r="S45" s="22">
        <f t="shared" si="19"/>
        <v>2582.810107032707</v>
      </c>
      <c r="T45" s="22">
        <f t="shared" si="20"/>
        <v>1394.1030464498631</v>
      </c>
    </row>
    <row r="46" spans="1:20" x14ac:dyDescent="0.2">
      <c r="A46" s="5">
        <v>55</v>
      </c>
      <c r="B46" s="1">
        <f t="shared" si="13"/>
        <v>2.3153221327475517</v>
      </c>
      <c r="C46" s="5">
        <f t="shared" si="14"/>
        <v>81691.406979900814</v>
      </c>
      <c r="D46" s="5">
        <f t="shared" si="15"/>
        <v>78915.567886744975</v>
      </c>
      <c r="E46" s="5">
        <f t="shared" si="1"/>
        <v>69415.567886744975</v>
      </c>
      <c r="F46" s="5">
        <f t="shared" si="2"/>
        <v>26457.48970369673</v>
      </c>
      <c r="G46" s="5">
        <f t="shared" si="3"/>
        <v>52458.078183048245</v>
      </c>
      <c r="H46" s="22">
        <f t="shared" si="16"/>
        <v>36181.749675924402</v>
      </c>
      <c r="I46" s="5">
        <f t="shared" si="17"/>
        <v>87120.194372583821</v>
      </c>
      <c r="J46" s="26">
        <f t="shared" si="5"/>
        <v>0.22849559071218237</v>
      </c>
      <c r="L46" s="22">
        <f t="shared" si="18"/>
        <v>136919.68189319549</v>
      </c>
      <c r="M46" s="5">
        <f>scrimecost*Meta!O43</f>
        <v>781.44499999999994</v>
      </c>
      <c r="N46" s="5">
        <f>L46-Grade14!L46</f>
        <v>3698.3394766487763</v>
      </c>
      <c r="O46" s="5">
        <f>Grade14!M46-M46</f>
        <v>13.279999999999973</v>
      </c>
      <c r="P46" s="22">
        <f t="shared" si="12"/>
        <v>264.87680516016889</v>
      </c>
      <c r="Q46" s="22"/>
      <c r="R46" s="22"/>
      <c r="S46" s="22">
        <f t="shared" si="19"/>
        <v>2640.3878018639007</v>
      </c>
      <c r="T46" s="22">
        <f t="shared" si="20"/>
        <v>1399.5670737627668</v>
      </c>
    </row>
    <row r="47" spans="1:20" x14ac:dyDescent="0.2">
      <c r="A47" s="5">
        <v>56</v>
      </c>
      <c r="B47" s="1">
        <f t="shared" si="13"/>
        <v>2.3732051860662402</v>
      </c>
      <c r="C47" s="5">
        <f t="shared" si="14"/>
        <v>83733.692154398319</v>
      </c>
      <c r="D47" s="5">
        <f t="shared" si="15"/>
        <v>80872.07708391358</v>
      </c>
      <c r="E47" s="5">
        <f t="shared" si="1"/>
        <v>71372.07708391358</v>
      </c>
      <c r="F47" s="5">
        <f t="shared" si="2"/>
        <v>27291.94087628914</v>
      </c>
      <c r="G47" s="5">
        <f t="shared" si="3"/>
        <v>53580.13620762444</v>
      </c>
      <c r="H47" s="22">
        <f t="shared" si="16"/>
        <v>37086.293417822504</v>
      </c>
      <c r="I47" s="5">
        <f t="shared" si="17"/>
        <v>89108.805301898392</v>
      </c>
      <c r="J47" s="26">
        <f t="shared" si="5"/>
        <v>0.23013188633005804</v>
      </c>
      <c r="L47" s="22">
        <f t="shared" si="18"/>
        <v>140342.67394052533</v>
      </c>
      <c r="M47" s="5">
        <f>scrimecost*Meta!O44</f>
        <v>781.44499999999994</v>
      </c>
      <c r="N47" s="5">
        <f>L47-Grade14!L47</f>
        <v>3790.7979635649244</v>
      </c>
      <c r="O47" s="5">
        <f>Grade14!M47-M47</f>
        <v>13.279999999999973</v>
      </c>
      <c r="P47" s="22">
        <f t="shared" si="12"/>
        <v>271.95927000576188</v>
      </c>
      <c r="Q47" s="22"/>
      <c r="R47" s="22"/>
      <c r="S47" s="22">
        <f t="shared" si="19"/>
        <v>2706.4971190658084</v>
      </c>
      <c r="T47" s="22">
        <f t="shared" si="20"/>
        <v>1408.8253840832324</v>
      </c>
    </row>
    <row r="48" spans="1:20" x14ac:dyDescent="0.2">
      <c r="A48" s="5">
        <v>57</v>
      </c>
      <c r="B48" s="1">
        <f t="shared" si="13"/>
        <v>2.4325353157178964</v>
      </c>
      <c r="C48" s="5">
        <f t="shared" si="14"/>
        <v>85827.034458258291</v>
      </c>
      <c r="D48" s="5">
        <f t="shared" si="15"/>
        <v>82877.49901101143</v>
      </c>
      <c r="E48" s="5">
        <f t="shared" si="1"/>
        <v>73377.49901101143</v>
      </c>
      <c r="F48" s="5">
        <f t="shared" si="2"/>
        <v>28147.253328196373</v>
      </c>
      <c r="G48" s="5">
        <f t="shared" si="3"/>
        <v>54730.245682815061</v>
      </c>
      <c r="H48" s="22">
        <f t="shared" si="16"/>
        <v>38013.450753268073</v>
      </c>
      <c r="I48" s="5">
        <f t="shared" si="17"/>
        <v>91147.131504445875</v>
      </c>
      <c r="J48" s="26">
        <f t="shared" si="5"/>
        <v>0.23172827229871729</v>
      </c>
      <c r="L48" s="22">
        <f t="shared" si="18"/>
        <v>143851.24078903848</v>
      </c>
      <c r="M48" s="5">
        <f>scrimecost*Meta!O45</f>
        <v>781.44499999999994</v>
      </c>
      <c r="N48" s="5">
        <f>L48-Grade14!L48</f>
        <v>3885.5679126540781</v>
      </c>
      <c r="O48" s="5">
        <f>Grade14!M48-M48</f>
        <v>13.279999999999973</v>
      </c>
      <c r="P48" s="22">
        <f t="shared" si="12"/>
        <v>279.21879647249483</v>
      </c>
      <c r="Q48" s="22"/>
      <c r="R48" s="22"/>
      <c r="S48" s="22">
        <f t="shared" si="19"/>
        <v>2774.2591691978296</v>
      </c>
      <c r="T48" s="22">
        <f t="shared" si="20"/>
        <v>1418.1436642375645</v>
      </c>
    </row>
    <row r="49" spans="1:20" x14ac:dyDescent="0.2">
      <c r="A49" s="5">
        <v>58</v>
      </c>
      <c r="B49" s="1">
        <f t="shared" si="13"/>
        <v>2.4933486986108435</v>
      </c>
      <c r="C49" s="5">
        <f t="shared" si="14"/>
        <v>87972.710319714737</v>
      </c>
      <c r="D49" s="5">
        <f t="shared" si="15"/>
        <v>84933.056486286718</v>
      </c>
      <c r="E49" s="5">
        <f t="shared" si="1"/>
        <v>75433.056486286718</v>
      </c>
      <c r="F49" s="5">
        <f t="shared" si="2"/>
        <v>29023.948591401288</v>
      </c>
      <c r="G49" s="5">
        <f t="shared" si="3"/>
        <v>55909.107894885427</v>
      </c>
      <c r="H49" s="22">
        <f t="shared" si="16"/>
        <v>38963.787022099772</v>
      </c>
      <c r="I49" s="5">
        <f t="shared" si="17"/>
        <v>93236.415862057009</v>
      </c>
      <c r="J49" s="26">
        <f t="shared" si="5"/>
        <v>0.23328572202423856</v>
      </c>
      <c r="L49" s="22">
        <f t="shared" si="18"/>
        <v>147447.52180876446</v>
      </c>
      <c r="M49" s="5">
        <f>scrimecost*Meta!O46</f>
        <v>781.44499999999994</v>
      </c>
      <c r="N49" s="5">
        <f>L49-Grade14!L49</f>
        <v>3982.707110470481</v>
      </c>
      <c r="O49" s="5">
        <f>Grade14!M49-M49</f>
        <v>13.279999999999973</v>
      </c>
      <c r="P49" s="22">
        <f t="shared" si="12"/>
        <v>286.65981110089621</v>
      </c>
      <c r="Q49" s="22"/>
      <c r="R49" s="22"/>
      <c r="S49" s="22">
        <f t="shared" si="19"/>
        <v>2843.7152705831654</v>
      </c>
      <c r="T49" s="22">
        <f t="shared" si="20"/>
        <v>1427.5223254621512</v>
      </c>
    </row>
    <row r="50" spans="1:20" x14ac:dyDescent="0.2">
      <c r="A50" s="5">
        <v>59</v>
      </c>
      <c r="B50" s="1">
        <f t="shared" si="13"/>
        <v>2.555682416076114</v>
      </c>
      <c r="C50" s="5">
        <f t="shared" si="14"/>
        <v>90172.028077707582</v>
      </c>
      <c r="D50" s="5">
        <f t="shared" si="15"/>
        <v>87040.002898443854</v>
      </c>
      <c r="E50" s="5">
        <f t="shared" si="1"/>
        <v>77540.002898443854</v>
      </c>
      <c r="F50" s="5">
        <f t="shared" si="2"/>
        <v>29922.561236186302</v>
      </c>
      <c r="G50" s="5">
        <f t="shared" si="3"/>
        <v>57117.441662257552</v>
      </c>
      <c r="H50" s="22">
        <f t="shared" si="16"/>
        <v>39937.88169765225</v>
      </c>
      <c r="I50" s="5">
        <f t="shared" si="17"/>
        <v>95377.932328608411</v>
      </c>
      <c r="J50" s="26">
        <f t="shared" si="5"/>
        <v>0.23480518517108845</v>
      </c>
      <c r="L50" s="22">
        <f t="shared" si="18"/>
        <v>151133.70985398351</v>
      </c>
      <c r="M50" s="5">
        <f>scrimecost*Meta!O47</f>
        <v>781.44499999999994</v>
      </c>
      <c r="N50" s="5">
        <f>L50-Grade14!L50</f>
        <v>4082.274788232171</v>
      </c>
      <c r="O50" s="5">
        <f>Grade14!M50-M50</f>
        <v>13.279999999999973</v>
      </c>
      <c r="P50" s="22">
        <f t="shared" si="12"/>
        <v>294.28685109500736</v>
      </c>
      <c r="Q50" s="22"/>
      <c r="R50" s="22"/>
      <c r="S50" s="22">
        <f t="shared" si="19"/>
        <v>2914.9077745030536</v>
      </c>
      <c r="T50" s="22">
        <f t="shared" si="20"/>
        <v>1436.9617813974533</v>
      </c>
    </row>
    <row r="51" spans="1:20" x14ac:dyDescent="0.2">
      <c r="A51" s="5">
        <v>60</v>
      </c>
      <c r="B51" s="1">
        <f t="shared" si="13"/>
        <v>2.6195744764780171</v>
      </c>
      <c r="C51" s="5">
        <f t="shared" si="14"/>
        <v>92426.328779650285</v>
      </c>
      <c r="D51" s="5">
        <f t="shared" si="15"/>
        <v>89199.622970904966</v>
      </c>
      <c r="E51" s="5">
        <f t="shared" si="1"/>
        <v>79699.622970904966</v>
      </c>
      <c r="F51" s="5">
        <f t="shared" si="2"/>
        <v>30843.639197090968</v>
      </c>
      <c r="G51" s="5">
        <f t="shared" si="3"/>
        <v>58355.983773813998</v>
      </c>
      <c r="H51" s="22">
        <f t="shared" si="16"/>
        <v>40936.328740093566</v>
      </c>
      <c r="I51" s="5">
        <f t="shared" si="17"/>
        <v>97572.986706823634</v>
      </c>
      <c r="J51" s="26">
        <f t="shared" si="5"/>
        <v>0.23628758824118604</v>
      </c>
      <c r="L51" s="22">
        <f t="shared" si="18"/>
        <v>154912.05260033312</v>
      </c>
      <c r="M51" s="5">
        <f>scrimecost*Meta!O48</f>
        <v>429.32400000000001</v>
      </c>
      <c r="N51" s="5">
        <f>L51-Grade14!L51</f>
        <v>4184.3316579380189</v>
      </c>
      <c r="O51" s="5">
        <f>Grade14!M51-M51</f>
        <v>7.2959999999999923</v>
      </c>
      <c r="P51" s="22">
        <f t="shared" si="12"/>
        <v>302.10456708897152</v>
      </c>
      <c r="Q51" s="22"/>
      <c r="R51" s="22"/>
      <c r="S51" s="22">
        <f t="shared" si="19"/>
        <v>2983.2424910210148</v>
      </c>
      <c r="T51" s="22">
        <f t="shared" si="20"/>
        <v>1444.2173398570333</v>
      </c>
    </row>
    <row r="52" spans="1:20" x14ac:dyDescent="0.2">
      <c r="A52" s="5">
        <v>61</v>
      </c>
      <c r="B52" s="1">
        <f t="shared" si="13"/>
        <v>2.6850638383899672</v>
      </c>
      <c r="C52" s="5">
        <f t="shared" si="14"/>
        <v>94736.986999141533</v>
      </c>
      <c r="D52" s="5">
        <f t="shared" si="15"/>
        <v>91413.233545177587</v>
      </c>
      <c r="E52" s="5">
        <f t="shared" si="1"/>
        <v>81913.233545177587</v>
      </c>
      <c r="F52" s="5">
        <f t="shared" si="2"/>
        <v>31787.744107018239</v>
      </c>
      <c r="G52" s="5">
        <f t="shared" si="3"/>
        <v>59625.489438159348</v>
      </c>
      <c r="H52" s="22">
        <f t="shared" si="16"/>
        <v>41959.736958595902</v>
      </c>
      <c r="I52" s="5">
        <f t="shared" si="17"/>
        <v>99822.917444494218</v>
      </c>
      <c r="J52" s="26">
        <f t="shared" si="5"/>
        <v>0.23773383513884211</v>
      </c>
      <c r="L52" s="22">
        <f t="shared" si="18"/>
        <v>158784.85391534143</v>
      </c>
      <c r="M52" s="5">
        <f>scrimecost*Meta!O49</f>
        <v>429.32400000000001</v>
      </c>
      <c r="N52" s="5">
        <f>L52-Grade14!L52</f>
        <v>4288.9399493864621</v>
      </c>
      <c r="O52" s="5">
        <f>Grade14!M52-M52</f>
        <v>7.2959999999999923</v>
      </c>
      <c r="P52" s="22">
        <f t="shared" si="12"/>
        <v>310.11772598278463</v>
      </c>
      <c r="Q52" s="22"/>
      <c r="R52" s="22"/>
      <c r="S52" s="22">
        <f t="shared" si="19"/>
        <v>3058.0391154518916</v>
      </c>
      <c r="T52" s="22">
        <f t="shared" si="20"/>
        <v>1453.8199863180996</v>
      </c>
    </row>
    <row r="53" spans="1:20" x14ac:dyDescent="0.2">
      <c r="A53" s="5">
        <v>62</v>
      </c>
      <c r="B53" s="1">
        <f t="shared" si="13"/>
        <v>2.7521904343497163</v>
      </c>
      <c r="C53" s="5">
        <f t="shared" si="14"/>
        <v>97105.411674120071</v>
      </c>
      <c r="D53" s="5">
        <f t="shared" si="15"/>
        <v>93682.18438380702</v>
      </c>
      <c r="E53" s="5">
        <f t="shared" si="1"/>
        <v>84182.18438380702</v>
      </c>
      <c r="F53" s="5">
        <f t="shared" si="2"/>
        <v>32772.917171207904</v>
      </c>
      <c r="G53" s="5">
        <f t="shared" si="3"/>
        <v>60909.267212599116</v>
      </c>
      <c r="H53" s="22">
        <f t="shared" si="16"/>
        <v>43008.730382560803</v>
      </c>
      <c r="I53" s="5">
        <f t="shared" si="17"/>
        <v>102111.63091909236</v>
      </c>
      <c r="J53" s="26">
        <f t="shared" si="5"/>
        <v>0.23927492480706464</v>
      </c>
      <c r="L53" s="22">
        <f t="shared" si="18"/>
        <v>162754.47526322497</v>
      </c>
      <c r="M53" s="5">
        <f>scrimecost*Meta!O50</f>
        <v>429.32400000000001</v>
      </c>
      <c r="N53" s="5">
        <f>L53-Grade14!L53</f>
        <v>4396.1634481211368</v>
      </c>
      <c r="O53" s="5">
        <f>Grade14!M53-M53</f>
        <v>7.2959999999999923</v>
      </c>
      <c r="P53" s="22">
        <f t="shared" si="12"/>
        <v>318.47945381435017</v>
      </c>
      <c r="Q53" s="22"/>
      <c r="R53" s="22"/>
      <c r="S53" s="22">
        <f t="shared" si="19"/>
        <v>3134.8205414667445</v>
      </c>
      <c r="T53" s="22">
        <f t="shared" si="20"/>
        <v>1463.5375940705808</v>
      </c>
    </row>
    <row r="54" spans="1:20" x14ac:dyDescent="0.2">
      <c r="A54" s="5">
        <v>63</v>
      </c>
      <c r="B54" s="1">
        <f t="shared" si="13"/>
        <v>2.8209951952084591</v>
      </c>
      <c r="C54" s="5">
        <f t="shared" si="14"/>
        <v>99533.046965973059</v>
      </c>
      <c r="D54" s="5">
        <f t="shared" si="15"/>
        <v>96007.858993402187</v>
      </c>
      <c r="E54" s="5">
        <f t="shared" si="1"/>
        <v>86507.858993402187</v>
      </c>
      <c r="F54" s="5">
        <f t="shared" si="2"/>
        <v>33834.587630488095</v>
      </c>
      <c r="G54" s="5">
        <f t="shared" si="3"/>
        <v>62173.271362914093</v>
      </c>
      <c r="H54" s="22">
        <f t="shared" si="16"/>
        <v>44083.948642124815</v>
      </c>
      <c r="I54" s="5">
        <f t="shared" si="17"/>
        <v>104405.69416206967</v>
      </c>
      <c r="J54" s="26">
        <f t="shared" si="5"/>
        <v>0.24115541596663742</v>
      </c>
      <c r="L54" s="22">
        <f t="shared" si="18"/>
        <v>166823.33714480555</v>
      </c>
      <c r="M54" s="5">
        <f>scrimecost*Meta!O51</f>
        <v>429.32400000000001</v>
      </c>
      <c r="N54" s="5">
        <f>L54-Grade14!L54</f>
        <v>4506.0675343241019</v>
      </c>
      <c r="O54" s="5">
        <f>Grade14!M54-M54</f>
        <v>7.2959999999999923</v>
      </c>
      <c r="P54" s="22">
        <f t="shared" si="12"/>
        <v>327.49045883468756</v>
      </c>
      <c r="Q54" s="22"/>
      <c r="R54" s="22"/>
      <c r="S54" s="22">
        <f t="shared" si="19"/>
        <v>3213.8626844764804</v>
      </c>
      <c r="T54" s="22">
        <f t="shared" si="20"/>
        <v>1473.4727750394538</v>
      </c>
    </row>
    <row r="55" spans="1:20" x14ac:dyDescent="0.2">
      <c r="A55" s="5">
        <v>64</v>
      </c>
      <c r="B55" s="1">
        <f t="shared" si="13"/>
        <v>2.8915200750886707</v>
      </c>
      <c r="C55" s="5">
        <f t="shared" si="14"/>
        <v>102021.37314012239</v>
      </c>
      <c r="D55" s="5">
        <f t="shared" si="15"/>
        <v>98391.675468237241</v>
      </c>
      <c r="E55" s="5">
        <f t="shared" si="1"/>
        <v>88891.675468237241</v>
      </c>
      <c r="F55" s="5">
        <f t="shared" si="2"/>
        <v>34922.799851250296</v>
      </c>
      <c r="G55" s="5">
        <f t="shared" si="3"/>
        <v>63468.875616986945</v>
      </c>
      <c r="H55" s="22">
        <f t="shared" si="16"/>
        <v>45186.047358177937</v>
      </c>
      <c r="I55" s="5">
        <f t="shared" si="17"/>
        <v>106757.1089861214</v>
      </c>
      <c r="J55" s="26">
        <f t="shared" si="5"/>
        <v>0.24299004148817177</v>
      </c>
      <c r="L55" s="22">
        <f t="shared" si="18"/>
        <v>170993.92057342574</v>
      </c>
      <c r="M55" s="5">
        <f>scrimecost*Meta!O52</f>
        <v>429.32400000000001</v>
      </c>
      <c r="N55" s="5">
        <f>L55-Grade14!L55</f>
        <v>4618.7192226822954</v>
      </c>
      <c r="O55" s="5">
        <f>Grade14!M55-M55</f>
        <v>7.2959999999999923</v>
      </c>
      <c r="P55" s="22">
        <f t="shared" si="12"/>
        <v>336.72673898053341</v>
      </c>
      <c r="Q55" s="22"/>
      <c r="R55" s="22"/>
      <c r="S55" s="22">
        <f t="shared" si="19"/>
        <v>3294.8808810615601</v>
      </c>
      <c r="T55" s="22">
        <f t="shared" si="20"/>
        <v>1483.4677761366338</v>
      </c>
    </row>
    <row r="56" spans="1:20" x14ac:dyDescent="0.2">
      <c r="A56" s="5">
        <v>65</v>
      </c>
      <c r="B56" s="1">
        <f t="shared" si="13"/>
        <v>2.9638080769658868</v>
      </c>
      <c r="C56" s="5">
        <f t="shared" si="14"/>
        <v>104571.90746862543</v>
      </c>
      <c r="D56" s="5">
        <f t="shared" si="15"/>
        <v>100835.08735494316</v>
      </c>
      <c r="E56" s="5">
        <f t="shared" si="1"/>
        <v>91335.087354943156</v>
      </c>
      <c r="F56" s="5">
        <f t="shared" si="2"/>
        <v>36038.217377531546</v>
      </c>
      <c r="G56" s="5">
        <f t="shared" si="3"/>
        <v>64796.86997741161</v>
      </c>
      <c r="H56" s="22">
        <f t="shared" si="16"/>
        <v>46315.69854213237</v>
      </c>
      <c r="I56" s="5">
        <f t="shared" si="17"/>
        <v>109167.30918077442</v>
      </c>
      <c r="J56" s="26">
        <f t="shared" si="5"/>
        <v>0.24477992004576632</v>
      </c>
      <c r="L56" s="22">
        <f t="shared" si="18"/>
        <v>175268.76858776133</v>
      </c>
      <c r="M56" s="5">
        <f>scrimecost*Meta!O53</f>
        <v>135.57599999999999</v>
      </c>
      <c r="N56" s="5">
        <f>L56-Grade14!L56</f>
        <v>4734.1872032492829</v>
      </c>
      <c r="O56" s="5">
        <f>Grade14!M56-M56</f>
        <v>2.304000000000002</v>
      </c>
      <c r="P56" s="22">
        <f t="shared" si="12"/>
        <v>346.19392613002526</v>
      </c>
      <c r="Q56" s="22"/>
      <c r="R56" s="22"/>
      <c r="S56" s="22">
        <f t="shared" si="19"/>
        <v>3374.0557325611617</v>
      </c>
      <c r="T56" s="22">
        <f t="shared" si="20"/>
        <v>1491.812530462561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135.57599999999999</v>
      </c>
      <c r="N57" s="5">
        <f>L57-Grade14!L57</f>
        <v>0</v>
      </c>
      <c r="O57" s="5">
        <f>Grade14!M57-M57</f>
        <v>2.304000000000002</v>
      </c>
      <c r="Q57" s="22"/>
      <c r="R57" s="22"/>
      <c r="S57" s="22">
        <f t="shared" si="19"/>
        <v>1.7856000000000016</v>
      </c>
      <c r="T57" s="22">
        <f t="shared" si="20"/>
        <v>0.77529998565637237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135.57599999999999</v>
      </c>
      <c r="N58" s="5">
        <f>L58-Grade14!L58</f>
        <v>0</v>
      </c>
      <c r="O58" s="5">
        <f>Grade14!M58-M58</f>
        <v>2.304000000000002</v>
      </c>
      <c r="Q58" s="22"/>
      <c r="R58" s="22"/>
      <c r="S58" s="22">
        <f t="shared" si="19"/>
        <v>1.7856000000000016</v>
      </c>
      <c r="T58" s="22">
        <f t="shared" si="20"/>
        <v>0.76136581960486083</v>
      </c>
    </row>
    <row r="59" spans="1:20" x14ac:dyDescent="0.2">
      <c r="A59" s="5">
        <v>68</v>
      </c>
      <c r="H59" s="21"/>
      <c r="I59" s="5"/>
      <c r="M59" s="5">
        <f>scrimecost*Meta!O56</f>
        <v>135.57599999999999</v>
      </c>
      <c r="N59" s="5">
        <f>L59-Grade14!L59</f>
        <v>0</v>
      </c>
      <c r="O59" s="5">
        <f>Grade14!M59-M59</f>
        <v>2.304000000000002</v>
      </c>
      <c r="Q59" s="22"/>
      <c r="R59" s="22"/>
      <c r="S59" s="22">
        <f t="shared" si="19"/>
        <v>1.7856000000000016</v>
      </c>
      <c r="T59" s="22">
        <f t="shared" si="20"/>
        <v>0.74768208691739302</v>
      </c>
    </row>
    <row r="60" spans="1:20" x14ac:dyDescent="0.2">
      <c r="A60" s="5">
        <v>69</v>
      </c>
      <c r="H60" s="21"/>
      <c r="I60" s="5"/>
      <c r="M60" s="5">
        <f>scrimecost*Meta!O57</f>
        <v>135.57599999999999</v>
      </c>
      <c r="N60" s="5">
        <f>L60-Grade14!L60</f>
        <v>0</v>
      </c>
      <c r="O60" s="5">
        <f>Grade14!M60-M60</f>
        <v>2.304000000000002</v>
      </c>
      <c r="Q60" s="22"/>
      <c r="R60" s="22"/>
      <c r="S60" s="22">
        <f t="shared" si="19"/>
        <v>1.7856000000000016</v>
      </c>
      <c r="T60" s="22">
        <f t="shared" si="20"/>
        <v>0.73424428665221275</v>
      </c>
    </row>
    <row r="61" spans="1:20" x14ac:dyDescent="0.2">
      <c r="A61" s="5">
        <v>70</v>
      </c>
      <c r="H61" s="21"/>
      <c r="I61" s="5"/>
      <c r="M61" s="5">
        <f>scrimecost*Meta!O58</f>
        <v>135.57599999999999</v>
      </c>
      <c r="N61" s="5">
        <f>L61-Grade14!L61</f>
        <v>0</v>
      </c>
      <c r="O61" s="5">
        <f>Grade14!M61-M61</f>
        <v>2.304000000000002</v>
      </c>
      <c r="Q61" s="22"/>
      <c r="R61" s="22"/>
      <c r="S61" s="22">
        <f t="shared" si="19"/>
        <v>1.7856000000000016</v>
      </c>
      <c r="T61" s="22">
        <f t="shared" si="20"/>
        <v>0.7210479987612437</v>
      </c>
    </row>
    <row r="62" spans="1:20" x14ac:dyDescent="0.2">
      <c r="A62" s="5">
        <v>71</v>
      </c>
      <c r="H62" s="21"/>
      <c r="I62" s="5"/>
      <c r="M62" s="5">
        <f>scrimecost*Meta!O59</f>
        <v>135.57599999999999</v>
      </c>
      <c r="N62" s="5">
        <f>L62-Grade14!L62</f>
        <v>0</v>
      </c>
      <c r="O62" s="5">
        <f>Grade14!M62-M62</f>
        <v>2.304000000000002</v>
      </c>
      <c r="Q62" s="22"/>
      <c r="R62" s="22"/>
      <c r="S62" s="22">
        <f t="shared" si="19"/>
        <v>1.7856000000000016</v>
      </c>
      <c r="T62" s="22">
        <f t="shared" si="20"/>
        <v>0.70808888263622138</v>
      </c>
    </row>
    <row r="63" spans="1:20" x14ac:dyDescent="0.2">
      <c r="A63" s="5">
        <v>72</v>
      </c>
      <c r="H63" s="21"/>
      <c r="M63" s="5">
        <f>scrimecost*Meta!O60</f>
        <v>135.57599999999999</v>
      </c>
      <c r="N63" s="5">
        <f>L63-Grade14!L63</f>
        <v>0</v>
      </c>
      <c r="O63" s="5">
        <f>Grade14!M63-M63</f>
        <v>2.304000000000002</v>
      </c>
      <c r="Q63" s="22"/>
      <c r="R63" s="22"/>
      <c r="S63" s="22">
        <f t="shared" si="19"/>
        <v>1.7856000000000016</v>
      </c>
      <c r="T63" s="22">
        <f t="shared" si="20"/>
        <v>0.69536267568094923</v>
      </c>
    </row>
    <row r="64" spans="1:20" x14ac:dyDescent="0.2">
      <c r="A64" s="5">
        <v>73</v>
      </c>
      <c r="H64" s="21"/>
      <c r="M64" s="5">
        <f>scrimecost*Meta!O61</f>
        <v>135.57599999999999</v>
      </c>
      <c r="N64" s="5">
        <f>L64-Grade14!L64</f>
        <v>0</v>
      </c>
      <c r="O64" s="5">
        <f>Grade14!M64-M64</f>
        <v>2.304000000000002</v>
      </c>
      <c r="Q64" s="22"/>
      <c r="R64" s="22"/>
      <c r="S64" s="22">
        <f t="shared" si="19"/>
        <v>1.7856000000000016</v>
      </c>
      <c r="T64" s="22">
        <f t="shared" si="20"/>
        <v>0.68286519190922101</v>
      </c>
    </row>
    <row r="65" spans="1:20" x14ac:dyDescent="0.2">
      <c r="A65" s="5">
        <v>74</v>
      </c>
      <c r="H65" s="21"/>
      <c r="M65" s="5">
        <f>scrimecost*Meta!O62</f>
        <v>135.57599999999999</v>
      </c>
      <c r="N65" s="5">
        <f>L65-Grade14!L65</f>
        <v>0</v>
      </c>
      <c r="O65" s="5">
        <f>Grade14!M65-M65</f>
        <v>2.304000000000002</v>
      </c>
      <c r="Q65" s="22"/>
      <c r="R65" s="22"/>
      <c r="S65" s="22">
        <f t="shared" si="19"/>
        <v>1.7856000000000016</v>
      </c>
      <c r="T65" s="22">
        <f t="shared" si="20"/>
        <v>0.6705923205679365</v>
      </c>
    </row>
    <row r="66" spans="1:20" x14ac:dyDescent="0.2">
      <c r="A66" s="5">
        <v>75</v>
      </c>
      <c r="H66" s="21"/>
      <c r="M66" s="5">
        <f>scrimecost*Meta!O63</f>
        <v>135.57599999999999</v>
      </c>
      <c r="N66" s="5">
        <f>L66-Grade14!L66</f>
        <v>0</v>
      </c>
      <c r="O66" s="5">
        <f>Grade14!M66-M66</f>
        <v>2.304000000000002</v>
      </c>
      <c r="Q66" s="22"/>
      <c r="R66" s="22"/>
      <c r="S66" s="22">
        <f t="shared" si="19"/>
        <v>1.7856000000000016</v>
      </c>
      <c r="T66" s="22">
        <f t="shared" si="20"/>
        <v>0.65854002478496776</v>
      </c>
    </row>
    <row r="67" spans="1:20" x14ac:dyDescent="0.2">
      <c r="A67" s="5">
        <v>76</v>
      </c>
      <c r="H67" s="21"/>
      <c r="M67" s="5">
        <f>scrimecost*Meta!O64</f>
        <v>135.57599999999999</v>
      </c>
      <c r="N67" s="5">
        <f>L67-Grade14!L67</f>
        <v>0</v>
      </c>
      <c r="O67" s="5">
        <f>Grade14!M67-M67</f>
        <v>2.304000000000002</v>
      </c>
      <c r="Q67" s="22"/>
      <c r="R67" s="22"/>
      <c r="S67" s="22">
        <f t="shared" si="19"/>
        <v>1.7856000000000016</v>
      </c>
      <c r="T67" s="22">
        <f t="shared" si="20"/>
        <v>0.64670434024132406</v>
      </c>
    </row>
    <row r="68" spans="1:20" x14ac:dyDescent="0.2">
      <c r="A68" s="5">
        <v>77</v>
      </c>
      <c r="H68" s="21"/>
      <c r="M68" s="5">
        <f>scrimecost*Meta!O65</f>
        <v>135.57599999999999</v>
      </c>
      <c r="N68" s="5">
        <f>L68-Grade14!L68</f>
        <v>0</v>
      </c>
      <c r="O68" s="5">
        <f>Grade14!M68-M68</f>
        <v>2.304000000000002</v>
      </c>
      <c r="Q68" s="22"/>
      <c r="R68" s="22"/>
      <c r="S68" s="22">
        <f t="shared" si="19"/>
        <v>1.7856000000000016</v>
      </c>
      <c r="T68" s="22">
        <f t="shared" si="20"/>
        <v>0.63508137386718333</v>
      </c>
    </row>
    <row r="69" spans="1:20" x14ac:dyDescent="0.2">
      <c r="A69" s="5">
        <v>78</v>
      </c>
      <c r="H69" s="21"/>
      <c r="M69" s="5">
        <f>scrimecost*Meta!O66</f>
        <v>135.57599999999999</v>
      </c>
      <c r="N69" s="5">
        <f>L69-Grade14!L69</f>
        <v>0</v>
      </c>
      <c r="O69" s="5">
        <f>Grade14!M69-M69</f>
        <v>2.304000000000002</v>
      </c>
      <c r="Q69" s="22"/>
      <c r="R69" s="22"/>
      <c r="S69" s="22">
        <f t="shared" si="19"/>
        <v>1.7856000000000016</v>
      </c>
      <c r="T69" s="22">
        <f t="shared" si="20"/>
        <v>0.62366730256135772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1.5791778995577488E-10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12" sqref="S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Meta!A10+6</f>
        <v>22</v>
      </c>
      <c r="C2" s="7">
        <f>Meta!B10</f>
        <v>80508</v>
      </c>
      <c r="D2" s="7">
        <f>Meta!C10</f>
        <v>34618</v>
      </c>
      <c r="E2" s="1">
        <f>Meta!D10</f>
        <v>3.4000000000000002E-2</v>
      </c>
      <c r="F2" s="1">
        <f>Meta!F10</f>
        <v>0.85299999999999998</v>
      </c>
      <c r="G2" s="1">
        <f>Meta!I10</f>
        <v>1.7852800699689915</v>
      </c>
      <c r="H2" s="1">
        <f>Meta!E10</f>
        <v>0.77500000000000002</v>
      </c>
      <c r="I2" s="13"/>
      <c r="J2" s="1">
        <f>Meta!X9</f>
        <v>0.84599999999999997</v>
      </c>
      <c r="K2" s="1">
        <f>Meta!D9</f>
        <v>4.2000000000000003E-2</v>
      </c>
      <c r="L2" s="29"/>
      <c r="N2" s="22">
        <f>Meta!T10</f>
        <v>80508</v>
      </c>
      <c r="O2" s="22">
        <f>Meta!U10</f>
        <v>34618</v>
      </c>
      <c r="P2" s="1">
        <f>Meta!V10</f>
        <v>3.4000000000000002E-2</v>
      </c>
      <c r="Q2" s="1">
        <f>Meta!X10</f>
        <v>0.85299999999999998</v>
      </c>
      <c r="R2" s="22">
        <f>Meta!W10</f>
        <v>1852</v>
      </c>
      <c r="T2" s="12">
        <f>IRR(S5:S69)+1</f>
        <v>1.0178592025257125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B12" s="1">
        <v>1</v>
      </c>
      <c r="C12" s="5">
        <f>0.1*Grade15!C12</f>
        <v>3528.2955155341206</v>
      </c>
      <c r="D12" s="5">
        <f t="shared" ref="D12:D36" si="0">IF(A12&lt;startage,1,0)*(C12*(1-initialunempprob))+IF(A12=startage,1,0)*(C12*(1-unempprob))+IF(A12&gt;startage,1,0)*(C12*(1-unempprob)+unempprob*300*52)</f>
        <v>3380.1071038816872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258.57819344694906</v>
      </c>
      <c r="G12" s="5">
        <f t="shared" ref="G12:G56" si="3">D12-F12</f>
        <v>3121.528910434738</v>
      </c>
      <c r="H12" s="22">
        <f>0.1*Grade15!H12</f>
        <v>1562.7091005685745</v>
      </c>
      <c r="I12" s="5">
        <f t="shared" ref="I12:I36" si="4">G12+IF(A12&lt;startage,1,0)*(H12*(1-initialunempprob))+IF(A12&gt;=startage,1,0)*(H12*(1-unempprob))</f>
        <v>4618.6042287794326</v>
      </c>
      <c r="J12" s="26">
        <f t="shared" ref="J12:J56" si="5">(F12-(IF(A12&gt;startage,1,0)*(unempprob*300*52)))/(IF(A12&lt;startage,1,0)*((C12+H12)*(1-initialunempprob))+IF(A12&gt;=startage,1,0)*((C12+H12)*(1-unempprob)))</f>
        <v>5.3017945826375486E-2</v>
      </c>
      <c r="L12" s="22">
        <f>0.1*Grade15!L12</f>
        <v>5913.6342177455599</v>
      </c>
      <c r="M12" s="5">
        <f>scrimecost*Meta!O9</f>
        <v>5576.3720000000003</v>
      </c>
      <c r="N12" s="5">
        <f>L12-Grade15!L12</f>
        <v>-53222.707959710038</v>
      </c>
      <c r="O12" s="5"/>
      <c r="P12" s="22"/>
      <c r="Q12" s="22">
        <f>0.05*feel*Grade15!G12</f>
        <v>357.91029882500436</v>
      </c>
      <c r="R12" s="22">
        <f>coltuition</f>
        <v>8279</v>
      </c>
      <c r="S12" s="22">
        <f t="shared" ref="S12:S43" si="6">IF(A12&lt;startage,1,0)*(N12-Q12-R12)+IF(A12&gt;=startage,1,0)*completionprob*(N12*spart+O12+P12)</f>
        <v>-61859.61825853504</v>
      </c>
      <c r="T12" s="22">
        <f t="shared" ref="T12:T43" si="7">S12/sreturn^(A12-startage+1)</f>
        <v>-61859.61825853504</v>
      </c>
    </row>
    <row r="13" spans="1:20" x14ac:dyDescent="0.2">
      <c r="A13" s="5">
        <v>22</v>
      </c>
      <c r="B13" s="1">
        <f t="shared" ref="B13:B36" si="8">(1+experiencepremium)^(A13-startage)</f>
        <v>1</v>
      </c>
      <c r="C13" s="5">
        <f t="shared" ref="C13:C36" si="9">pretaxincome*B13/expnorm</f>
        <v>45095.445445373924</v>
      </c>
      <c r="D13" s="5">
        <f t="shared" si="0"/>
        <v>43562.200300231212</v>
      </c>
      <c r="E13" s="5">
        <f t="shared" si="1"/>
        <v>34062.200300231212</v>
      </c>
      <c r="F13" s="5">
        <f t="shared" si="2"/>
        <v>11423.058398025491</v>
      </c>
      <c r="G13" s="5">
        <f t="shared" si="3"/>
        <v>32139.141902205723</v>
      </c>
      <c r="H13" s="22">
        <f t="shared" ref="H13:H36" si="10">benefits*B13/expnorm</f>
        <v>19390.795081581389</v>
      </c>
      <c r="I13" s="5">
        <f t="shared" si="4"/>
        <v>50870.649951013344</v>
      </c>
      <c r="J13" s="26">
        <f t="shared" si="5"/>
        <v>0.18337419140342034</v>
      </c>
      <c r="L13" s="22">
        <f t="shared" ref="L13:L36" si="11">(sincome+sbenefits)*(1-sunemp)*B13/expnorm</f>
        <v>62293.708349038832</v>
      </c>
      <c r="M13" s="5">
        <f>scrimecost*Meta!O10</f>
        <v>5085.5919999999996</v>
      </c>
      <c r="N13" s="5">
        <f>L13-Grade15!L13</f>
        <v>1678.9576171468507</v>
      </c>
      <c r="O13" s="5">
        <f>Grade15!M13-M13</f>
        <v>85.126000000000204</v>
      </c>
      <c r="P13" s="22">
        <f t="shared" ref="P13:P56" si="12">(spart-initialspart)*(L13*J13+nptrans)</f>
        <v>125.83940878617854</v>
      </c>
      <c r="Q13" s="22"/>
      <c r="R13" s="22"/>
      <c r="S13" s="22">
        <f t="shared" si="6"/>
        <v>1273.4150985646429</v>
      </c>
      <c r="T13" s="22">
        <f t="shared" si="7"/>
        <v>1251.0719512136795</v>
      </c>
    </row>
    <row r="14" spans="1:20" x14ac:dyDescent="0.2">
      <c r="A14" s="5">
        <v>23</v>
      </c>
      <c r="B14" s="1">
        <f t="shared" si="8"/>
        <v>1.0249999999999999</v>
      </c>
      <c r="C14" s="5">
        <f t="shared" si="9"/>
        <v>46222.831581508275</v>
      </c>
      <c r="D14" s="5">
        <f t="shared" si="0"/>
        <v>45181.655307736997</v>
      </c>
      <c r="E14" s="5">
        <f t="shared" si="1"/>
        <v>35681.655307736997</v>
      </c>
      <c r="F14" s="5">
        <f t="shared" si="2"/>
        <v>12069.975988749829</v>
      </c>
      <c r="G14" s="5">
        <f t="shared" si="3"/>
        <v>33111.679318987168</v>
      </c>
      <c r="H14" s="22">
        <f t="shared" si="10"/>
        <v>19875.564958620922</v>
      </c>
      <c r="I14" s="5">
        <f t="shared" si="4"/>
        <v>52311.475069014981</v>
      </c>
      <c r="J14" s="26">
        <f t="shared" si="5"/>
        <v>0.18072648449138606</v>
      </c>
      <c r="L14" s="22">
        <f t="shared" si="11"/>
        <v>63851.051057764802</v>
      </c>
      <c r="M14" s="5">
        <f>scrimecost*Meta!O11</f>
        <v>4741.12</v>
      </c>
      <c r="N14" s="5">
        <f>L14-Grade15!L14</f>
        <v>1720.9315575755245</v>
      </c>
      <c r="O14" s="5">
        <f>Grade15!M14-M14</f>
        <v>79.360000000000582</v>
      </c>
      <c r="P14" s="22">
        <f t="shared" si="12"/>
        <v>126.65503192124891</v>
      </c>
      <c r="Q14" s="22"/>
      <c r="R14" s="22"/>
      <c r="S14" s="22">
        <f t="shared" si="6"/>
        <v>1297.3264791632082</v>
      </c>
      <c r="T14" s="22">
        <f t="shared" si="7"/>
        <v>1252.200484318244</v>
      </c>
    </row>
    <row r="15" spans="1:20" x14ac:dyDescent="0.2">
      <c r="A15" s="5">
        <v>24</v>
      </c>
      <c r="B15" s="1">
        <f t="shared" si="8"/>
        <v>1.0506249999999999</v>
      </c>
      <c r="C15" s="5">
        <f t="shared" si="9"/>
        <v>47378.402371045981</v>
      </c>
      <c r="D15" s="5">
        <f t="shared" si="0"/>
        <v>46297.936690430419</v>
      </c>
      <c r="E15" s="5">
        <f t="shared" si="1"/>
        <v>36797.936690430419</v>
      </c>
      <c r="F15" s="5">
        <f t="shared" si="2"/>
        <v>12546.069998468573</v>
      </c>
      <c r="G15" s="5">
        <f t="shared" si="3"/>
        <v>33751.866691961848</v>
      </c>
      <c r="H15" s="22">
        <f t="shared" si="10"/>
        <v>20372.454082586446</v>
      </c>
      <c r="I15" s="5">
        <f t="shared" si="4"/>
        <v>53431.657335740354</v>
      </c>
      <c r="J15" s="26">
        <f t="shared" si="5"/>
        <v>0.183592982141351</v>
      </c>
      <c r="L15" s="22">
        <f t="shared" si="11"/>
        <v>65447.327334208923</v>
      </c>
      <c r="M15" s="5">
        <f>scrimecost*Meta!O12</f>
        <v>4522.5840000000007</v>
      </c>
      <c r="N15" s="5">
        <f>L15-Grade15!L15</f>
        <v>1763.9548465149128</v>
      </c>
      <c r="O15" s="5">
        <f>Grade15!M15-M15</f>
        <v>75.701999999999316</v>
      </c>
      <c r="P15" s="22">
        <f t="shared" si="12"/>
        <v>129.98768998928011</v>
      </c>
      <c r="Q15" s="22"/>
      <c r="R15" s="22"/>
      <c r="S15" s="22">
        <f t="shared" si="6"/>
        <v>1325.5159599015376</v>
      </c>
      <c r="T15" s="22">
        <f t="shared" si="7"/>
        <v>1256.9611037892246</v>
      </c>
    </row>
    <row r="16" spans="1:20" x14ac:dyDescent="0.2">
      <c r="A16" s="5">
        <v>25</v>
      </c>
      <c r="B16" s="1">
        <f t="shared" si="8"/>
        <v>1.0768906249999999</v>
      </c>
      <c r="C16" s="5">
        <f t="shared" si="9"/>
        <v>48562.86243032213</v>
      </c>
      <c r="D16" s="5">
        <f t="shared" si="0"/>
        <v>47442.125107691179</v>
      </c>
      <c r="E16" s="5">
        <f t="shared" si="1"/>
        <v>37942.125107691179</v>
      </c>
      <c r="F16" s="5">
        <f t="shared" si="2"/>
        <v>13034.066358430289</v>
      </c>
      <c r="G16" s="5">
        <f t="shared" si="3"/>
        <v>34408.05874926089</v>
      </c>
      <c r="H16" s="22">
        <f t="shared" si="10"/>
        <v>20881.765434651108</v>
      </c>
      <c r="I16" s="5">
        <f t="shared" si="4"/>
        <v>54579.844159133863</v>
      </c>
      <c r="J16" s="26">
        <f t="shared" si="5"/>
        <v>0.18638956521448763</v>
      </c>
      <c r="L16" s="22">
        <f t="shared" si="11"/>
        <v>67083.510517564137</v>
      </c>
      <c r="M16" s="5">
        <f>scrimecost*Meta!O13</f>
        <v>3765.116</v>
      </c>
      <c r="N16" s="5">
        <f>L16-Grade15!L16</f>
        <v>1808.0537176777871</v>
      </c>
      <c r="O16" s="5">
        <f>Grade15!M16-M16</f>
        <v>63.022999999999683</v>
      </c>
      <c r="P16" s="22">
        <f t="shared" si="12"/>
        <v>133.40366450901215</v>
      </c>
      <c r="Q16" s="22"/>
      <c r="R16" s="22"/>
      <c r="S16" s="22">
        <f t="shared" si="6"/>
        <v>1347.4897764083273</v>
      </c>
      <c r="T16" s="22">
        <f t="shared" si="7"/>
        <v>1255.378391317666</v>
      </c>
    </row>
    <row r="17" spans="1:20" x14ac:dyDescent="0.2">
      <c r="A17" s="5">
        <v>26</v>
      </c>
      <c r="B17" s="1">
        <f t="shared" si="8"/>
        <v>1.1038128906249998</v>
      </c>
      <c r="C17" s="5">
        <f t="shared" si="9"/>
        <v>49776.933991080172</v>
      </c>
      <c r="D17" s="5">
        <f t="shared" si="0"/>
        <v>48614.918235383448</v>
      </c>
      <c r="E17" s="5">
        <f t="shared" si="1"/>
        <v>39114.918235383448</v>
      </c>
      <c r="F17" s="5">
        <f t="shared" si="2"/>
        <v>13534.262627391041</v>
      </c>
      <c r="G17" s="5">
        <f t="shared" si="3"/>
        <v>35080.655607992405</v>
      </c>
      <c r="H17" s="22">
        <f t="shared" si="10"/>
        <v>21403.809570517384</v>
      </c>
      <c r="I17" s="5">
        <f t="shared" si="4"/>
        <v>55756.735653112199</v>
      </c>
      <c r="J17" s="26">
        <f t="shared" si="5"/>
        <v>0.18911793894437692</v>
      </c>
      <c r="L17" s="22">
        <f t="shared" si="11"/>
        <v>68760.59828050324</v>
      </c>
      <c r="M17" s="5">
        <f>scrimecost*Meta!O14</f>
        <v>3765.116</v>
      </c>
      <c r="N17" s="5">
        <f>L17-Grade15!L17</f>
        <v>1853.2550606197328</v>
      </c>
      <c r="O17" s="5">
        <f>Grade15!M17-M17</f>
        <v>63.022999999999683</v>
      </c>
      <c r="P17" s="22">
        <f t="shared" si="12"/>
        <v>136.90503839173741</v>
      </c>
      <c r="Q17" s="22"/>
      <c r="R17" s="22"/>
      <c r="S17" s="22">
        <f t="shared" si="6"/>
        <v>1380.0848189527862</v>
      </c>
      <c r="T17" s="22">
        <f t="shared" si="7"/>
        <v>1263.1858183522156</v>
      </c>
    </row>
    <row r="18" spans="1:20" x14ac:dyDescent="0.2">
      <c r="A18" s="5">
        <v>27</v>
      </c>
      <c r="B18" s="1">
        <f t="shared" si="8"/>
        <v>1.1314082128906247</v>
      </c>
      <c r="C18" s="5">
        <f t="shared" si="9"/>
        <v>51021.357340857176</v>
      </c>
      <c r="D18" s="5">
        <f t="shared" si="0"/>
        <v>49817.031191268034</v>
      </c>
      <c r="E18" s="5">
        <f t="shared" si="1"/>
        <v>40317.031191268034</v>
      </c>
      <c r="F18" s="5">
        <f t="shared" si="2"/>
        <v>14046.963803075816</v>
      </c>
      <c r="G18" s="5">
        <f t="shared" si="3"/>
        <v>35770.067388192219</v>
      </c>
      <c r="H18" s="22">
        <f t="shared" si="10"/>
        <v>21938.904809780313</v>
      </c>
      <c r="I18" s="5">
        <f t="shared" si="4"/>
        <v>56963.049434440007</v>
      </c>
      <c r="J18" s="26">
        <f t="shared" si="5"/>
        <v>0.1917797669735373</v>
      </c>
      <c r="L18" s="22">
        <f t="shared" si="11"/>
        <v>70479.613237515819</v>
      </c>
      <c r="M18" s="5">
        <f>scrimecost*Meta!O15</f>
        <v>3765.116</v>
      </c>
      <c r="N18" s="5">
        <f>L18-Grade15!L18</f>
        <v>1899.5864371352363</v>
      </c>
      <c r="O18" s="5">
        <f>Grade15!M18-M18</f>
        <v>63.022999999999683</v>
      </c>
      <c r="P18" s="22">
        <f t="shared" si="12"/>
        <v>140.49394662153085</v>
      </c>
      <c r="Q18" s="22"/>
      <c r="R18" s="22"/>
      <c r="S18" s="22">
        <f t="shared" si="6"/>
        <v>1413.4947375608626</v>
      </c>
      <c r="T18" s="22">
        <f t="shared" si="7"/>
        <v>1271.0655588082304</v>
      </c>
    </row>
    <row r="19" spans="1:20" x14ac:dyDescent="0.2">
      <c r="A19" s="5">
        <v>28</v>
      </c>
      <c r="B19" s="1">
        <f t="shared" si="8"/>
        <v>1.1596934182128902</v>
      </c>
      <c r="C19" s="5">
        <f t="shared" si="9"/>
        <v>52296.891274378599</v>
      </c>
      <c r="D19" s="5">
        <f t="shared" si="0"/>
        <v>51049.196971049729</v>
      </c>
      <c r="E19" s="5">
        <f t="shared" si="1"/>
        <v>41549.196971049729</v>
      </c>
      <c r="F19" s="5">
        <f t="shared" si="2"/>
        <v>14572.482508152709</v>
      </c>
      <c r="G19" s="5">
        <f t="shared" si="3"/>
        <v>36476.71446289702</v>
      </c>
      <c r="H19" s="22">
        <f t="shared" si="10"/>
        <v>22487.377430024819</v>
      </c>
      <c r="I19" s="5">
        <f t="shared" si="4"/>
        <v>58199.521060300991</v>
      </c>
      <c r="J19" s="26">
        <f t="shared" si="5"/>
        <v>0.19437667236784004</v>
      </c>
      <c r="L19" s="22">
        <f t="shared" si="11"/>
        <v>72241.603568453706</v>
      </c>
      <c r="M19" s="5">
        <f>scrimecost*Meta!O16</f>
        <v>3765.116</v>
      </c>
      <c r="N19" s="5">
        <f>L19-Grade15!L19</f>
        <v>1947.0760980635969</v>
      </c>
      <c r="O19" s="5">
        <f>Grade15!M19-M19</f>
        <v>63.022999999999683</v>
      </c>
      <c r="P19" s="22">
        <f t="shared" si="12"/>
        <v>144.17257755706908</v>
      </c>
      <c r="Q19" s="22"/>
      <c r="R19" s="22"/>
      <c r="S19" s="22">
        <f t="shared" si="6"/>
        <v>1447.7399041341207</v>
      </c>
      <c r="T19" s="22">
        <f t="shared" si="7"/>
        <v>1279.0178122402917</v>
      </c>
    </row>
    <row r="20" spans="1:20" x14ac:dyDescent="0.2">
      <c r="A20" s="5">
        <v>29</v>
      </c>
      <c r="B20" s="1">
        <f t="shared" si="8"/>
        <v>1.1886857536682125</v>
      </c>
      <c r="C20" s="5">
        <f t="shared" si="9"/>
        <v>53604.313556238063</v>
      </c>
      <c r="D20" s="5">
        <f t="shared" si="0"/>
        <v>52312.166895325972</v>
      </c>
      <c r="E20" s="5">
        <f t="shared" si="1"/>
        <v>42812.166895325972</v>
      </c>
      <c r="F20" s="5">
        <f t="shared" si="2"/>
        <v>15111.139180856528</v>
      </c>
      <c r="G20" s="5">
        <f t="shared" si="3"/>
        <v>37201.027714469441</v>
      </c>
      <c r="H20" s="22">
        <f t="shared" si="10"/>
        <v>23049.561865775442</v>
      </c>
      <c r="I20" s="5">
        <f t="shared" si="4"/>
        <v>59466.904476808515</v>
      </c>
      <c r="J20" s="26">
        <f t="shared" si="5"/>
        <v>0.19691023860618423</v>
      </c>
      <c r="L20" s="22">
        <f t="shared" si="11"/>
        <v>74047.643657665045</v>
      </c>
      <c r="M20" s="5">
        <f>scrimecost*Meta!O17</f>
        <v>3765.116</v>
      </c>
      <c r="N20" s="5">
        <f>L20-Grade15!L20</f>
        <v>1995.753000515193</v>
      </c>
      <c r="O20" s="5">
        <f>Grade15!M20-M20</f>
        <v>63.022999999999683</v>
      </c>
      <c r="P20" s="22">
        <f t="shared" si="12"/>
        <v>147.94317426599585</v>
      </c>
      <c r="Q20" s="22"/>
      <c r="R20" s="22"/>
      <c r="S20" s="22">
        <f t="shared" si="6"/>
        <v>1482.8411998717277</v>
      </c>
      <c r="T20" s="22">
        <f t="shared" si="7"/>
        <v>1287.0427850029355</v>
      </c>
    </row>
    <row r="21" spans="1:20" x14ac:dyDescent="0.2">
      <c r="A21" s="5">
        <v>30</v>
      </c>
      <c r="B21" s="1">
        <f t="shared" si="8"/>
        <v>1.2184028975099177</v>
      </c>
      <c r="C21" s="5">
        <f t="shared" si="9"/>
        <v>54944.421395144018</v>
      </c>
      <c r="D21" s="5">
        <f t="shared" si="0"/>
        <v>53606.711067709119</v>
      </c>
      <c r="E21" s="5">
        <f t="shared" si="1"/>
        <v>44106.711067709119</v>
      </c>
      <c r="F21" s="5">
        <f t="shared" si="2"/>
        <v>15663.26227037794</v>
      </c>
      <c r="G21" s="5">
        <f t="shared" si="3"/>
        <v>37943.448797331177</v>
      </c>
      <c r="H21" s="22">
        <f t="shared" si="10"/>
        <v>23625.800912419829</v>
      </c>
      <c r="I21" s="5">
        <f t="shared" si="4"/>
        <v>60765.972478728727</v>
      </c>
      <c r="J21" s="26">
        <f t="shared" si="5"/>
        <v>0.19938201054603219</v>
      </c>
      <c r="L21" s="22">
        <f t="shared" si="11"/>
        <v>75898.834749106667</v>
      </c>
      <c r="M21" s="5">
        <f>scrimecost*Meta!O18</f>
        <v>3102.1</v>
      </c>
      <c r="N21" s="5">
        <f>L21-Grade15!L21</f>
        <v>2045.6468255280924</v>
      </c>
      <c r="O21" s="5">
        <f>Grade15!M21-M21</f>
        <v>51.925000000000182</v>
      </c>
      <c r="P21" s="22">
        <f t="shared" si="12"/>
        <v>151.80803589264571</v>
      </c>
      <c r="Q21" s="22"/>
      <c r="R21" s="22"/>
      <c r="S21" s="22">
        <f t="shared" si="6"/>
        <v>1510.2190780027843</v>
      </c>
      <c r="T21" s="22">
        <f t="shared" si="7"/>
        <v>1287.8064174694</v>
      </c>
    </row>
    <row r="22" spans="1:20" x14ac:dyDescent="0.2">
      <c r="A22" s="5">
        <v>31</v>
      </c>
      <c r="B22" s="1">
        <f t="shared" si="8"/>
        <v>1.2488629699476654</v>
      </c>
      <c r="C22" s="5">
        <f t="shared" si="9"/>
        <v>56318.031930022604</v>
      </c>
      <c r="D22" s="5">
        <f t="shared" si="0"/>
        <v>54933.618844401833</v>
      </c>
      <c r="E22" s="5">
        <f t="shared" si="1"/>
        <v>45433.618844401833</v>
      </c>
      <c r="F22" s="5">
        <f t="shared" si="2"/>
        <v>16229.188437137382</v>
      </c>
      <c r="G22" s="5">
        <f t="shared" si="3"/>
        <v>38704.430407264452</v>
      </c>
      <c r="H22" s="22">
        <f t="shared" si="10"/>
        <v>24216.44593523032</v>
      </c>
      <c r="I22" s="5">
        <f t="shared" si="4"/>
        <v>62097.517180696945</v>
      </c>
      <c r="J22" s="26">
        <f t="shared" si="5"/>
        <v>0.20179349536539601</v>
      </c>
      <c r="L22" s="22">
        <f t="shared" si="11"/>
        <v>77796.30561783431</v>
      </c>
      <c r="M22" s="5">
        <f>scrimecost*Meta!O19</f>
        <v>3102.1</v>
      </c>
      <c r="N22" s="5">
        <f>L22-Grade15!L22</f>
        <v>2096.7879961662547</v>
      </c>
      <c r="O22" s="5">
        <f>Grade15!M22-M22</f>
        <v>51.925000000000182</v>
      </c>
      <c r="P22" s="22">
        <f t="shared" si="12"/>
        <v>155.76951905996179</v>
      </c>
      <c r="Q22" s="22"/>
      <c r="R22" s="22"/>
      <c r="S22" s="22">
        <f t="shared" si="6"/>
        <v>1547.0973768370773</v>
      </c>
      <c r="T22" s="22">
        <f t="shared" si="7"/>
        <v>1296.1061609546023</v>
      </c>
    </row>
    <row r="23" spans="1:20" x14ac:dyDescent="0.2">
      <c r="A23" s="5">
        <v>32</v>
      </c>
      <c r="B23" s="1">
        <f t="shared" si="8"/>
        <v>1.2800845441963571</v>
      </c>
      <c r="C23" s="5">
        <f t="shared" si="9"/>
        <v>57725.982728273164</v>
      </c>
      <c r="D23" s="5">
        <f t="shared" si="0"/>
        <v>56293.699315511876</v>
      </c>
      <c r="E23" s="5">
        <f t="shared" si="1"/>
        <v>46793.699315511876</v>
      </c>
      <c r="F23" s="5">
        <f t="shared" si="2"/>
        <v>16809.262758065815</v>
      </c>
      <c r="G23" s="5">
        <f t="shared" si="3"/>
        <v>39484.436557446061</v>
      </c>
      <c r="H23" s="22">
        <f t="shared" si="10"/>
        <v>24821.857083611074</v>
      </c>
      <c r="I23" s="5">
        <f t="shared" si="4"/>
        <v>63462.350500214357</v>
      </c>
      <c r="J23" s="26">
        <f t="shared" si="5"/>
        <v>0.20414616348184858</v>
      </c>
      <c r="L23" s="22">
        <f t="shared" si="11"/>
        <v>79741.213258280186</v>
      </c>
      <c r="M23" s="5">
        <f>scrimecost*Meta!O20</f>
        <v>3102.1</v>
      </c>
      <c r="N23" s="5">
        <f>L23-Grade15!L23</f>
        <v>2149.2076960704435</v>
      </c>
      <c r="O23" s="5">
        <f>Grade15!M23-M23</f>
        <v>51.925000000000182</v>
      </c>
      <c r="P23" s="22">
        <f t="shared" si="12"/>
        <v>159.83003930646086</v>
      </c>
      <c r="Q23" s="22"/>
      <c r="R23" s="22"/>
      <c r="S23" s="22">
        <f t="shared" si="6"/>
        <v>1584.8976331422757</v>
      </c>
      <c r="T23" s="22">
        <f t="shared" si="7"/>
        <v>1304.4770252640142</v>
      </c>
    </row>
    <row r="24" spans="1:20" x14ac:dyDescent="0.2">
      <c r="A24" s="5">
        <v>33</v>
      </c>
      <c r="B24" s="1">
        <f t="shared" si="8"/>
        <v>1.312086657801266</v>
      </c>
      <c r="C24" s="5">
        <f t="shared" si="9"/>
        <v>59169.132296479991</v>
      </c>
      <c r="D24" s="5">
        <f t="shared" si="0"/>
        <v>57687.781798399672</v>
      </c>
      <c r="E24" s="5">
        <f t="shared" si="1"/>
        <v>48187.781798399672</v>
      </c>
      <c r="F24" s="5">
        <f t="shared" si="2"/>
        <v>17403.838937017463</v>
      </c>
      <c r="G24" s="5">
        <f t="shared" si="3"/>
        <v>40283.942861382209</v>
      </c>
      <c r="H24" s="22">
        <f t="shared" si="10"/>
        <v>25442.403510701351</v>
      </c>
      <c r="I24" s="5">
        <f t="shared" si="4"/>
        <v>64861.304652719715</v>
      </c>
      <c r="J24" s="26">
        <f t="shared" si="5"/>
        <v>0.20644144944911938</v>
      </c>
      <c r="L24" s="22">
        <f t="shared" si="11"/>
        <v>81734.743589737176</v>
      </c>
      <c r="M24" s="5">
        <f>scrimecost*Meta!O21</f>
        <v>3102.1</v>
      </c>
      <c r="N24" s="5">
        <f>L24-Grade15!L24</f>
        <v>2202.9378884721955</v>
      </c>
      <c r="O24" s="5">
        <f>Grade15!M24-M24</f>
        <v>51.925000000000182</v>
      </c>
      <c r="P24" s="22">
        <f t="shared" si="12"/>
        <v>163.99207255912236</v>
      </c>
      <c r="Q24" s="22"/>
      <c r="R24" s="22"/>
      <c r="S24" s="22">
        <f t="shared" si="6"/>
        <v>1623.6428958550769</v>
      </c>
      <c r="T24" s="22">
        <f t="shared" si="7"/>
        <v>1312.9192831113451</v>
      </c>
    </row>
    <row r="25" spans="1:20" x14ac:dyDescent="0.2">
      <c r="A25" s="5">
        <v>34</v>
      </c>
      <c r="B25" s="1">
        <f t="shared" si="8"/>
        <v>1.3448888242462975</v>
      </c>
      <c r="C25" s="5">
        <f t="shared" si="9"/>
        <v>60648.36060389199</v>
      </c>
      <c r="D25" s="5">
        <f t="shared" si="0"/>
        <v>59116.716343359665</v>
      </c>
      <c r="E25" s="5">
        <f t="shared" si="1"/>
        <v>49616.716343359665</v>
      </c>
      <c r="F25" s="5">
        <f t="shared" si="2"/>
        <v>18013.279520442899</v>
      </c>
      <c r="G25" s="5">
        <f t="shared" si="3"/>
        <v>41103.436822916767</v>
      </c>
      <c r="H25" s="22">
        <f t="shared" si="10"/>
        <v>26078.463598468883</v>
      </c>
      <c r="I25" s="5">
        <f t="shared" si="4"/>
        <v>66295.232659037705</v>
      </c>
      <c r="J25" s="26">
        <f t="shared" si="5"/>
        <v>0.20868075283182258</v>
      </c>
      <c r="L25" s="22">
        <f t="shared" si="11"/>
        <v>83778.112179480609</v>
      </c>
      <c r="M25" s="5">
        <f>scrimecost*Meta!O22</f>
        <v>3102.1</v>
      </c>
      <c r="N25" s="5">
        <f>L25-Grade15!L25</f>
        <v>2258.0113356840011</v>
      </c>
      <c r="O25" s="5">
        <f>Grade15!M25-M25</f>
        <v>51.925000000000182</v>
      </c>
      <c r="P25" s="22">
        <f t="shared" si="12"/>
        <v>168.25815664310042</v>
      </c>
      <c r="Q25" s="22"/>
      <c r="R25" s="22"/>
      <c r="S25" s="22">
        <f t="shared" si="6"/>
        <v>1663.3567901357042</v>
      </c>
      <c r="T25" s="22">
        <f t="shared" si="7"/>
        <v>1321.4332130930998</v>
      </c>
    </row>
    <row r="26" spans="1:20" x14ac:dyDescent="0.2">
      <c r="A26" s="5">
        <v>35</v>
      </c>
      <c r="B26" s="1">
        <f t="shared" si="8"/>
        <v>1.3785110448524549</v>
      </c>
      <c r="C26" s="5">
        <f t="shared" si="9"/>
        <v>62164.569618989284</v>
      </c>
      <c r="D26" s="5">
        <f t="shared" si="0"/>
        <v>60581.374251943649</v>
      </c>
      <c r="E26" s="5">
        <f t="shared" si="1"/>
        <v>51081.374251943649</v>
      </c>
      <c r="F26" s="5">
        <f t="shared" si="2"/>
        <v>18637.956118453967</v>
      </c>
      <c r="G26" s="5">
        <f t="shared" si="3"/>
        <v>41943.418133489686</v>
      </c>
      <c r="H26" s="22">
        <f t="shared" si="10"/>
        <v>26730.425188430607</v>
      </c>
      <c r="I26" s="5">
        <f t="shared" si="4"/>
        <v>67765.00886551365</v>
      </c>
      <c r="J26" s="26">
        <f t="shared" si="5"/>
        <v>0.21086543905885005</v>
      </c>
      <c r="L26" s="22">
        <f t="shared" si="11"/>
        <v>85872.564983967619</v>
      </c>
      <c r="M26" s="5">
        <f>scrimecost*Meta!O23</f>
        <v>2344.6320000000001</v>
      </c>
      <c r="N26" s="5">
        <f>L26-Grade15!L26</f>
        <v>2314.4616190761153</v>
      </c>
      <c r="O26" s="5">
        <f>Grade15!M26-M26</f>
        <v>39.246000000000095</v>
      </c>
      <c r="P26" s="22">
        <f t="shared" si="12"/>
        <v>172.63089282917792</v>
      </c>
      <c r="Q26" s="22"/>
      <c r="R26" s="22"/>
      <c r="S26" s="22">
        <f t="shared" si="6"/>
        <v>1694.2373067733558</v>
      </c>
      <c r="T26" s="22">
        <f t="shared" si="7"/>
        <v>1322.3497453878567</v>
      </c>
    </row>
    <row r="27" spans="1:20" x14ac:dyDescent="0.2">
      <c r="A27" s="5">
        <v>36</v>
      </c>
      <c r="B27" s="1">
        <f t="shared" si="8"/>
        <v>1.4129738209737661</v>
      </c>
      <c r="C27" s="5">
        <f t="shared" si="9"/>
        <v>63718.683859464014</v>
      </c>
      <c r="D27" s="5">
        <f t="shared" si="0"/>
        <v>62082.648608242234</v>
      </c>
      <c r="E27" s="5">
        <f t="shared" si="1"/>
        <v>52582.648608242234</v>
      </c>
      <c r="F27" s="5">
        <f t="shared" si="2"/>
        <v>19278.249631415314</v>
      </c>
      <c r="G27" s="5">
        <f t="shared" si="3"/>
        <v>42804.398976826924</v>
      </c>
      <c r="H27" s="22">
        <f t="shared" si="10"/>
        <v>27398.68581814137</v>
      </c>
      <c r="I27" s="5">
        <f t="shared" si="4"/>
        <v>69271.529477151489</v>
      </c>
      <c r="J27" s="26">
        <f t="shared" si="5"/>
        <v>0.21299684025595006</v>
      </c>
      <c r="L27" s="22">
        <f t="shared" si="11"/>
        <v>88019.379108566791</v>
      </c>
      <c r="M27" s="5">
        <f>scrimecost*Meta!O24</f>
        <v>2344.6320000000001</v>
      </c>
      <c r="N27" s="5">
        <f>L27-Grade15!L27</f>
        <v>2372.3231595529796</v>
      </c>
      <c r="O27" s="5">
        <f>Grade15!M27-M27</f>
        <v>39.246000000000095</v>
      </c>
      <c r="P27" s="22">
        <f t="shared" si="12"/>
        <v>177.11294741990733</v>
      </c>
      <c r="Q27" s="22"/>
      <c r="R27" s="22"/>
      <c r="S27" s="22">
        <f t="shared" si="6"/>
        <v>1735.961716951914</v>
      </c>
      <c r="T27" s="22">
        <f t="shared" si="7"/>
        <v>1331.1424441396764</v>
      </c>
    </row>
    <row r="28" spans="1:20" x14ac:dyDescent="0.2">
      <c r="A28" s="5">
        <v>37</v>
      </c>
      <c r="B28" s="1">
        <f t="shared" si="8"/>
        <v>1.4482981664981105</v>
      </c>
      <c r="C28" s="5">
        <f t="shared" si="9"/>
        <v>65311.65095595063</v>
      </c>
      <c r="D28" s="5">
        <f t="shared" si="0"/>
        <v>63621.454823448308</v>
      </c>
      <c r="E28" s="5">
        <f t="shared" si="1"/>
        <v>54121.454823448308</v>
      </c>
      <c r="F28" s="5">
        <f t="shared" si="2"/>
        <v>19934.550482200702</v>
      </c>
      <c r="G28" s="5">
        <f t="shared" si="3"/>
        <v>43686.904341247602</v>
      </c>
      <c r="H28" s="22">
        <f t="shared" si="10"/>
        <v>28083.652963594908</v>
      </c>
      <c r="I28" s="5">
        <f t="shared" si="4"/>
        <v>70815.713104080278</v>
      </c>
      <c r="J28" s="26">
        <f t="shared" si="5"/>
        <v>0.2150762560579989</v>
      </c>
      <c r="L28" s="22">
        <f t="shared" si="11"/>
        <v>90219.86358628099</v>
      </c>
      <c r="M28" s="5">
        <f>scrimecost*Meta!O25</f>
        <v>2344.6320000000001</v>
      </c>
      <c r="N28" s="5">
        <f>L28-Grade15!L28</f>
        <v>2431.6312385418423</v>
      </c>
      <c r="O28" s="5">
        <f>Grade15!M28-M28</f>
        <v>39.246000000000095</v>
      </c>
      <c r="P28" s="22">
        <f t="shared" si="12"/>
        <v>181.70705337540508</v>
      </c>
      <c r="Q28" s="22"/>
      <c r="R28" s="22"/>
      <c r="S28" s="22">
        <f t="shared" si="6"/>
        <v>1778.7292373849873</v>
      </c>
      <c r="T28" s="22">
        <f t="shared" si="7"/>
        <v>1340.0053247703092</v>
      </c>
    </row>
    <row r="29" spans="1:20" x14ac:dyDescent="0.2">
      <c r="A29" s="5">
        <v>38</v>
      </c>
      <c r="B29" s="1">
        <f t="shared" si="8"/>
        <v>1.4845056206605631</v>
      </c>
      <c r="C29" s="5">
        <f t="shared" si="9"/>
        <v>66944.442229849388</v>
      </c>
      <c r="D29" s="5">
        <f t="shared" si="0"/>
        <v>65198.73119403451</v>
      </c>
      <c r="E29" s="5">
        <f t="shared" si="1"/>
        <v>55698.73119403451</v>
      </c>
      <c r="F29" s="5">
        <f t="shared" si="2"/>
        <v>20607.258854255721</v>
      </c>
      <c r="G29" s="5">
        <f t="shared" si="3"/>
        <v>44591.472339778789</v>
      </c>
      <c r="H29" s="22">
        <f t="shared" si="10"/>
        <v>28785.744287684778</v>
      </c>
      <c r="I29" s="5">
        <f t="shared" si="4"/>
        <v>72398.501321682284</v>
      </c>
      <c r="J29" s="26">
        <f t="shared" si="5"/>
        <v>0.21710495440146119</v>
      </c>
      <c r="L29" s="22">
        <f t="shared" si="11"/>
        <v>92475.360175937996</v>
      </c>
      <c r="M29" s="5">
        <f>scrimecost*Meta!O26</f>
        <v>2344.6320000000001</v>
      </c>
      <c r="N29" s="5">
        <f>L29-Grade15!L29</f>
        <v>2492.4220195053786</v>
      </c>
      <c r="O29" s="5">
        <f>Grade15!M29-M29</f>
        <v>39.246000000000095</v>
      </c>
      <c r="P29" s="22">
        <f t="shared" si="12"/>
        <v>186.4160119797902</v>
      </c>
      <c r="Q29" s="22"/>
      <c r="R29" s="22"/>
      <c r="S29" s="22">
        <f t="shared" si="6"/>
        <v>1822.5659458288555</v>
      </c>
      <c r="T29" s="22">
        <f t="shared" si="7"/>
        <v>1348.9387305602233</v>
      </c>
    </row>
    <row r="30" spans="1:20" x14ac:dyDescent="0.2">
      <c r="A30" s="5">
        <v>39</v>
      </c>
      <c r="B30" s="1">
        <f t="shared" si="8"/>
        <v>1.521618261177077</v>
      </c>
      <c r="C30" s="5">
        <f t="shared" si="9"/>
        <v>68618.053285595612</v>
      </c>
      <c r="D30" s="5">
        <f t="shared" si="0"/>
        <v>66815.439473885359</v>
      </c>
      <c r="E30" s="5">
        <f t="shared" si="1"/>
        <v>57315.439473885359</v>
      </c>
      <c r="F30" s="5">
        <f t="shared" si="2"/>
        <v>21296.784935612108</v>
      </c>
      <c r="G30" s="5">
        <f t="shared" si="3"/>
        <v>45518.654538273251</v>
      </c>
      <c r="H30" s="22">
        <f t="shared" si="10"/>
        <v>29505.387894876891</v>
      </c>
      <c r="I30" s="5">
        <f t="shared" si="4"/>
        <v>74020.859244724328</v>
      </c>
      <c r="J30" s="26">
        <f t="shared" si="5"/>
        <v>0.21908417229752189</v>
      </c>
      <c r="L30" s="22">
        <f t="shared" si="11"/>
        <v>94787.244180336449</v>
      </c>
      <c r="M30" s="5">
        <f>scrimecost*Meta!O27</f>
        <v>2344.6320000000001</v>
      </c>
      <c r="N30" s="5">
        <f>L30-Grade15!L30</f>
        <v>2554.7325699930079</v>
      </c>
      <c r="O30" s="5">
        <f>Grade15!M30-M30</f>
        <v>39.246000000000095</v>
      </c>
      <c r="P30" s="22">
        <f t="shared" si="12"/>
        <v>191.24269454928495</v>
      </c>
      <c r="Q30" s="22"/>
      <c r="R30" s="22"/>
      <c r="S30" s="22">
        <f t="shared" si="6"/>
        <v>1867.4985719838235</v>
      </c>
      <c r="T30" s="22">
        <f t="shared" si="7"/>
        <v>1357.9430098140115</v>
      </c>
    </row>
    <row r="31" spans="1:20" x14ac:dyDescent="0.2">
      <c r="A31" s="5">
        <v>40</v>
      </c>
      <c r="B31" s="1">
        <f t="shared" si="8"/>
        <v>1.559658717706504</v>
      </c>
      <c r="C31" s="5">
        <f t="shared" si="9"/>
        <v>70333.504617735511</v>
      </c>
      <c r="D31" s="5">
        <f t="shared" si="0"/>
        <v>68472.565460732498</v>
      </c>
      <c r="E31" s="5">
        <f t="shared" si="1"/>
        <v>58972.565460732498</v>
      </c>
      <c r="F31" s="5">
        <f t="shared" si="2"/>
        <v>22003.549169002414</v>
      </c>
      <c r="G31" s="5">
        <f t="shared" si="3"/>
        <v>46469.016291730084</v>
      </c>
      <c r="H31" s="22">
        <f t="shared" si="10"/>
        <v>30243.022592248813</v>
      </c>
      <c r="I31" s="5">
        <f t="shared" si="4"/>
        <v>75683.77611584244</v>
      </c>
      <c r="J31" s="26">
        <f t="shared" si="5"/>
        <v>0.22101511658636164</v>
      </c>
      <c r="L31" s="22">
        <f t="shared" si="11"/>
        <v>97156.925284844852</v>
      </c>
      <c r="M31" s="5">
        <f>scrimecost*Meta!O28</f>
        <v>2094.6120000000001</v>
      </c>
      <c r="N31" s="5">
        <f>L31-Grade15!L31</f>
        <v>2618.6008842428128</v>
      </c>
      <c r="O31" s="5">
        <f>Grade15!M31-M31</f>
        <v>35.061000000000149</v>
      </c>
      <c r="P31" s="22">
        <f t="shared" si="12"/>
        <v>196.19004418301705</v>
      </c>
      <c r="Q31" s="22"/>
      <c r="R31" s="22"/>
      <c r="S31" s="22">
        <f t="shared" si="6"/>
        <v>1910.3111387926556</v>
      </c>
      <c r="T31" s="22">
        <f t="shared" si="7"/>
        <v>1364.7014908331464</v>
      </c>
    </row>
    <row r="32" spans="1:20" x14ac:dyDescent="0.2">
      <c r="A32" s="5">
        <v>41</v>
      </c>
      <c r="B32" s="1">
        <f t="shared" si="8"/>
        <v>1.5986501856491666</v>
      </c>
      <c r="C32" s="5">
        <f t="shared" si="9"/>
        <v>72091.84223317889</v>
      </c>
      <c r="D32" s="5">
        <f t="shared" si="0"/>
        <v>70171.119597250799</v>
      </c>
      <c r="E32" s="5">
        <f t="shared" si="1"/>
        <v>60671.119597250799</v>
      </c>
      <c r="F32" s="5">
        <f t="shared" si="2"/>
        <v>22727.982508227466</v>
      </c>
      <c r="G32" s="5">
        <f t="shared" si="3"/>
        <v>47443.137089023337</v>
      </c>
      <c r="H32" s="22">
        <f t="shared" si="10"/>
        <v>30999.098157055036</v>
      </c>
      <c r="I32" s="5">
        <f t="shared" si="4"/>
        <v>77388.265908738496</v>
      </c>
      <c r="J32" s="26">
        <f t="shared" si="5"/>
        <v>0.22289896467303449</v>
      </c>
      <c r="L32" s="22">
        <f t="shared" si="11"/>
        <v>99585.848416965964</v>
      </c>
      <c r="M32" s="5">
        <f>scrimecost*Meta!O29</f>
        <v>2094.6120000000001</v>
      </c>
      <c r="N32" s="5">
        <f>L32-Grade15!L32</f>
        <v>2684.0659063489002</v>
      </c>
      <c r="O32" s="5">
        <f>Grade15!M32-M32</f>
        <v>35.061000000000149</v>
      </c>
      <c r="P32" s="22">
        <f t="shared" si="12"/>
        <v>201.26107755759242</v>
      </c>
      <c r="Q32" s="22"/>
      <c r="R32" s="22"/>
      <c r="S32" s="22">
        <f t="shared" si="6"/>
        <v>1957.5184791467332</v>
      </c>
      <c r="T32" s="22">
        <f t="shared" si="7"/>
        <v>1373.8892361400294</v>
      </c>
    </row>
    <row r="33" spans="1:20" x14ac:dyDescent="0.2">
      <c r="A33" s="5">
        <v>42</v>
      </c>
      <c r="B33" s="1">
        <f t="shared" si="8"/>
        <v>1.6386164402903955</v>
      </c>
      <c r="C33" s="5">
        <f t="shared" si="9"/>
        <v>73894.138289008362</v>
      </c>
      <c r="D33" s="5">
        <f t="shared" si="0"/>
        <v>71912.137587182064</v>
      </c>
      <c r="E33" s="5">
        <f t="shared" si="1"/>
        <v>62412.137587182064</v>
      </c>
      <c r="F33" s="5">
        <f t="shared" si="2"/>
        <v>23470.526680933152</v>
      </c>
      <c r="G33" s="5">
        <f t="shared" si="3"/>
        <v>48441.610906248912</v>
      </c>
      <c r="H33" s="22">
        <f t="shared" si="10"/>
        <v>31774.075610981406</v>
      </c>
      <c r="I33" s="5">
        <f t="shared" si="4"/>
        <v>79135.367946456943</v>
      </c>
      <c r="J33" s="26">
        <f t="shared" si="5"/>
        <v>0.22473686524539829</v>
      </c>
      <c r="L33" s="22">
        <f t="shared" si="11"/>
        <v>102075.4946273901</v>
      </c>
      <c r="M33" s="5">
        <f>scrimecost*Meta!O30</f>
        <v>2094.6120000000001</v>
      </c>
      <c r="N33" s="5">
        <f>L33-Grade15!L33</f>
        <v>2751.1675540076249</v>
      </c>
      <c r="O33" s="5">
        <f>Grade15!M33-M33</f>
        <v>35.061000000000149</v>
      </c>
      <c r="P33" s="22">
        <f t="shared" si="12"/>
        <v>206.4588867665322</v>
      </c>
      <c r="Q33" s="22"/>
      <c r="R33" s="22"/>
      <c r="S33" s="22">
        <f t="shared" si="6"/>
        <v>2005.9060030096532</v>
      </c>
      <c r="T33" s="22">
        <f t="shared" si="7"/>
        <v>1383.1482165540122</v>
      </c>
    </row>
    <row r="34" spans="1:20" x14ac:dyDescent="0.2">
      <c r="A34" s="5">
        <v>43</v>
      </c>
      <c r="B34" s="1">
        <f t="shared" si="8"/>
        <v>1.6795818512976552</v>
      </c>
      <c r="C34" s="5">
        <f t="shared" si="9"/>
        <v>75741.491746233543</v>
      </c>
      <c r="D34" s="5">
        <f t="shared" si="0"/>
        <v>73696.681026861595</v>
      </c>
      <c r="E34" s="5">
        <f t="shared" si="1"/>
        <v>64196.681026861595</v>
      </c>
      <c r="F34" s="5">
        <f t="shared" si="2"/>
        <v>24231.634457956468</v>
      </c>
      <c r="G34" s="5">
        <f t="shared" si="3"/>
        <v>49465.046568905127</v>
      </c>
      <c r="H34" s="22">
        <f t="shared" si="10"/>
        <v>32568.427501255941</v>
      </c>
      <c r="I34" s="5">
        <f t="shared" si="4"/>
        <v>80926.147535118362</v>
      </c>
      <c r="J34" s="26">
        <f t="shared" si="5"/>
        <v>0.22652993897453369</v>
      </c>
      <c r="L34" s="22">
        <f t="shared" si="11"/>
        <v>104627.38199307486</v>
      </c>
      <c r="M34" s="5">
        <f>scrimecost*Meta!O31</f>
        <v>2094.6120000000001</v>
      </c>
      <c r="N34" s="5">
        <f>L34-Grade15!L34</f>
        <v>2819.9467428578209</v>
      </c>
      <c r="O34" s="5">
        <f>Grade15!M34-M34</f>
        <v>35.061000000000149</v>
      </c>
      <c r="P34" s="22">
        <f t="shared" si="12"/>
        <v>211.7866412056955</v>
      </c>
      <c r="Q34" s="22"/>
      <c r="R34" s="22"/>
      <c r="S34" s="22">
        <f t="shared" si="6"/>
        <v>2055.5032149691483</v>
      </c>
      <c r="T34" s="22">
        <f t="shared" si="7"/>
        <v>1392.4788128922453</v>
      </c>
    </row>
    <row r="35" spans="1:20" x14ac:dyDescent="0.2">
      <c r="A35" s="5">
        <v>44</v>
      </c>
      <c r="B35" s="1">
        <f t="shared" si="8"/>
        <v>1.7215713975800966</v>
      </c>
      <c r="C35" s="5">
        <f t="shared" si="9"/>
        <v>77635.029039889399</v>
      </c>
      <c r="D35" s="5">
        <f t="shared" si="0"/>
        <v>75525.838052533145</v>
      </c>
      <c r="E35" s="5">
        <f t="shared" si="1"/>
        <v>66025.838052533145</v>
      </c>
      <c r="F35" s="5">
        <f t="shared" si="2"/>
        <v>25011.769929405385</v>
      </c>
      <c r="G35" s="5">
        <f t="shared" si="3"/>
        <v>50514.068123127756</v>
      </c>
      <c r="H35" s="22">
        <f t="shared" si="10"/>
        <v>33382.638188787336</v>
      </c>
      <c r="I35" s="5">
        <f t="shared" si="4"/>
        <v>82761.696613496315</v>
      </c>
      <c r="J35" s="26">
        <f t="shared" si="5"/>
        <v>0.2282792791980805</v>
      </c>
      <c r="L35" s="22">
        <f t="shared" si="11"/>
        <v>107243.06654290171</v>
      </c>
      <c r="M35" s="5">
        <f>scrimecost*Meta!O32</f>
        <v>2094.6120000000001</v>
      </c>
      <c r="N35" s="5">
        <f>L35-Grade15!L35</f>
        <v>2890.4454114292457</v>
      </c>
      <c r="O35" s="5">
        <f>Grade15!M35-M35</f>
        <v>35.061000000000149</v>
      </c>
      <c r="P35" s="22">
        <f t="shared" si="12"/>
        <v>217.24758950583788</v>
      </c>
      <c r="Q35" s="22"/>
      <c r="R35" s="22"/>
      <c r="S35" s="22">
        <f t="shared" si="6"/>
        <v>2106.3403572276129</v>
      </c>
      <c r="T35" s="22">
        <f t="shared" si="7"/>
        <v>1401.8814107302669</v>
      </c>
    </row>
    <row r="36" spans="1:20" x14ac:dyDescent="0.2">
      <c r="A36" s="5">
        <v>45</v>
      </c>
      <c r="B36" s="1">
        <f t="shared" si="8"/>
        <v>1.7646106825195991</v>
      </c>
      <c r="C36" s="5">
        <f t="shared" si="9"/>
        <v>79575.904765886618</v>
      </c>
      <c r="D36" s="5">
        <f t="shared" si="0"/>
        <v>77400.724003846466</v>
      </c>
      <c r="E36" s="5">
        <f t="shared" si="1"/>
        <v>67900.724003846466</v>
      </c>
      <c r="F36" s="5">
        <f t="shared" si="2"/>
        <v>25811.408787640517</v>
      </c>
      <c r="G36" s="5">
        <f t="shared" si="3"/>
        <v>51589.315216205949</v>
      </c>
      <c r="H36" s="22">
        <f t="shared" si="10"/>
        <v>34217.20414350702</v>
      </c>
      <c r="I36" s="5">
        <f t="shared" si="4"/>
        <v>84643.134418833739</v>
      </c>
      <c r="J36" s="26">
        <f t="shared" si="5"/>
        <v>0.2299859525869066</v>
      </c>
      <c r="L36" s="22">
        <f t="shared" si="11"/>
        <v>109924.14320647427</v>
      </c>
      <c r="M36" s="5">
        <f>scrimecost*Meta!O33</f>
        <v>1776.068</v>
      </c>
      <c r="N36" s="5">
        <f>L36-Grade15!L36</f>
        <v>2962.7065467149805</v>
      </c>
      <c r="O36" s="5">
        <f>Grade15!M36-M36</f>
        <v>29.729000000000042</v>
      </c>
      <c r="P36" s="22">
        <f t="shared" si="12"/>
        <v>222.84506151348387</v>
      </c>
      <c r="Q36" s="22"/>
      <c r="R36" s="22"/>
      <c r="S36" s="22">
        <f t="shared" si="6"/>
        <v>2154.3161280425556</v>
      </c>
      <c r="T36" s="22">
        <f t="shared" si="7"/>
        <v>1408.654390947225</v>
      </c>
    </row>
    <row r="37" spans="1:20" x14ac:dyDescent="0.2">
      <c r="A37" s="5">
        <v>46</v>
      </c>
      <c r="B37" s="1">
        <f t="shared" ref="B37:B56" si="13">(1+experiencepremium)^(A37-startage)</f>
        <v>1.8087259495825889</v>
      </c>
      <c r="C37" s="5">
        <f t="shared" ref="C37:C56" si="14">pretaxincome*B37/expnorm</f>
        <v>81565.302385033792</v>
      </c>
      <c r="D37" s="5">
        <f t="shared" ref="D37:D56" si="15">IF(A37&lt;startage,1,0)*(C37*(1-initialunempprob))+IF(A37=startage,1,0)*(C37*(1-unempprob))+IF(A37&gt;startage,1,0)*(C37*(1-unempprob)+unempprob*300*52)</f>
        <v>79322.482103942632</v>
      </c>
      <c r="E37" s="5">
        <f t="shared" si="1"/>
        <v>69822.482103942632</v>
      </c>
      <c r="F37" s="5">
        <f t="shared" si="2"/>
        <v>26631.038617331535</v>
      </c>
      <c r="G37" s="5">
        <f t="shared" si="3"/>
        <v>52691.443486611097</v>
      </c>
      <c r="H37" s="22">
        <f t="shared" ref="H37:H56" si="16">benefits*B37/expnorm</f>
        <v>35072.634247094698</v>
      </c>
      <c r="I37" s="5">
        <f t="shared" ref="I37:I56" si="17">G37+IF(A37&lt;startage,1,0)*(H37*(1-initialunempprob))+IF(A37&gt;=startage,1,0)*(H37*(1-unempprob))</f>
        <v>86571.608169304585</v>
      </c>
      <c r="J37" s="26">
        <f t="shared" si="5"/>
        <v>0.23165099979551745</v>
      </c>
      <c r="L37" s="22">
        <f t="shared" ref="L37:L56" si="18">(sincome+sbenefits)*(1-sunemp)*B37/expnorm</f>
        <v>112672.24678663611</v>
      </c>
      <c r="M37" s="5">
        <f>scrimecost*Meta!O34</f>
        <v>1776.068</v>
      </c>
      <c r="N37" s="5">
        <f>L37-Grade15!L37</f>
        <v>3036.7742103828787</v>
      </c>
      <c r="O37" s="5">
        <f>Grade15!M37-M37</f>
        <v>29.729000000000042</v>
      </c>
      <c r="P37" s="22">
        <f t="shared" si="12"/>
        <v>228.58247032132093</v>
      </c>
      <c r="Q37" s="22"/>
      <c r="R37" s="22"/>
      <c r="S37" s="22">
        <f t="shared" si="6"/>
        <v>2207.7269006278852</v>
      </c>
      <c r="T37" s="22">
        <f t="shared" si="7"/>
        <v>1418.2495765758802</v>
      </c>
    </row>
    <row r="38" spans="1:20" x14ac:dyDescent="0.2">
      <c r="A38" s="5">
        <v>47</v>
      </c>
      <c r="B38" s="1">
        <f t="shared" si="13"/>
        <v>1.8539440983221533</v>
      </c>
      <c r="C38" s="5">
        <f t="shared" si="14"/>
        <v>83604.434944659617</v>
      </c>
      <c r="D38" s="5">
        <f t="shared" si="15"/>
        <v>81292.28415654118</v>
      </c>
      <c r="E38" s="5">
        <f t="shared" si="1"/>
        <v>71792.28415654118</v>
      </c>
      <c r="F38" s="5">
        <f t="shared" si="2"/>
        <v>27471.159192764811</v>
      </c>
      <c r="G38" s="5">
        <f t="shared" si="3"/>
        <v>53821.124963776369</v>
      </c>
      <c r="H38" s="22">
        <f t="shared" si="16"/>
        <v>35949.450103272058</v>
      </c>
      <c r="I38" s="5">
        <f t="shared" si="17"/>
        <v>88548.293763537178</v>
      </c>
      <c r="J38" s="26">
        <f t="shared" si="5"/>
        <v>0.23327543609660112</v>
      </c>
      <c r="L38" s="22">
        <f t="shared" si="18"/>
        <v>115489.052956302</v>
      </c>
      <c r="M38" s="5">
        <f>scrimecost*Meta!O35</f>
        <v>1776.068</v>
      </c>
      <c r="N38" s="5">
        <f>L38-Grade15!L38</f>
        <v>3112.6935656424321</v>
      </c>
      <c r="O38" s="5">
        <f>Grade15!M38-M38</f>
        <v>29.729000000000042</v>
      </c>
      <c r="P38" s="22">
        <f t="shared" si="12"/>
        <v>234.46331434935388</v>
      </c>
      <c r="Q38" s="22"/>
      <c r="R38" s="22"/>
      <c r="S38" s="22">
        <f t="shared" si="6"/>
        <v>2262.4729425278201</v>
      </c>
      <c r="T38" s="22">
        <f t="shared" si="7"/>
        <v>1427.9171171202936</v>
      </c>
    </row>
    <row r="39" spans="1:20" x14ac:dyDescent="0.2">
      <c r="A39" s="5">
        <v>48</v>
      </c>
      <c r="B39" s="1">
        <f t="shared" si="13"/>
        <v>1.9002927007802071</v>
      </c>
      <c r="C39" s="5">
        <f t="shared" si="14"/>
        <v>85694.545818276092</v>
      </c>
      <c r="D39" s="5">
        <f t="shared" si="15"/>
        <v>83311.331260454695</v>
      </c>
      <c r="E39" s="5">
        <f t="shared" si="1"/>
        <v>73811.331260454695</v>
      </c>
      <c r="F39" s="5">
        <f t="shared" si="2"/>
        <v>28332.282782583927</v>
      </c>
      <c r="G39" s="5">
        <f t="shared" si="3"/>
        <v>54979.048477870769</v>
      </c>
      <c r="H39" s="22">
        <f t="shared" si="16"/>
        <v>36848.186355853861</v>
      </c>
      <c r="I39" s="5">
        <f t="shared" si="17"/>
        <v>90574.396497625596</v>
      </c>
      <c r="J39" s="26">
        <f t="shared" si="5"/>
        <v>0.23486025200009744</v>
      </c>
      <c r="L39" s="22">
        <f t="shared" si="18"/>
        <v>118376.27928020954</v>
      </c>
      <c r="M39" s="5">
        <f>scrimecost*Meta!O36</f>
        <v>1776.068</v>
      </c>
      <c r="N39" s="5">
        <f>L39-Grade15!L39</f>
        <v>3190.5109047834849</v>
      </c>
      <c r="O39" s="5">
        <f>Grade15!M39-M39</f>
        <v>29.729000000000042</v>
      </c>
      <c r="P39" s="22">
        <f t="shared" si="12"/>
        <v>240.4911794780877</v>
      </c>
      <c r="Q39" s="22"/>
      <c r="R39" s="22"/>
      <c r="S39" s="22">
        <f t="shared" si="6"/>
        <v>2318.5876354752604</v>
      </c>
      <c r="T39" s="22">
        <f t="shared" si="7"/>
        <v>1437.6574317587147</v>
      </c>
    </row>
    <row r="40" spans="1:20" x14ac:dyDescent="0.2">
      <c r="A40" s="5">
        <v>49</v>
      </c>
      <c r="B40" s="1">
        <f t="shared" si="13"/>
        <v>1.9478000182997122</v>
      </c>
      <c r="C40" s="5">
        <f t="shared" si="14"/>
        <v>87836.909463732998</v>
      </c>
      <c r="D40" s="5">
        <f t="shared" si="15"/>
        <v>85380.854541966066</v>
      </c>
      <c r="E40" s="5">
        <f t="shared" si="1"/>
        <v>75880.854541966066</v>
      </c>
      <c r="F40" s="5">
        <f t="shared" si="2"/>
        <v>29214.934462148529</v>
      </c>
      <c r="G40" s="5">
        <f t="shared" si="3"/>
        <v>56165.920079817537</v>
      </c>
      <c r="H40" s="22">
        <f t="shared" si="16"/>
        <v>37769.391014750196</v>
      </c>
      <c r="I40" s="5">
        <f t="shared" si="17"/>
        <v>92651.151800066233</v>
      </c>
      <c r="J40" s="26">
        <f t="shared" si="5"/>
        <v>0.23640641385716707</v>
      </c>
      <c r="L40" s="22">
        <f t="shared" si="18"/>
        <v>121335.68626221477</v>
      </c>
      <c r="M40" s="5">
        <f>scrimecost*Meta!O37</f>
        <v>1776.068</v>
      </c>
      <c r="N40" s="5">
        <f>L40-Grade15!L40</f>
        <v>3270.2736774030927</v>
      </c>
      <c r="O40" s="5">
        <f>Grade15!M40-M40</f>
        <v>29.729000000000042</v>
      </c>
      <c r="P40" s="22">
        <f t="shared" si="12"/>
        <v>246.66974123503991</v>
      </c>
      <c r="Q40" s="22"/>
      <c r="R40" s="22"/>
      <c r="S40" s="22">
        <f t="shared" si="6"/>
        <v>2376.1051957464056</v>
      </c>
      <c r="T40" s="22">
        <f t="shared" si="7"/>
        <v>1447.4709441616715</v>
      </c>
    </row>
    <row r="41" spans="1:20" x14ac:dyDescent="0.2">
      <c r="A41" s="5">
        <v>50</v>
      </c>
      <c r="B41" s="1">
        <f t="shared" si="13"/>
        <v>1.9964950187572048</v>
      </c>
      <c r="C41" s="5">
        <f t="shared" si="14"/>
        <v>90032.832200326317</v>
      </c>
      <c r="D41" s="5">
        <f t="shared" si="15"/>
        <v>87502.115905515209</v>
      </c>
      <c r="E41" s="5">
        <f t="shared" si="1"/>
        <v>78002.115905515209</v>
      </c>
      <c r="F41" s="5">
        <f t="shared" si="2"/>
        <v>30119.652433702235</v>
      </c>
      <c r="G41" s="5">
        <f t="shared" si="3"/>
        <v>57382.463471812975</v>
      </c>
      <c r="H41" s="22">
        <f t="shared" si="16"/>
        <v>38713.625790118953</v>
      </c>
      <c r="I41" s="5">
        <f t="shared" si="17"/>
        <v>94779.825985067873</v>
      </c>
      <c r="J41" s="26">
        <f t="shared" si="5"/>
        <v>0.23791486444943008</v>
      </c>
      <c r="L41" s="22">
        <f t="shared" si="18"/>
        <v>124369.07841877014</v>
      </c>
      <c r="M41" s="5">
        <f>scrimecost*Meta!O38</f>
        <v>1285.288</v>
      </c>
      <c r="N41" s="5">
        <f>L41-Grade15!L41</f>
        <v>3352.0305193381355</v>
      </c>
      <c r="O41" s="5">
        <f>Grade15!M41-M41</f>
        <v>21.513999999999896</v>
      </c>
      <c r="P41" s="22">
        <f t="shared" si="12"/>
        <v>253.00276703591587</v>
      </c>
      <c r="Q41" s="22"/>
      <c r="R41" s="22"/>
      <c r="S41" s="22">
        <f t="shared" si="6"/>
        <v>2428.6940700242926</v>
      </c>
      <c r="T41" s="22">
        <f t="shared" si="7"/>
        <v>1453.5477247417352</v>
      </c>
    </row>
    <row r="42" spans="1:20" x14ac:dyDescent="0.2">
      <c r="A42" s="5">
        <v>51</v>
      </c>
      <c r="B42" s="1">
        <f t="shared" si="13"/>
        <v>2.0464073942261352</v>
      </c>
      <c r="C42" s="5">
        <f t="shared" si="14"/>
        <v>92283.65300533449</v>
      </c>
      <c r="D42" s="5">
        <f t="shared" si="15"/>
        <v>89676.408803153114</v>
      </c>
      <c r="E42" s="5">
        <f t="shared" si="1"/>
        <v>80176.408803153114</v>
      </c>
      <c r="F42" s="5">
        <f t="shared" si="2"/>
        <v>31046.988354544803</v>
      </c>
      <c r="G42" s="5">
        <f t="shared" si="3"/>
        <v>58629.420448608311</v>
      </c>
      <c r="H42" s="22">
        <f t="shared" si="16"/>
        <v>39681.466434871931</v>
      </c>
      <c r="I42" s="5">
        <f t="shared" si="17"/>
        <v>96961.717024694604</v>
      </c>
      <c r="J42" s="26">
        <f t="shared" si="5"/>
        <v>0.23938652356383308</v>
      </c>
      <c r="L42" s="22">
        <f t="shared" si="18"/>
        <v>127478.30537923941</v>
      </c>
      <c r="M42" s="5">
        <f>scrimecost*Meta!O39</f>
        <v>1285.288</v>
      </c>
      <c r="N42" s="5">
        <f>L42-Grade15!L42</f>
        <v>3435.8312823216402</v>
      </c>
      <c r="O42" s="5">
        <f>Grade15!M42-M42</f>
        <v>21.513999999999896</v>
      </c>
      <c r="P42" s="22">
        <f t="shared" si="12"/>
        <v>259.49411848181381</v>
      </c>
      <c r="Q42" s="22"/>
      <c r="R42" s="22"/>
      <c r="S42" s="22">
        <f t="shared" si="6"/>
        <v>2489.1234567841839</v>
      </c>
      <c r="T42" s="22">
        <f t="shared" si="7"/>
        <v>1463.5757776332234</v>
      </c>
    </row>
    <row r="43" spans="1:20" x14ac:dyDescent="0.2">
      <c r="A43" s="5">
        <v>52</v>
      </c>
      <c r="B43" s="1">
        <f t="shared" si="13"/>
        <v>2.097567579081788</v>
      </c>
      <c r="C43" s="5">
        <f t="shared" si="14"/>
        <v>94590.744330467831</v>
      </c>
      <c r="D43" s="5">
        <f t="shared" si="15"/>
        <v>91905.059023231923</v>
      </c>
      <c r="E43" s="5">
        <f t="shared" si="1"/>
        <v>82405.059023231923</v>
      </c>
      <c r="F43" s="5">
        <f t="shared" si="2"/>
        <v>31997.507673408414</v>
      </c>
      <c r="G43" s="5">
        <f t="shared" si="3"/>
        <v>59907.551349823509</v>
      </c>
      <c r="H43" s="22">
        <f t="shared" si="16"/>
        <v>40673.503095743719</v>
      </c>
      <c r="I43" s="5">
        <f t="shared" si="17"/>
        <v>99198.155340311932</v>
      </c>
      <c r="J43" s="26">
        <f t="shared" si="5"/>
        <v>0.24082228855349447</v>
      </c>
      <c r="L43" s="22">
        <f t="shared" si="18"/>
        <v>130665.26301372035</v>
      </c>
      <c r="M43" s="5">
        <f>scrimecost*Meta!O40</f>
        <v>1285.288</v>
      </c>
      <c r="N43" s="5">
        <f>L43-Grade15!L43</f>
        <v>3521.7270643796073</v>
      </c>
      <c r="O43" s="5">
        <f>Grade15!M43-M43</f>
        <v>21.513999999999896</v>
      </c>
      <c r="P43" s="22">
        <f t="shared" si="12"/>
        <v>266.14775371385912</v>
      </c>
      <c r="Q43" s="22"/>
      <c r="R43" s="22"/>
      <c r="S43" s="22">
        <f t="shared" si="6"/>
        <v>2551.0635782129898</v>
      </c>
      <c r="T43" s="22">
        <f t="shared" si="7"/>
        <v>1473.6771532555408</v>
      </c>
    </row>
    <row r="44" spans="1:20" x14ac:dyDescent="0.2">
      <c r="A44" s="5">
        <v>53</v>
      </c>
      <c r="B44" s="1">
        <f t="shared" si="13"/>
        <v>2.1500067685588333</v>
      </c>
      <c r="C44" s="5">
        <f t="shared" si="14"/>
        <v>96955.51293872956</v>
      </c>
      <c r="D44" s="5">
        <f t="shared" si="15"/>
        <v>94189.42549881275</v>
      </c>
      <c r="E44" s="5">
        <f t="shared" si="1"/>
        <v>84689.42549881275</v>
      </c>
      <c r="F44" s="5">
        <f t="shared" si="2"/>
        <v>33004.472740208024</v>
      </c>
      <c r="G44" s="5">
        <f t="shared" si="3"/>
        <v>61184.952758604726</v>
      </c>
      <c r="H44" s="22">
        <f t="shared" si="16"/>
        <v>41690.340673137318</v>
      </c>
      <c r="I44" s="5">
        <f t="shared" si="17"/>
        <v>101457.82184885538</v>
      </c>
      <c r="J44" s="26">
        <f t="shared" si="5"/>
        <v>0.24246706014162353</v>
      </c>
      <c r="L44" s="22">
        <f t="shared" si="18"/>
        <v>133931.89458906339</v>
      </c>
      <c r="M44" s="5">
        <f>scrimecost*Meta!O41</f>
        <v>1285.288</v>
      </c>
      <c r="N44" s="5">
        <f>L44-Grade15!L44</f>
        <v>3609.7702409891499</v>
      </c>
      <c r="O44" s="5">
        <f>Grade15!M44-M44</f>
        <v>21.513999999999896</v>
      </c>
      <c r="P44" s="22">
        <f t="shared" si="12"/>
        <v>273.19650918145635</v>
      </c>
      <c r="Q44" s="22"/>
      <c r="R44" s="22"/>
      <c r="S44" s="22">
        <f t="shared" ref="S44:S69" si="19">IF(A44&lt;startage,1,0)*(N44-Q44-R44)+IF(A44&gt;=startage,1,0)*completionprob*(N44*spart+O44+P44)</f>
        <v>2614.7295066775309</v>
      </c>
      <c r="T44" s="22">
        <f t="shared" ref="T44:T69" si="20">S44/sreturn^(A44-startage+1)</f>
        <v>1483.9529402688754</v>
      </c>
    </row>
    <row r="45" spans="1:20" x14ac:dyDescent="0.2">
      <c r="A45" s="5">
        <v>54</v>
      </c>
      <c r="B45" s="1">
        <f t="shared" si="13"/>
        <v>2.2037569377728037</v>
      </c>
      <c r="C45" s="5">
        <f t="shared" si="14"/>
        <v>99379.40076219778</v>
      </c>
      <c r="D45" s="5">
        <f t="shared" si="15"/>
        <v>96530.90113628305</v>
      </c>
      <c r="E45" s="5">
        <f t="shared" si="1"/>
        <v>87030.90113628305</v>
      </c>
      <c r="F45" s="5">
        <f t="shared" si="2"/>
        <v>34073.356368713212</v>
      </c>
      <c r="G45" s="5">
        <f t="shared" si="3"/>
        <v>62457.544767569838</v>
      </c>
      <c r="H45" s="22">
        <f t="shared" si="16"/>
        <v>42732.599189965746</v>
      </c>
      <c r="I45" s="5">
        <f t="shared" si="17"/>
        <v>103737.23558507675</v>
      </c>
      <c r="J45" s="26">
        <f t="shared" si="5"/>
        <v>0.24433937548691759</v>
      </c>
      <c r="L45" s="22">
        <f t="shared" si="18"/>
        <v>137280.19195378997</v>
      </c>
      <c r="M45" s="5">
        <f>scrimecost*Meta!O42</f>
        <v>1285.288</v>
      </c>
      <c r="N45" s="5">
        <f>L45-Grade15!L45</f>
        <v>3700.014497013879</v>
      </c>
      <c r="O45" s="5">
        <f>Grade15!M45-M45</f>
        <v>21.513999999999896</v>
      </c>
      <c r="P45" s="22">
        <f t="shared" si="12"/>
        <v>280.67869458099273</v>
      </c>
      <c r="Q45" s="22"/>
      <c r="R45" s="22"/>
      <c r="S45" s="22">
        <f t="shared" si="19"/>
        <v>2680.1864219137192</v>
      </c>
      <c r="T45" s="22">
        <f t="shared" si="20"/>
        <v>1494.4130658816132</v>
      </c>
    </row>
    <row r="46" spans="1:20" x14ac:dyDescent="0.2">
      <c r="A46" s="5">
        <v>55</v>
      </c>
      <c r="B46" s="1">
        <f t="shared" si="13"/>
        <v>2.2588508612171236</v>
      </c>
      <c r="C46" s="5">
        <f t="shared" si="14"/>
        <v>101863.88578125271</v>
      </c>
      <c r="D46" s="5">
        <f t="shared" si="15"/>
        <v>98930.913664690117</v>
      </c>
      <c r="E46" s="5">
        <f t="shared" si="1"/>
        <v>89430.913664690117</v>
      </c>
      <c r="F46" s="5">
        <f t="shared" si="2"/>
        <v>35168.962087931039</v>
      </c>
      <c r="G46" s="5">
        <f t="shared" si="3"/>
        <v>63761.951576759078</v>
      </c>
      <c r="H46" s="22">
        <f t="shared" si="16"/>
        <v>43800.914169714888</v>
      </c>
      <c r="I46" s="5">
        <f t="shared" si="17"/>
        <v>106073.63466470366</v>
      </c>
      <c r="J46" s="26">
        <f t="shared" si="5"/>
        <v>0.24616602460427772</v>
      </c>
      <c r="L46" s="22">
        <f t="shared" si="18"/>
        <v>140712.19675263471</v>
      </c>
      <c r="M46" s="5">
        <f>scrimecost*Meta!O43</f>
        <v>768.57999999999993</v>
      </c>
      <c r="N46" s="5">
        <f>L46-Grade15!L46</f>
        <v>3792.5148594392231</v>
      </c>
      <c r="O46" s="5">
        <f>Grade15!M46-M46</f>
        <v>12.865000000000009</v>
      </c>
      <c r="P46" s="22">
        <f t="shared" si="12"/>
        <v>288.34793461551754</v>
      </c>
      <c r="Q46" s="22"/>
      <c r="R46" s="22"/>
      <c r="S46" s="22">
        <f t="shared" si="19"/>
        <v>2740.5767850308107</v>
      </c>
      <c r="T46" s="22">
        <f t="shared" si="20"/>
        <v>1501.2738518292338</v>
      </c>
    </row>
    <row r="47" spans="1:20" x14ac:dyDescent="0.2">
      <c r="A47" s="5">
        <v>56</v>
      </c>
      <c r="B47" s="1">
        <f t="shared" si="13"/>
        <v>2.3153221327475517</v>
      </c>
      <c r="C47" s="5">
        <f t="shared" si="14"/>
        <v>104410.48292578403</v>
      </c>
      <c r="D47" s="5">
        <f t="shared" si="15"/>
        <v>101390.92650630737</v>
      </c>
      <c r="E47" s="5">
        <f t="shared" si="1"/>
        <v>91890.926506307369</v>
      </c>
      <c r="F47" s="5">
        <f t="shared" si="2"/>
        <v>36291.957950129312</v>
      </c>
      <c r="G47" s="5">
        <f t="shared" si="3"/>
        <v>65098.968556178057</v>
      </c>
      <c r="H47" s="22">
        <f t="shared" si="16"/>
        <v>44895.937023957762</v>
      </c>
      <c r="I47" s="5">
        <f t="shared" si="17"/>
        <v>108468.44372132125</v>
      </c>
      <c r="J47" s="26">
        <f t="shared" si="5"/>
        <v>0.24794812130414118</v>
      </c>
      <c r="L47" s="22">
        <f t="shared" si="18"/>
        <v>144230.00167145056</v>
      </c>
      <c r="M47" s="5">
        <f>scrimecost*Meta!O44</f>
        <v>768.57999999999993</v>
      </c>
      <c r="N47" s="5">
        <f>L47-Grade15!L47</f>
        <v>3887.3277309252298</v>
      </c>
      <c r="O47" s="5">
        <f>Grade15!M47-M47</f>
        <v>12.865000000000009</v>
      </c>
      <c r="P47" s="22">
        <f t="shared" si="12"/>
        <v>296.20890565090542</v>
      </c>
      <c r="Q47" s="22"/>
      <c r="R47" s="22"/>
      <c r="S47" s="22">
        <f t="shared" si="19"/>
        <v>2809.3474566008481</v>
      </c>
      <c r="T47" s="22">
        <f t="shared" si="20"/>
        <v>1511.9439582624764</v>
      </c>
    </row>
    <row r="48" spans="1:20" x14ac:dyDescent="0.2">
      <c r="A48" s="5">
        <v>57</v>
      </c>
      <c r="B48" s="1">
        <f t="shared" si="13"/>
        <v>2.3732051860662402</v>
      </c>
      <c r="C48" s="5">
        <f t="shared" si="14"/>
        <v>107020.74499892861</v>
      </c>
      <c r="D48" s="5">
        <f t="shared" si="15"/>
        <v>103912.43966896503</v>
      </c>
      <c r="E48" s="5">
        <f t="shared" si="1"/>
        <v>94412.439668965031</v>
      </c>
      <c r="F48" s="5">
        <f t="shared" si="2"/>
        <v>37443.028708882535</v>
      </c>
      <c r="G48" s="5">
        <f t="shared" si="3"/>
        <v>66469.410960082489</v>
      </c>
      <c r="H48" s="22">
        <f t="shared" si="16"/>
        <v>46018.335449556696</v>
      </c>
      <c r="I48" s="5">
        <f t="shared" si="17"/>
        <v>110923.12300435425</v>
      </c>
      <c r="J48" s="26">
        <f t="shared" si="5"/>
        <v>0.24968675223083728</v>
      </c>
      <c r="L48" s="22">
        <f t="shared" si="18"/>
        <v>147835.75171323682</v>
      </c>
      <c r="M48" s="5">
        <f>scrimecost*Meta!O45</f>
        <v>768.57999999999993</v>
      </c>
      <c r="N48" s="5">
        <f>L48-Grade15!L48</f>
        <v>3984.5109241983446</v>
      </c>
      <c r="O48" s="5">
        <f>Grade15!M48-M48</f>
        <v>12.865000000000009</v>
      </c>
      <c r="P48" s="22">
        <f t="shared" si="12"/>
        <v>304.26640096217807</v>
      </c>
      <c r="Q48" s="22"/>
      <c r="R48" s="22"/>
      <c r="S48" s="22">
        <f t="shared" si="19"/>
        <v>2879.8373949601082</v>
      </c>
      <c r="T48" s="22">
        <f t="shared" si="20"/>
        <v>1522.6865011357472</v>
      </c>
    </row>
    <row r="49" spans="1:20" x14ac:dyDescent="0.2">
      <c r="A49" s="5">
        <v>58</v>
      </c>
      <c r="B49" s="1">
        <f t="shared" si="13"/>
        <v>2.4325353157178964</v>
      </c>
      <c r="C49" s="5">
        <f t="shared" si="14"/>
        <v>109696.26362390183</v>
      </c>
      <c r="D49" s="5">
        <f t="shared" si="15"/>
        <v>106496.99066068916</v>
      </c>
      <c r="E49" s="5">
        <f t="shared" si="1"/>
        <v>96996.99066068916</v>
      </c>
      <c r="F49" s="5">
        <f t="shared" si="2"/>
        <v>38622.876236604599</v>
      </c>
      <c r="G49" s="5">
        <f t="shared" si="3"/>
        <v>67874.114424084561</v>
      </c>
      <c r="H49" s="22">
        <f t="shared" si="16"/>
        <v>47168.793835795623</v>
      </c>
      <c r="I49" s="5">
        <f t="shared" si="17"/>
        <v>113439.16926946313</v>
      </c>
      <c r="J49" s="26">
        <f t="shared" si="5"/>
        <v>0.25138297752517491</v>
      </c>
      <c r="L49" s="22">
        <f t="shared" si="18"/>
        <v>151531.64550606773</v>
      </c>
      <c r="M49" s="5">
        <f>scrimecost*Meta!O46</f>
        <v>768.57999999999993</v>
      </c>
      <c r="N49" s="5">
        <f>L49-Grade15!L49</f>
        <v>4084.1236973032646</v>
      </c>
      <c r="O49" s="5">
        <f>Grade15!M49-M49</f>
        <v>12.865000000000009</v>
      </c>
      <c r="P49" s="22">
        <f t="shared" si="12"/>
        <v>312.52533365623248</v>
      </c>
      <c r="Q49" s="22"/>
      <c r="R49" s="22"/>
      <c r="S49" s="22">
        <f t="shared" si="19"/>
        <v>2952.0895817783357</v>
      </c>
      <c r="T49" s="22">
        <f t="shared" si="20"/>
        <v>1533.5020310840318</v>
      </c>
    </row>
    <row r="50" spans="1:20" x14ac:dyDescent="0.2">
      <c r="A50" s="5">
        <v>59</v>
      </c>
      <c r="B50" s="1">
        <f t="shared" si="13"/>
        <v>2.4933486986108435</v>
      </c>
      <c r="C50" s="5">
        <f t="shared" si="14"/>
        <v>112438.67021449936</v>
      </c>
      <c r="D50" s="5">
        <f t="shared" si="15"/>
        <v>109146.15542720638</v>
      </c>
      <c r="E50" s="5">
        <f t="shared" si="1"/>
        <v>99646.15542720638</v>
      </c>
      <c r="F50" s="5">
        <f t="shared" si="2"/>
        <v>39686.758316032923</v>
      </c>
      <c r="G50" s="5">
        <f t="shared" si="3"/>
        <v>69459.397111173457</v>
      </c>
      <c r="H50" s="22">
        <f t="shared" si="16"/>
        <v>48348.013681690507</v>
      </c>
      <c r="I50" s="5">
        <f t="shared" si="17"/>
        <v>116163.57832768648</v>
      </c>
      <c r="J50" s="26">
        <f t="shared" si="5"/>
        <v>0.25210130239656048</v>
      </c>
      <c r="L50" s="22">
        <f t="shared" si="18"/>
        <v>155319.93664371944</v>
      </c>
      <c r="M50" s="5">
        <f>scrimecost*Meta!O47</f>
        <v>768.57999999999993</v>
      </c>
      <c r="N50" s="5">
        <f>L50-Grade15!L50</f>
        <v>4186.226789735927</v>
      </c>
      <c r="O50" s="5">
        <f>Grade15!M50-M50</f>
        <v>12.865000000000009</v>
      </c>
      <c r="P50" s="22">
        <f t="shared" si="12"/>
        <v>319.97250821223076</v>
      </c>
      <c r="Q50" s="22"/>
      <c r="R50" s="22"/>
      <c r="S50" s="22">
        <f t="shared" si="19"/>
        <v>3025.3589438891568</v>
      </c>
      <c r="T50" s="22">
        <f t="shared" si="20"/>
        <v>1543.9883706126211</v>
      </c>
    </row>
    <row r="51" spans="1:20" x14ac:dyDescent="0.2">
      <c r="A51" s="5">
        <v>60</v>
      </c>
      <c r="B51" s="1">
        <f t="shared" si="13"/>
        <v>2.555682416076114</v>
      </c>
      <c r="C51" s="5">
        <f t="shared" si="14"/>
        <v>115249.63696986182</v>
      </c>
      <c r="D51" s="5">
        <f t="shared" si="15"/>
        <v>111861.54931288651</v>
      </c>
      <c r="E51" s="5">
        <f t="shared" si="1"/>
        <v>102361.54931288651</v>
      </c>
      <c r="F51" s="5">
        <f t="shared" si="2"/>
        <v>40757.981203933727</v>
      </c>
      <c r="G51" s="5">
        <f t="shared" si="3"/>
        <v>71103.568108952779</v>
      </c>
      <c r="H51" s="22">
        <f t="shared" si="16"/>
        <v>49556.714023732762</v>
      </c>
      <c r="I51" s="5">
        <f t="shared" si="17"/>
        <v>118975.35385587862</v>
      </c>
      <c r="J51" s="26">
        <f t="shared" si="5"/>
        <v>0.25268115307560296</v>
      </c>
      <c r="L51" s="22">
        <f t="shared" si="18"/>
        <v>159202.93505981236</v>
      </c>
      <c r="M51" s="5">
        <f>scrimecost*Meta!O48</f>
        <v>422.25600000000003</v>
      </c>
      <c r="N51" s="5">
        <f>L51-Grade15!L51</f>
        <v>4290.8824594792386</v>
      </c>
      <c r="O51" s="5">
        <f>Grade15!M51-M51</f>
        <v>7.0679999999999836</v>
      </c>
      <c r="P51" s="22">
        <f t="shared" si="12"/>
        <v>327.47106842753635</v>
      </c>
      <c r="Q51" s="22"/>
      <c r="R51" s="22"/>
      <c r="S51" s="22">
        <f t="shared" si="19"/>
        <v>3095.8628999315788</v>
      </c>
      <c r="T51" s="22">
        <f t="shared" si="20"/>
        <v>1552.2480688348219</v>
      </c>
    </row>
    <row r="52" spans="1:20" x14ac:dyDescent="0.2">
      <c r="A52" s="5">
        <v>61</v>
      </c>
      <c r="B52" s="1">
        <f t="shared" si="13"/>
        <v>2.6195744764780171</v>
      </c>
      <c r="C52" s="5">
        <f t="shared" si="14"/>
        <v>118130.87789410839</v>
      </c>
      <c r="D52" s="5">
        <f t="shared" si="15"/>
        <v>114644.82804570869</v>
      </c>
      <c r="E52" s="5">
        <f t="shared" si="1"/>
        <v>105144.82804570869</v>
      </c>
      <c r="F52" s="5">
        <f t="shared" si="2"/>
        <v>41855.984664032083</v>
      </c>
      <c r="G52" s="5">
        <f t="shared" si="3"/>
        <v>72788.843381676619</v>
      </c>
      <c r="H52" s="22">
        <f t="shared" si="16"/>
        <v>50795.631874326078</v>
      </c>
      <c r="I52" s="5">
        <f t="shared" si="17"/>
        <v>121857.42377227561</v>
      </c>
      <c r="J52" s="26">
        <f t="shared" si="5"/>
        <v>0.25324686105515676</v>
      </c>
      <c r="L52" s="22">
        <f t="shared" si="18"/>
        <v>163183.00843630769</v>
      </c>
      <c r="M52" s="5">
        <f>scrimecost*Meta!O49</f>
        <v>422.25600000000003</v>
      </c>
      <c r="N52" s="5">
        <f>L52-Grade15!L52</f>
        <v>4398.1545209662581</v>
      </c>
      <c r="O52" s="5">
        <f>Grade15!M52-M52</f>
        <v>7.0679999999999836</v>
      </c>
      <c r="P52" s="22">
        <f t="shared" si="12"/>
        <v>335.15709264822493</v>
      </c>
      <c r="Q52" s="22"/>
      <c r="R52" s="22"/>
      <c r="S52" s="22">
        <f t="shared" si="19"/>
        <v>3172.7344467501434</v>
      </c>
      <c r="T52" s="22">
        <f t="shared" si="20"/>
        <v>1562.8792486381572</v>
      </c>
    </row>
    <row r="53" spans="1:20" x14ac:dyDescent="0.2">
      <c r="A53" s="5">
        <v>62</v>
      </c>
      <c r="B53" s="1">
        <f t="shared" si="13"/>
        <v>2.6850638383899672</v>
      </c>
      <c r="C53" s="5">
        <f t="shared" si="14"/>
        <v>121084.14984146108</v>
      </c>
      <c r="D53" s="5">
        <f t="shared" si="15"/>
        <v>117497.6887468514</v>
      </c>
      <c r="E53" s="5">
        <f t="shared" si="1"/>
        <v>107997.6887468514</v>
      </c>
      <c r="F53" s="5">
        <f t="shared" si="2"/>
        <v>42981.43821063287</v>
      </c>
      <c r="G53" s="5">
        <f t="shared" si="3"/>
        <v>74516.250536218533</v>
      </c>
      <c r="H53" s="22">
        <f t="shared" si="16"/>
        <v>52065.522671184226</v>
      </c>
      <c r="I53" s="5">
        <f t="shared" si="17"/>
        <v>124811.5454365825</v>
      </c>
      <c r="J53" s="26">
        <f t="shared" si="5"/>
        <v>0.25379877127911149</v>
      </c>
      <c r="L53" s="22">
        <f t="shared" si="18"/>
        <v>167262.58364721539</v>
      </c>
      <c r="M53" s="5">
        <f>scrimecost*Meta!O50</f>
        <v>422.25600000000003</v>
      </c>
      <c r="N53" s="5">
        <f>L53-Grade15!L53</f>
        <v>4508.1083839904168</v>
      </c>
      <c r="O53" s="5">
        <f>Grade15!M53-M53</f>
        <v>7.0679999999999836</v>
      </c>
      <c r="P53" s="22">
        <f t="shared" si="12"/>
        <v>343.03526747443038</v>
      </c>
      <c r="Q53" s="22"/>
      <c r="R53" s="22"/>
      <c r="S53" s="22">
        <f t="shared" si="19"/>
        <v>3251.5277822391481</v>
      </c>
      <c r="T53" s="22">
        <f t="shared" si="20"/>
        <v>1573.5895493616249</v>
      </c>
    </row>
    <row r="54" spans="1:20" x14ac:dyDescent="0.2">
      <c r="A54" s="5">
        <v>63</v>
      </c>
      <c r="B54" s="1">
        <f t="shared" si="13"/>
        <v>2.7521904343497163</v>
      </c>
      <c r="C54" s="5">
        <f t="shared" si="14"/>
        <v>124111.2535874976</v>
      </c>
      <c r="D54" s="5">
        <f t="shared" si="15"/>
        <v>120421.87096552267</v>
      </c>
      <c r="E54" s="5">
        <f t="shared" si="1"/>
        <v>110921.87096552267</v>
      </c>
      <c r="F54" s="5">
        <f t="shared" si="2"/>
        <v>44135.028095898691</v>
      </c>
      <c r="G54" s="5">
        <f t="shared" si="3"/>
        <v>76286.842869623972</v>
      </c>
      <c r="H54" s="22">
        <f t="shared" si="16"/>
        <v>53367.16073796383</v>
      </c>
      <c r="I54" s="5">
        <f t="shared" si="17"/>
        <v>127839.52014249703</v>
      </c>
      <c r="J54" s="26">
        <f t="shared" si="5"/>
        <v>0.25433722027809186</v>
      </c>
      <c r="L54" s="22">
        <f t="shared" si="18"/>
        <v>171444.14823839575</v>
      </c>
      <c r="M54" s="5">
        <f>scrimecost*Meta!O51</f>
        <v>422.25600000000003</v>
      </c>
      <c r="N54" s="5">
        <f>L54-Grade15!L54</f>
        <v>4620.8110935901932</v>
      </c>
      <c r="O54" s="5">
        <f>Grade15!M54-M54</f>
        <v>7.0679999999999836</v>
      </c>
      <c r="P54" s="22">
        <f t="shared" si="12"/>
        <v>351.11039667129114</v>
      </c>
      <c r="Q54" s="22"/>
      <c r="R54" s="22"/>
      <c r="S54" s="22">
        <f t="shared" si="19"/>
        <v>3332.2909511153871</v>
      </c>
      <c r="T54" s="22">
        <f t="shared" si="20"/>
        <v>1584.3794464587645</v>
      </c>
    </row>
    <row r="55" spans="1:20" x14ac:dyDescent="0.2">
      <c r="A55" s="5">
        <v>64</v>
      </c>
      <c r="B55" s="1">
        <f t="shared" si="13"/>
        <v>2.8209951952084591</v>
      </c>
      <c r="C55" s="5">
        <f t="shared" si="14"/>
        <v>127214.03492718503</v>
      </c>
      <c r="D55" s="5">
        <f t="shared" si="15"/>
        <v>123419.15773966073</v>
      </c>
      <c r="E55" s="5">
        <f t="shared" si="1"/>
        <v>113919.15773966073</v>
      </c>
      <c r="F55" s="5">
        <f t="shared" si="2"/>
        <v>45317.457728296155</v>
      </c>
      <c r="G55" s="5">
        <f t="shared" si="3"/>
        <v>78101.700011364577</v>
      </c>
      <c r="H55" s="22">
        <f t="shared" si="16"/>
        <v>54701.339756412926</v>
      </c>
      <c r="I55" s="5">
        <f t="shared" si="17"/>
        <v>130943.19421605946</v>
      </c>
      <c r="J55" s="26">
        <f t="shared" si="5"/>
        <v>0.25486253637465806</v>
      </c>
      <c r="L55" s="22">
        <f t="shared" si="18"/>
        <v>175730.25194435564</v>
      </c>
      <c r="M55" s="5">
        <f>scrimecost*Meta!O52</f>
        <v>422.25600000000003</v>
      </c>
      <c r="N55" s="5">
        <f>L55-Grade15!L55</f>
        <v>4736.3313709298964</v>
      </c>
      <c r="O55" s="5">
        <f>Grade15!M55-M55</f>
        <v>7.0679999999999836</v>
      </c>
      <c r="P55" s="22">
        <f t="shared" si="12"/>
        <v>359.38740409807343</v>
      </c>
      <c r="Q55" s="22"/>
      <c r="R55" s="22"/>
      <c r="S55" s="22">
        <f t="shared" si="19"/>
        <v>3415.0731992134884</v>
      </c>
      <c r="T55" s="22">
        <f t="shared" si="20"/>
        <v>1595.249420115618</v>
      </c>
    </row>
    <row r="56" spans="1:20" x14ac:dyDescent="0.2">
      <c r="A56" s="5">
        <v>65</v>
      </c>
      <c r="B56" s="1">
        <f t="shared" si="13"/>
        <v>2.8915200750886707</v>
      </c>
      <c r="C56" s="5">
        <f t="shared" si="14"/>
        <v>130394.38580036466</v>
      </c>
      <c r="D56" s="5">
        <f t="shared" si="15"/>
        <v>126491.37668315225</v>
      </c>
      <c r="E56" s="5">
        <f t="shared" si="1"/>
        <v>116991.37668315225</v>
      </c>
      <c r="F56" s="5">
        <f t="shared" si="2"/>
        <v>46529.448101503564</v>
      </c>
      <c r="G56" s="5">
        <f t="shared" si="3"/>
        <v>79961.928581648681</v>
      </c>
      <c r="H56" s="22">
        <f t="shared" si="16"/>
        <v>56068.873250323253</v>
      </c>
      <c r="I56" s="5">
        <f t="shared" si="17"/>
        <v>134124.46014146094</v>
      </c>
      <c r="J56" s="26">
        <f t="shared" si="5"/>
        <v>0.25537503988350313</v>
      </c>
      <c r="L56" s="22">
        <f t="shared" si="18"/>
        <v>180123.50824296454</v>
      </c>
      <c r="M56" s="5">
        <f>scrimecost*Meta!O53</f>
        <v>133.34399999999999</v>
      </c>
      <c r="N56" s="5">
        <f>L56-Grade15!L56</f>
        <v>4854.7396552032151</v>
      </c>
      <c r="O56" s="5">
        <f>Grade15!M56-M56</f>
        <v>2.2319999999999993</v>
      </c>
      <c r="P56" s="22">
        <f t="shared" si="12"/>
        <v>367.87133671052538</v>
      </c>
      <c r="Q56" s="22"/>
      <c r="R56" s="22"/>
      <c r="S56" s="22">
        <f t="shared" si="19"/>
        <v>3496.1771035141228</v>
      </c>
      <c r="T56" s="22">
        <f t="shared" si="20"/>
        <v>1604.4799536005723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133.34399999999999</v>
      </c>
      <c r="N57" s="5">
        <f>L57-Grade15!L57</f>
        <v>0</v>
      </c>
      <c r="O57" s="5">
        <f>Grade15!M57-M57</f>
        <v>2.2319999999999993</v>
      </c>
      <c r="Q57" s="22"/>
      <c r="R57" s="22"/>
      <c r="S57" s="22">
        <f t="shared" si="19"/>
        <v>1.7297999999999996</v>
      </c>
      <c r="T57" s="22">
        <f t="shared" si="20"/>
        <v>0.77991820239486775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133.34399999999999</v>
      </c>
      <c r="N58" s="5">
        <f>L58-Grade15!L58</f>
        <v>0</v>
      </c>
      <c r="O58" s="5">
        <f>Grade15!M58-M58</f>
        <v>2.2319999999999993</v>
      </c>
      <c r="Q58" s="22"/>
      <c r="R58" s="22"/>
      <c r="S58" s="22">
        <f t="shared" si="19"/>
        <v>1.7297999999999996</v>
      </c>
      <c r="T58" s="22">
        <f t="shared" si="20"/>
        <v>0.76623387641392959</v>
      </c>
    </row>
    <row r="59" spans="1:20" x14ac:dyDescent="0.2">
      <c r="A59" s="5">
        <v>68</v>
      </c>
      <c r="H59" s="21"/>
      <c r="I59" s="5"/>
      <c r="M59" s="5">
        <f>scrimecost*Meta!O56</f>
        <v>133.34399999999999</v>
      </c>
      <c r="N59" s="5">
        <f>L59-Grade15!L59</f>
        <v>0</v>
      </c>
      <c r="O59" s="5">
        <f>Grade15!M59-M59</f>
        <v>2.2319999999999993</v>
      </c>
      <c r="Q59" s="22"/>
      <c r="R59" s="22"/>
      <c r="S59" s="22">
        <f t="shared" si="19"/>
        <v>1.7297999999999996</v>
      </c>
      <c r="T59" s="22">
        <f t="shared" si="20"/>
        <v>0.75278965353223637</v>
      </c>
    </row>
    <row r="60" spans="1:20" x14ac:dyDescent="0.2">
      <c r="A60" s="5">
        <v>69</v>
      </c>
      <c r="H60" s="21"/>
      <c r="I60" s="5"/>
      <c r="M60" s="5">
        <f>scrimecost*Meta!O57</f>
        <v>133.34399999999999</v>
      </c>
      <c r="N60" s="5">
        <f>L60-Grade15!L60</f>
        <v>0</v>
      </c>
      <c r="O60" s="5">
        <f>Grade15!M60-M60</f>
        <v>2.2319999999999993</v>
      </c>
      <c r="Q60" s="22"/>
      <c r="R60" s="22"/>
      <c r="S60" s="22">
        <f t="shared" si="19"/>
        <v>1.7297999999999996</v>
      </c>
      <c r="T60" s="22">
        <f t="shared" si="20"/>
        <v>0.73958132093738171</v>
      </c>
    </row>
    <row r="61" spans="1:20" x14ac:dyDescent="0.2">
      <c r="A61" s="5">
        <v>70</v>
      </c>
      <c r="H61" s="21"/>
      <c r="I61" s="5"/>
      <c r="M61" s="5">
        <f>scrimecost*Meta!O58</f>
        <v>133.34399999999999</v>
      </c>
      <c r="N61" s="5">
        <f>L61-Grade15!L61</f>
        <v>0</v>
      </c>
      <c r="O61" s="5">
        <f>Grade15!M61-M61</f>
        <v>2.2319999999999993</v>
      </c>
      <c r="Q61" s="22"/>
      <c r="R61" s="22"/>
      <c r="S61" s="22">
        <f t="shared" si="19"/>
        <v>1.7297999999999996</v>
      </c>
      <c r="T61" s="22">
        <f t="shared" si="20"/>
        <v>0.72660473973432382</v>
      </c>
    </row>
    <row r="62" spans="1:20" x14ac:dyDescent="0.2">
      <c r="A62" s="5">
        <v>71</v>
      </c>
      <c r="H62" s="21"/>
      <c r="I62" s="5"/>
      <c r="M62" s="5">
        <f>scrimecost*Meta!O59</f>
        <v>133.34399999999999</v>
      </c>
      <c r="N62" s="5">
        <f>L62-Grade15!L62</f>
        <v>0</v>
      </c>
      <c r="O62" s="5">
        <f>Grade15!M62-M62</f>
        <v>2.2319999999999993</v>
      </c>
      <c r="Q62" s="22"/>
      <c r="R62" s="22"/>
      <c r="S62" s="22">
        <f t="shared" si="19"/>
        <v>1.7297999999999996</v>
      </c>
      <c r="T62" s="22">
        <f t="shared" si="20"/>
        <v>0.71385584364844279</v>
      </c>
    </row>
    <row r="63" spans="1:20" x14ac:dyDescent="0.2">
      <c r="A63" s="5">
        <v>72</v>
      </c>
      <c r="H63" s="21"/>
      <c r="M63" s="5">
        <f>scrimecost*Meta!O60</f>
        <v>133.34399999999999</v>
      </c>
      <c r="N63" s="5">
        <f>L63-Grade15!L63</f>
        <v>0</v>
      </c>
      <c r="O63" s="5">
        <f>Grade15!M63-M63</f>
        <v>2.2319999999999993</v>
      </c>
      <c r="Q63" s="22"/>
      <c r="R63" s="22"/>
      <c r="S63" s="22">
        <f t="shared" si="19"/>
        <v>1.7297999999999996</v>
      </c>
      <c r="T63" s="22">
        <f t="shared" si="20"/>
        <v>0.70133063775135429</v>
      </c>
    </row>
    <row r="64" spans="1:20" x14ac:dyDescent="0.2">
      <c r="A64" s="5">
        <v>73</v>
      </c>
      <c r="H64" s="21"/>
      <c r="M64" s="5">
        <f>scrimecost*Meta!O61</f>
        <v>133.34399999999999</v>
      </c>
      <c r="N64" s="5">
        <f>L64-Grade15!L64</f>
        <v>0</v>
      </c>
      <c r="O64" s="5">
        <f>Grade15!M64-M64</f>
        <v>2.2319999999999993</v>
      </c>
      <c r="Q64" s="22"/>
      <c r="R64" s="22"/>
      <c r="S64" s="22">
        <f t="shared" si="19"/>
        <v>1.7297999999999996</v>
      </c>
      <c r="T64" s="22">
        <f t="shared" si="20"/>
        <v>0.6890251972090784</v>
      </c>
    </row>
    <row r="65" spans="1:20" x14ac:dyDescent="0.2">
      <c r="A65" s="5">
        <v>74</v>
      </c>
      <c r="H65" s="21"/>
      <c r="M65" s="5">
        <f>scrimecost*Meta!O62</f>
        <v>133.34399999999999</v>
      </c>
      <c r="N65" s="5">
        <f>L65-Grade15!L65</f>
        <v>0</v>
      </c>
      <c r="O65" s="5">
        <f>Grade15!M65-M65</f>
        <v>2.2319999999999993</v>
      </c>
      <c r="Q65" s="22"/>
      <c r="R65" s="22"/>
      <c r="S65" s="22">
        <f t="shared" si="19"/>
        <v>1.7297999999999996</v>
      </c>
      <c r="T65" s="22">
        <f t="shared" si="20"/>
        <v>0.67693566605217459</v>
      </c>
    </row>
    <row r="66" spans="1:20" x14ac:dyDescent="0.2">
      <c r="A66" s="5">
        <v>75</v>
      </c>
      <c r="H66" s="21"/>
      <c r="M66" s="5">
        <f>scrimecost*Meta!O63</f>
        <v>133.34399999999999</v>
      </c>
      <c r="N66" s="5">
        <f>L66-Grade15!L66</f>
        <v>0</v>
      </c>
      <c r="O66" s="5">
        <f>Grade15!M66-M66</f>
        <v>2.2319999999999993</v>
      </c>
      <c r="Q66" s="22"/>
      <c r="R66" s="22"/>
      <c r="S66" s="22">
        <f t="shared" si="19"/>
        <v>1.7297999999999996</v>
      </c>
      <c r="T66" s="22">
        <f t="shared" si="20"/>
        <v>0.6650582559674546</v>
      </c>
    </row>
    <row r="67" spans="1:20" x14ac:dyDescent="0.2">
      <c r="A67" s="5">
        <v>76</v>
      </c>
      <c r="H67" s="21"/>
      <c r="M67" s="5">
        <f>scrimecost*Meta!O64</f>
        <v>133.34399999999999</v>
      </c>
      <c r="N67" s="5">
        <f>L67-Grade15!L67</f>
        <v>0</v>
      </c>
      <c r="O67" s="5">
        <f>Grade15!M67-M67</f>
        <v>2.2319999999999993</v>
      </c>
      <c r="Q67" s="22"/>
      <c r="R67" s="22"/>
      <c r="S67" s="22">
        <f t="shared" si="19"/>
        <v>1.7297999999999996</v>
      </c>
      <c r="T67" s="22">
        <f t="shared" si="20"/>
        <v>0.65338924511089669</v>
      </c>
    </row>
    <row r="68" spans="1:20" x14ac:dyDescent="0.2">
      <c r="A68" s="5">
        <v>77</v>
      </c>
      <c r="H68" s="21"/>
      <c r="M68" s="5">
        <f>scrimecost*Meta!O65</f>
        <v>133.34399999999999</v>
      </c>
      <c r="N68" s="5">
        <f>L68-Grade15!L68</f>
        <v>0</v>
      </c>
      <c r="O68" s="5">
        <f>Grade15!M68-M68</f>
        <v>2.2319999999999993</v>
      </c>
      <c r="Q68" s="22"/>
      <c r="R68" s="22"/>
      <c r="S68" s="22">
        <f t="shared" si="19"/>
        <v>1.7297999999999996</v>
      </c>
      <c r="T68" s="22">
        <f t="shared" si="20"/>
        <v>0.64192497694138706</v>
      </c>
    </row>
    <row r="69" spans="1:20" x14ac:dyDescent="0.2">
      <c r="A69" s="5">
        <v>78</v>
      </c>
      <c r="H69" s="21"/>
      <c r="M69" s="5">
        <f>scrimecost*Meta!O66</f>
        <v>133.34399999999999</v>
      </c>
      <c r="N69" s="5">
        <f>L69-Grade15!L69</f>
        <v>0</v>
      </c>
      <c r="O69" s="5">
        <f>Grade15!M69-M69</f>
        <v>2.2319999999999993</v>
      </c>
      <c r="Q69" s="22"/>
      <c r="R69" s="22"/>
      <c r="S69" s="22">
        <f t="shared" si="19"/>
        <v>1.7297999999999996</v>
      </c>
      <c r="T69" s="22">
        <f t="shared" si="20"/>
        <v>0.63066185907492567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-2.5093659483665931E-8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Meta!A11+6</f>
        <v>23</v>
      </c>
      <c r="C2" s="7">
        <f>Meta!B11</f>
        <v>82413</v>
      </c>
      <c r="D2" s="7">
        <f>Meta!C11</f>
        <v>35289</v>
      </c>
      <c r="E2" s="1">
        <f>Meta!D11</f>
        <v>3.4000000000000002E-2</v>
      </c>
      <c r="F2" s="1">
        <f>Meta!F11</f>
        <v>0.85299999999999998</v>
      </c>
      <c r="G2" s="1">
        <f>Meta!I11</f>
        <v>1.7595535582220223</v>
      </c>
      <c r="H2" s="1">
        <f>Meta!E11</f>
        <v>0.52100000000000002</v>
      </c>
      <c r="I2" s="13"/>
      <c r="J2" s="1">
        <f>Meta!X10</f>
        <v>0.85299999999999998</v>
      </c>
      <c r="K2" s="1">
        <f>Meta!D10</f>
        <v>3.4000000000000002E-2</v>
      </c>
      <c r="L2" s="29"/>
      <c r="N2" s="22">
        <f>Meta!T11</f>
        <v>82413</v>
      </c>
      <c r="O2" s="22">
        <f>Meta!U11</f>
        <v>35289</v>
      </c>
      <c r="P2" s="1">
        <f>Meta!V11</f>
        <v>3.4000000000000002E-2</v>
      </c>
      <c r="Q2" s="1">
        <f>Meta!X11</f>
        <v>0.85299999999999998</v>
      </c>
      <c r="R2" s="22">
        <f>Meta!W11</f>
        <v>1852</v>
      </c>
      <c r="T2" s="12">
        <f>IRR(S5:S69)+1</f>
        <v>0.96764989434238147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B13" s="1">
        <v>1</v>
      </c>
      <c r="C13" s="5">
        <f>0.1*Grade16!C13</f>
        <v>4509.5445445373925</v>
      </c>
      <c r="D13" s="5">
        <f t="shared" ref="D13:D36" si="0">IF(A13&lt;startage,1,0)*(C13*(1-initialunempprob))+IF(A13=startage,1,0)*(C13*(1-unempprob))+IF(A13&gt;startage,1,0)*(C13*(1-unempprob)+unempprob*300*52)</f>
        <v>4356.2200300231207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333.25083229676875</v>
      </c>
      <c r="G13" s="5">
        <f t="shared" ref="G13:G56" si="3">D13-F13</f>
        <v>4022.9691977263519</v>
      </c>
      <c r="H13" s="22">
        <f>0.1*Grade16!H13</f>
        <v>1939.0795081581391</v>
      </c>
      <c r="I13" s="5">
        <f t="shared" ref="I13:I36" si="4">G13+IF(A13&lt;startage,1,0)*(H13*(1-initialunempprob))+IF(A13&gt;=startage,1,0)*(H13*(1-unempprob))</f>
        <v>5896.1200026071147</v>
      </c>
      <c r="J13" s="26">
        <f t="shared" ref="J13:J56" si="5">(F13-(IF(A13&gt;startage,1,0)*(unempprob*300*52)))/(IF(A13&lt;startage,1,0)*((C13+H13)*(1-initialunempprob))+IF(A13&gt;=startage,1,0)*((C13+H13)*(1-unempprob)))</f>
        <v>5.3496707954762607E-2</v>
      </c>
      <c r="L13" s="22">
        <f>0.1*Grade16!L13</f>
        <v>6229.3708349038834</v>
      </c>
      <c r="M13" s="5">
        <f>scrimecost*Meta!O10</f>
        <v>5085.5919999999996</v>
      </c>
      <c r="N13" s="5">
        <f>L13-Grade16!L13</f>
        <v>-56064.337514134946</v>
      </c>
      <c r="O13" s="5"/>
      <c r="P13" s="22"/>
      <c r="Q13" s="22">
        <f>0.05*feel*Grade16!G13</f>
        <v>449.94798663088017</v>
      </c>
      <c r="R13" s="22">
        <f>coltuition</f>
        <v>8279</v>
      </c>
      <c r="S13" s="22">
        <f t="shared" ref="S13:S44" si="6">IF(A13&lt;startage,1,0)*(N13-Q13-R13)+IF(A13&gt;=startage,1,0)*completionprob*(N13*spart+O13+P13)</f>
        <v>-64793.285500765829</v>
      </c>
      <c r="T13" s="22">
        <f t="shared" ref="T13:T44" si="7">S13/sreturn^(A13-startage+1)</f>
        <v>-64793.285500765829</v>
      </c>
    </row>
    <row r="14" spans="1:20" x14ac:dyDescent="0.2">
      <c r="A14" s="5">
        <v>23</v>
      </c>
      <c r="B14" s="1">
        <f t="shared" ref="B14:B36" si="8">(1+experiencepremium)^(A14-startage)</f>
        <v>1</v>
      </c>
      <c r="C14" s="5">
        <f t="shared" ref="C14:C36" si="9">pretaxincome*B14/expnorm</f>
        <v>46837.448973861268</v>
      </c>
      <c r="D14" s="5">
        <f t="shared" si="0"/>
        <v>45244.975708749982</v>
      </c>
      <c r="E14" s="5">
        <f t="shared" si="1"/>
        <v>35744.975708749982</v>
      </c>
      <c r="F14" s="5">
        <f t="shared" si="2"/>
        <v>12096.982139781867</v>
      </c>
      <c r="G14" s="5">
        <f t="shared" si="3"/>
        <v>33147.993568968115</v>
      </c>
      <c r="H14" s="22">
        <f t="shared" ref="H14:H36" si="10">benefits*B14/expnorm</f>
        <v>20055.655501420773</v>
      </c>
      <c r="I14" s="5">
        <f t="shared" si="4"/>
        <v>52521.756783340577</v>
      </c>
      <c r="J14" s="26">
        <f t="shared" si="5"/>
        <v>0.18720548158907535</v>
      </c>
      <c r="L14" s="22">
        <f t="shared" ref="L14:L36" si="11">(sincome+sbenefits)*(1-sunemp)*B14/expnorm</f>
        <v>64618.738923122452</v>
      </c>
      <c r="M14" s="5">
        <f>scrimecost*Meta!O11</f>
        <v>4741.12</v>
      </c>
      <c r="N14" s="5">
        <f>L14-Grade16!L14</f>
        <v>767.68786535764957</v>
      </c>
      <c r="O14" s="5">
        <f>Grade16!M14-M14</f>
        <v>0</v>
      </c>
      <c r="P14" s="22">
        <f t="shared" ref="P14:P56" si="12">(spart-initialspart)*(L14*J14+nptrans)</f>
        <v>0</v>
      </c>
      <c r="Q14" s="22"/>
      <c r="R14" s="22"/>
      <c r="S14" s="22">
        <f t="shared" si="6"/>
        <v>341.17046730718914</v>
      </c>
      <c r="T14" s="22">
        <f t="shared" si="7"/>
        <v>352.57634946475127</v>
      </c>
    </row>
    <row r="15" spans="1:20" x14ac:dyDescent="0.2">
      <c r="A15" s="5">
        <v>24</v>
      </c>
      <c r="B15" s="1">
        <f t="shared" si="8"/>
        <v>1.0249999999999999</v>
      </c>
      <c r="C15" s="5">
        <f t="shared" si="9"/>
        <v>48008.385198207798</v>
      </c>
      <c r="D15" s="5">
        <f t="shared" si="0"/>
        <v>46906.50010146873</v>
      </c>
      <c r="E15" s="5">
        <f t="shared" si="1"/>
        <v>37406.50010146873</v>
      </c>
      <c r="F15" s="5">
        <f t="shared" si="2"/>
        <v>12805.622293276414</v>
      </c>
      <c r="G15" s="5">
        <f t="shared" si="3"/>
        <v>34100.877808192316</v>
      </c>
      <c r="H15" s="22">
        <f t="shared" si="10"/>
        <v>20557.046888956294</v>
      </c>
      <c r="I15" s="5">
        <f t="shared" si="4"/>
        <v>53958.985102924096</v>
      </c>
      <c r="J15" s="26">
        <f t="shared" si="5"/>
        <v>0.18533055313621186</v>
      </c>
      <c r="L15" s="22">
        <f t="shared" si="11"/>
        <v>66234.207396200509</v>
      </c>
      <c r="M15" s="5">
        <f>scrimecost*Meta!O12</f>
        <v>4522.5840000000007</v>
      </c>
      <c r="N15" s="5">
        <f>L15-Grade16!L15</f>
        <v>786.88006199158553</v>
      </c>
      <c r="O15" s="5">
        <f>Grade16!M15-M15</f>
        <v>0</v>
      </c>
      <c r="P15" s="22">
        <f t="shared" si="12"/>
        <v>0</v>
      </c>
      <c r="Q15" s="22"/>
      <c r="R15" s="22"/>
      <c r="S15" s="22">
        <f t="shared" si="6"/>
        <v>349.69972898986651</v>
      </c>
      <c r="T15" s="22">
        <f t="shared" si="7"/>
        <v>373.4726374842113</v>
      </c>
    </row>
    <row r="16" spans="1:20" x14ac:dyDescent="0.2">
      <c r="A16" s="5">
        <v>25</v>
      </c>
      <c r="B16" s="1">
        <f t="shared" si="8"/>
        <v>1.0506249999999999</v>
      </c>
      <c r="C16" s="5">
        <f t="shared" si="9"/>
        <v>49208.59482816299</v>
      </c>
      <c r="D16" s="5">
        <f t="shared" si="0"/>
        <v>48065.902604005445</v>
      </c>
      <c r="E16" s="5">
        <f t="shared" si="1"/>
        <v>38565.902604005445</v>
      </c>
      <c r="F16" s="5">
        <f t="shared" si="2"/>
        <v>13300.107460608322</v>
      </c>
      <c r="G16" s="5">
        <f t="shared" si="3"/>
        <v>34765.795143397125</v>
      </c>
      <c r="H16" s="22">
        <f t="shared" si="10"/>
        <v>21070.973061180201</v>
      </c>
      <c r="I16" s="5">
        <f t="shared" si="4"/>
        <v>55120.355120497203</v>
      </c>
      <c r="J16" s="26">
        <f t="shared" si="5"/>
        <v>0.18809391205602244</v>
      </c>
      <c r="L16" s="22">
        <f t="shared" si="11"/>
        <v>67890.062581105522</v>
      </c>
      <c r="M16" s="5">
        <f>scrimecost*Meta!O13</f>
        <v>3765.116</v>
      </c>
      <c r="N16" s="5">
        <f>L16-Grade16!L16</f>
        <v>806.552063541385</v>
      </c>
      <c r="O16" s="5">
        <f>Grade16!M16-M16</f>
        <v>0</v>
      </c>
      <c r="P16" s="22">
        <f t="shared" si="12"/>
        <v>0</v>
      </c>
      <c r="Q16" s="22"/>
      <c r="R16" s="22"/>
      <c r="S16" s="22">
        <f t="shared" si="6"/>
        <v>358.44222221461752</v>
      </c>
      <c r="T16" s="22">
        <f t="shared" si="7"/>
        <v>395.60739443006918</v>
      </c>
    </row>
    <row r="17" spans="1:20" x14ac:dyDescent="0.2">
      <c r="A17" s="5">
        <v>26</v>
      </c>
      <c r="B17" s="1">
        <f t="shared" si="8"/>
        <v>1.0768906249999999</v>
      </c>
      <c r="C17" s="5">
        <f t="shared" si="9"/>
        <v>50438.809698867066</v>
      </c>
      <c r="D17" s="5">
        <f t="shared" si="0"/>
        <v>49254.290169105589</v>
      </c>
      <c r="E17" s="5">
        <f t="shared" si="1"/>
        <v>39754.290169105589</v>
      </c>
      <c r="F17" s="5">
        <f t="shared" si="2"/>
        <v>13806.954757123534</v>
      </c>
      <c r="G17" s="5">
        <f t="shared" si="3"/>
        <v>35447.335411982058</v>
      </c>
      <c r="H17" s="22">
        <f t="shared" si="10"/>
        <v>21597.747387709704</v>
      </c>
      <c r="I17" s="5">
        <f t="shared" si="4"/>
        <v>56310.759388509628</v>
      </c>
      <c r="J17" s="26">
        <f t="shared" si="5"/>
        <v>0.19078987197778902</v>
      </c>
      <c r="L17" s="22">
        <f t="shared" si="11"/>
        <v>69587.31414563315</v>
      </c>
      <c r="M17" s="5">
        <f>scrimecost*Meta!O14</f>
        <v>3765.116</v>
      </c>
      <c r="N17" s="5">
        <f>L17-Grade16!L17</f>
        <v>826.71586512991053</v>
      </c>
      <c r="O17" s="5">
        <f>Grade16!M17-M17</f>
        <v>0</v>
      </c>
      <c r="P17" s="22">
        <f t="shared" si="12"/>
        <v>0</v>
      </c>
      <c r="Q17" s="22"/>
      <c r="R17" s="22"/>
      <c r="S17" s="22">
        <f t="shared" si="6"/>
        <v>367.40327776997896</v>
      </c>
      <c r="T17" s="22">
        <f t="shared" si="7"/>
        <v>419.0540211513113</v>
      </c>
    </row>
    <row r="18" spans="1:20" x14ac:dyDescent="0.2">
      <c r="A18" s="5">
        <v>27</v>
      </c>
      <c r="B18" s="1">
        <f t="shared" si="8"/>
        <v>1.1038128906249998</v>
      </c>
      <c r="C18" s="5">
        <f t="shared" si="9"/>
        <v>51699.779941338733</v>
      </c>
      <c r="D18" s="5">
        <f t="shared" si="0"/>
        <v>50472.387423333217</v>
      </c>
      <c r="E18" s="5">
        <f t="shared" si="1"/>
        <v>40972.387423333217</v>
      </c>
      <c r="F18" s="5">
        <f t="shared" si="2"/>
        <v>14326.473236051617</v>
      </c>
      <c r="G18" s="5">
        <f t="shared" si="3"/>
        <v>36145.914187281596</v>
      </c>
      <c r="H18" s="22">
        <f t="shared" si="10"/>
        <v>22137.691072402442</v>
      </c>
      <c r="I18" s="5">
        <f t="shared" si="4"/>
        <v>57530.923763222352</v>
      </c>
      <c r="J18" s="26">
        <f t="shared" si="5"/>
        <v>0.19342007677951231</v>
      </c>
      <c r="L18" s="22">
        <f t="shared" si="11"/>
        <v>71326.996999273979</v>
      </c>
      <c r="M18" s="5">
        <f>scrimecost*Meta!O15</f>
        <v>3765.116</v>
      </c>
      <c r="N18" s="5">
        <f>L18-Grade16!L18</f>
        <v>847.38376175815938</v>
      </c>
      <c r="O18" s="5">
        <f>Grade16!M18-M18</f>
        <v>0</v>
      </c>
      <c r="P18" s="22">
        <f t="shared" si="12"/>
        <v>0</v>
      </c>
      <c r="Q18" s="22"/>
      <c r="R18" s="22"/>
      <c r="S18" s="22">
        <f t="shared" si="6"/>
        <v>376.58835971422889</v>
      </c>
      <c r="T18" s="22">
        <f t="shared" si="7"/>
        <v>443.89026877536639</v>
      </c>
    </row>
    <row r="19" spans="1:20" x14ac:dyDescent="0.2">
      <c r="A19" s="5">
        <v>28</v>
      </c>
      <c r="B19" s="1">
        <f t="shared" si="8"/>
        <v>1.1314082128906247</v>
      </c>
      <c r="C19" s="5">
        <f t="shared" si="9"/>
        <v>52992.274439872199</v>
      </c>
      <c r="D19" s="5">
        <f t="shared" si="0"/>
        <v>51720.937108916543</v>
      </c>
      <c r="E19" s="5">
        <f t="shared" si="1"/>
        <v>42220.937108916543</v>
      </c>
      <c r="F19" s="5">
        <f t="shared" si="2"/>
        <v>14858.979676952904</v>
      </c>
      <c r="G19" s="5">
        <f t="shared" si="3"/>
        <v>36861.957431963638</v>
      </c>
      <c r="H19" s="22">
        <f t="shared" si="10"/>
        <v>22691.133349212505</v>
      </c>
      <c r="I19" s="5">
        <f t="shared" si="4"/>
        <v>58781.59224730292</v>
      </c>
      <c r="J19" s="26">
        <f t="shared" si="5"/>
        <v>0.19598613024460823</v>
      </c>
      <c r="L19" s="22">
        <f t="shared" si="11"/>
        <v>73110.171924255817</v>
      </c>
      <c r="M19" s="5">
        <f>scrimecost*Meta!O16</f>
        <v>3765.116</v>
      </c>
      <c r="N19" s="5">
        <f>L19-Grade16!L19</f>
        <v>868.56835580211191</v>
      </c>
      <c r="O19" s="5">
        <f>Grade16!M19-M19</f>
        <v>0</v>
      </c>
      <c r="P19" s="22">
        <f t="shared" si="12"/>
        <v>0</v>
      </c>
      <c r="Q19" s="22"/>
      <c r="R19" s="22"/>
      <c r="S19" s="22">
        <f t="shared" si="6"/>
        <v>386.00306870708397</v>
      </c>
      <c r="T19" s="22">
        <f t="shared" si="7"/>
        <v>470.19849653780108</v>
      </c>
    </row>
    <row r="20" spans="1:20" x14ac:dyDescent="0.2">
      <c r="A20" s="5">
        <v>29</v>
      </c>
      <c r="B20" s="1">
        <f t="shared" si="8"/>
        <v>1.1596934182128902</v>
      </c>
      <c r="C20" s="5">
        <f t="shared" si="9"/>
        <v>54317.081300868995</v>
      </c>
      <c r="D20" s="5">
        <f t="shared" si="0"/>
        <v>53000.700536639451</v>
      </c>
      <c r="E20" s="5">
        <f t="shared" si="1"/>
        <v>43500.700536639451</v>
      </c>
      <c r="F20" s="5">
        <f t="shared" si="2"/>
        <v>15404.798778876726</v>
      </c>
      <c r="G20" s="5">
        <f t="shared" si="3"/>
        <v>37595.901757762724</v>
      </c>
      <c r="H20" s="22">
        <f t="shared" si="10"/>
        <v>23258.411682942817</v>
      </c>
      <c r="I20" s="5">
        <f t="shared" si="4"/>
        <v>60063.52744348548</v>
      </c>
      <c r="J20" s="26">
        <f t="shared" si="5"/>
        <v>0.19848959703982388</v>
      </c>
      <c r="L20" s="22">
        <f t="shared" si="11"/>
        <v>74937.926222362206</v>
      </c>
      <c r="M20" s="5">
        <f>scrimecost*Meta!O17</f>
        <v>3765.116</v>
      </c>
      <c r="N20" s="5">
        <f>L20-Grade16!L20</f>
        <v>890.28256469716143</v>
      </c>
      <c r="O20" s="5">
        <f>Grade16!M20-M20</f>
        <v>0</v>
      </c>
      <c r="P20" s="22">
        <f t="shared" si="12"/>
        <v>0</v>
      </c>
      <c r="Q20" s="22"/>
      <c r="R20" s="22"/>
      <c r="S20" s="22">
        <f t="shared" si="6"/>
        <v>395.6531454247596</v>
      </c>
      <c r="T20" s="22">
        <f t="shared" si="7"/>
        <v>498.06594489299431</v>
      </c>
    </row>
    <row r="21" spans="1:20" x14ac:dyDescent="0.2">
      <c r="A21" s="5">
        <v>30</v>
      </c>
      <c r="B21" s="1">
        <f t="shared" si="8"/>
        <v>1.1886857536682125</v>
      </c>
      <c r="C21" s="5">
        <f t="shared" si="9"/>
        <v>55675.008333390724</v>
      </c>
      <c r="D21" s="5">
        <f t="shared" si="0"/>
        <v>54312.458050055437</v>
      </c>
      <c r="E21" s="5">
        <f t="shared" si="1"/>
        <v>44812.458050055437</v>
      </c>
      <c r="F21" s="5">
        <f t="shared" si="2"/>
        <v>15964.263358348646</v>
      </c>
      <c r="G21" s="5">
        <f t="shared" si="3"/>
        <v>38348.194691706791</v>
      </c>
      <c r="H21" s="22">
        <f t="shared" si="10"/>
        <v>23839.871975016387</v>
      </c>
      <c r="I21" s="5">
        <f t="shared" si="4"/>
        <v>61377.511019572616</v>
      </c>
      <c r="J21" s="26">
        <f t="shared" si="5"/>
        <v>0.20093200366930253</v>
      </c>
      <c r="L21" s="22">
        <f t="shared" si="11"/>
        <v>76811.374377921267</v>
      </c>
      <c r="M21" s="5">
        <f>scrimecost*Meta!O18</f>
        <v>3102.1</v>
      </c>
      <c r="N21" s="5">
        <f>L21-Grade16!L21</f>
        <v>912.53962881460029</v>
      </c>
      <c r="O21" s="5">
        <f>Grade16!M21-M21</f>
        <v>0</v>
      </c>
      <c r="P21" s="22">
        <f t="shared" si="12"/>
        <v>0</v>
      </c>
      <c r="Q21" s="22"/>
      <c r="R21" s="22"/>
      <c r="S21" s="22">
        <f t="shared" si="6"/>
        <v>405.54447406038292</v>
      </c>
      <c r="T21" s="22">
        <f t="shared" si="7"/>
        <v>527.58502481134906</v>
      </c>
    </row>
    <row r="22" spans="1:20" x14ac:dyDescent="0.2">
      <c r="A22" s="5">
        <v>31</v>
      </c>
      <c r="B22" s="1">
        <f t="shared" si="8"/>
        <v>1.2184028975099177</v>
      </c>
      <c r="C22" s="5">
        <f t="shared" si="9"/>
        <v>57066.883541725489</v>
      </c>
      <c r="D22" s="5">
        <f t="shared" si="0"/>
        <v>55657.00950130682</v>
      </c>
      <c r="E22" s="5">
        <f t="shared" si="1"/>
        <v>46157.00950130682</v>
      </c>
      <c r="F22" s="5">
        <f t="shared" si="2"/>
        <v>16537.71455230736</v>
      </c>
      <c r="G22" s="5">
        <f t="shared" si="3"/>
        <v>39119.294948999464</v>
      </c>
      <c r="H22" s="22">
        <f t="shared" si="10"/>
        <v>24435.868774391791</v>
      </c>
      <c r="I22" s="5">
        <f t="shared" si="4"/>
        <v>62724.344185061935</v>
      </c>
      <c r="J22" s="26">
        <f t="shared" si="5"/>
        <v>0.2033148394053792</v>
      </c>
      <c r="L22" s="22">
        <f t="shared" si="11"/>
        <v>78731.658737369289</v>
      </c>
      <c r="M22" s="5">
        <f>scrimecost*Meta!O19</f>
        <v>3102.1</v>
      </c>
      <c r="N22" s="5">
        <f>L22-Grade16!L22</f>
        <v>935.35311953497876</v>
      </c>
      <c r="O22" s="5">
        <f>Grade16!M22-M22</f>
        <v>0</v>
      </c>
      <c r="P22" s="22">
        <f t="shared" si="12"/>
        <v>0</v>
      </c>
      <c r="Q22" s="22"/>
      <c r="R22" s="22"/>
      <c r="S22" s="22">
        <f t="shared" si="6"/>
        <v>415.6830859118985</v>
      </c>
      <c r="T22" s="22">
        <f t="shared" si="7"/>
        <v>558.85362422237756</v>
      </c>
    </row>
    <row r="23" spans="1:20" x14ac:dyDescent="0.2">
      <c r="A23" s="5">
        <v>32</v>
      </c>
      <c r="B23" s="1">
        <f t="shared" si="8"/>
        <v>1.2488629699476654</v>
      </c>
      <c r="C23" s="5">
        <f t="shared" si="9"/>
        <v>58493.555630268616</v>
      </c>
      <c r="D23" s="5">
        <f t="shared" si="0"/>
        <v>57035.17473883948</v>
      </c>
      <c r="E23" s="5">
        <f t="shared" si="1"/>
        <v>47535.17473883948</v>
      </c>
      <c r="F23" s="5">
        <f t="shared" si="2"/>
        <v>17125.502026115035</v>
      </c>
      <c r="G23" s="5">
        <f t="shared" si="3"/>
        <v>39909.672712724445</v>
      </c>
      <c r="H23" s="22">
        <f t="shared" si="10"/>
        <v>25046.765493751584</v>
      </c>
      <c r="I23" s="5">
        <f t="shared" si="4"/>
        <v>64104.848179688473</v>
      </c>
      <c r="J23" s="26">
        <f t="shared" si="5"/>
        <v>0.20563955719667348</v>
      </c>
      <c r="L23" s="22">
        <f t="shared" si="11"/>
        <v>80699.950205803514</v>
      </c>
      <c r="M23" s="5">
        <f>scrimecost*Meta!O20</f>
        <v>3102.1</v>
      </c>
      <c r="N23" s="5">
        <f>L23-Grade16!L23</f>
        <v>958.73694752332813</v>
      </c>
      <c r="O23" s="5">
        <f>Grade16!M23-M23</f>
        <v>0</v>
      </c>
      <c r="P23" s="22">
        <f t="shared" si="12"/>
        <v>0</v>
      </c>
      <c r="Q23" s="22"/>
      <c r="R23" s="22"/>
      <c r="S23" s="22">
        <f t="shared" si="6"/>
        <v>426.07516305968483</v>
      </c>
      <c r="T23" s="22">
        <f t="shared" si="7"/>
        <v>591.97543261988994</v>
      </c>
    </row>
    <row r="24" spans="1:20" x14ac:dyDescent="0.2">
      <c r="A24" s="5">
        <v>33</v>
      </c>
      <c r="B24" s="1">
        <f t="shared" si="8"/>
        <v>1.2800845441963571</v>
      </c>
      <c r="C24" s="5">
        <f t="shared" si="9"/>
        <v>59955.894521025337</v>
      </c>
      <c r="D24" s="5">
        <f t="shared" si="0"/>
        <v>58447.794107310474</v>
      </c>
      <c r="E24" s="5">
        <f t="shared" si="1"/>
        <v>48947.794107310474</v>
      </c>
      <c r="F24" s="5">
        <f t="shared" si="2"/>
        <v>17727.984186767917</v>
      </c>
      <c r="G24" s="5">
        <f t="shared" si="3"/>
        <v>40719.809920542553</v>
      </c>
      <c r="H24" s="22">
        <f t="shared" si="10"/>
        <v>25672.934631095373</v>
      </c>
      <c r="I24" s="5">
        <f t="shared" si="4"/>
        <v>65519.864774180678</v>
      </c>
      <c r="J24" s="26">
        <f t="shared" si="5"/>
        <v>0.20790757455403389</v>
      </c>
      <c r="L24" s="22">
        <f t="shared" si="11"/>
        <v>82717.448960948605</v>
      </c>
      <c r="M24" s="5">
        <f>scrimecost*Meta!O21</f>
        <v>3102.1</v>
      </c>
      <c r="N24" s="5">
        <f>L24-Grade16!L24</f>
        <v>982.70537121142843</v>
      </c>
      <c r="O24" s="5">
        <f>Grade16!M24-M24</f>
        <v>0</v>
      </c>
      <c r="P24" s="22">
        <f t="shared" si="12"/>
        <v>0</v>
      </c>
      <c r="Q24" s="22"/>
      <c r="R24" s="22"/>
      <c r="S24" s="22">
        <f t="shared" si="6"/>
        <v>436.72704213618454</v>
      </c>
      <c r="T24" s="22">
        <f t="shared" si="7"/>
        <v>627.06028490579661</v>
      </c>
    </row>
    <row r="25" spans="1:20" x14ac:dyDescent="0.2">
      <c r="A25" s="5">
        <v>34</v>
      </c>
      <c r="B25" s="1">
        <f t="shared" si="8"/>
        <v>1.312086657801266</v>
      </c>
      <c r="C25" s="5">
        <f t="shared" si="9"/>
        <v>61454.791884050966</v>
      </c>
      <c r="D25" s="5">
        <f t="shared" si="0"/>
        <v>59895.728959993234</v>
      </c>
      <c r="E25" s="5">
        <f t="shared" si="1"/>
        <v>50395.728959993234</v>
      </c>
      <c r="F25" s="5">
        <f t="shared" si="2"/>
        <v>18345.528401437114</v>
      </c>
      <c r="G25" s="5">
        <f t="shared" si="3"/>
        <v>41550.20055855612</v>
      </c>
      <c r="H25" s="22">
        <f t="shared" si="10"/>
        <v>26314.757996872759</v>
      </c>
      <c r="I25" s="5">
        <f t="shared" si="4"/>
        <v>66970.256783535209</v>
      </c>
      <c r="J25" s="26">
        <f t="shared" si="5"/>
        <v>0.21012027441487321</v>
      </c>
      <c r="L25" s="22">
        <f t="shared" si="11"/>
        <v>84785.385184972314</v>
      </c>
      <c r="M25" s="5">
        <f>scrimecost*Meta!O22</f>
        <v>3102.1</v>
      </c>
      <c r="N25" s="5">
        <f>L25-Grade16!L25</f>
        <v>1007.2730054917047</v>
      </c>
      <c r="O25" s="5">
        <f>Grade16!M25-M25</f>
        <v>0</v>
      </c>
      <c r="P25" s="22">
        <f t="shared" si="12"/>
        <v>0</v>
      </c>
      <c r="Q25" s="22"/>
      <c r="R25" s="22"/>
      <c r="S25" s="22">
        <f t="shared" si="6"/>
        <v>447.64521818958491</v>
      </c>
      <c r="T25" s="22">
        <f t="shared" si="7"/>
        <v>664.22452561237742</v>
      </c>
    </row>
    <row r="26" spans="1:20" x14ac:dyDescent="0.2">
      <c r="A26" s="5">
        <v>35</v>
      </c>
      <c r="B26" s="1">
        <f t="shared" si="8"/>
        <v>1.3448888242462975</v>
      </c>
      <c r="C26" s="5">
        <f t="shared" si="9"/>
        <v>62991.161681152233</v>
      </c>
      <c r="D26" s="5">
        <f t="shared" si="0"/>
        <v>61379.862183993057</v>
      </c>
      <c r="E26" s="5">
        <f t="shared" si="1"/>
        <v>51879.862183993057</v>
      </c>
      <c r="F26" s="5">
        <f t="shared" si="2"/>
        <v>18978.51122147304</v>
      </c>
      <c r="G26" s="5">
        <f t="shared" si="3"/>
        <v>42401.350962520017</v>
      </c>
      <c r="H26" s="22">
        <f t="shared" si="10"/>
        <v>26972.626946794575</v>
      </c>
      <c r="I26" s="5">
        <f t="shared" si="4"/>
        <v>68456.908593123575</v>
      </c>
      <c r="J26" s="26">
        <f t="shared" si="5"/>
        <v>0.21227900598642385</v>
      </c>
      <c r="L26" s="22">
        <f t="shared" si="11"/>
        <v>86905.019814596613</v>
      </c>
      <c r="M26" s="5">
        <f>scrimecost*Meta!O23</f>
        <v>2344.6320000000001</v>
      </c>
      <c r="N26" s="5">
        <f>L26-Grade16!L26</f>
        <v>1032.4548306289944</v>
      </c>
      <c r="O26" s="5">
        <f>Grade16!M26-M26</f>
        <v>0</v>
      </c>
      <c r="P26" s="22">
        <f t="shared" si="12"/>
        <v>0</v>
      </c>
      <c r="Q26" s="22"/>
      <c r="R26" s="22"/>
      <c r="S26" s="22">
        <f t="shared" si="6"/>
        <v>458.83634864432332</v>
      </c>
      <c r="T26" s="22">
        <f t="shared" si="7"/>
        <v>703.59139471138963</v>
      </c>
    </row>
    <row r="27" spans="1:20" x14ac:dyDescent="0.2">
      <c r="A27" s="5">
        <v>36</v>
      </c>
      <c r="B27" s="1">
        <f t="shared" si="8"/>
        <v>1.3785110448524549</v>
      </c>
      <c r="C27" s="5">
        <f t="shared" si="9"/>
        <v>64565.94072318104</v>
      </c>
      <c r="D27" s="5">
        <f t="shared" si="0"/>
        <v>62901.098738592882</v>
      </c>
      <c r="E27" s="5">
        <f t="shared" si="1"/>
        <v>53401.098738592882</v>
      </c>
      <c r="F27" s="5">
        <f t="shared" si="2"/>
        <v>19627.318612009865</v>
      </c>
      <c r="G27" s="5">
        <f t="shared" si="3"/>
        <v>43273.78012658302</v>
      </c>
      <c r="H27" s="22">
        <f t="shared" si="10"/>
        <v>27646.942620464437</v>
      </c>
      <c r="I27" s="5">
        <f t="shared" si="4"/>
        <v>69980.726697951672</v>
      </c>
      <c r="J27" s="26">
        <f t="shared" si="5"/>
        <v>0.21438508556842445</v>
      </c>
      <c r="L27" s="22">
        <f t="shared" si="11"/>
        <v>89077.645309961532</v>
      </c>
      <c r="M27" s="5">
        <f>scrimecost*Meta!O24</f>
        <v>2344.6320000000001</v>
      </c>
      <c r="N27" s="5">
        <f>L27-Grade16!L27</f>
        <v>1058.2662013947411</v>
      </c>
      <c r="O27" s="5">
        <f>Grade16!M27-M27</f>
        <v>0</v>
      </c>
      <c r="P27" s="22">
        <f t="shared" si="12"/>
        <v>0</v>
      </c>
      <c r="Q27" s="22"/>
      <c r="R27" s="22"/>
      <c r="S27" s="22">
        <f t="shared" si="6"/>
        <v>470.30725736044104</v>
      </c>
      <c r="T27" s="22">
        <f t="shared" si="7"/>
        <v>745.29143628885186</v>
      </c>
    </row>
    <row r="28" spans="1:20" x14ac:dyDescent="0.2">
      <c r="A28" s="5">
        <v>37</v>
      </c>
      <c r="B28" s="1">
        <f t="shared" si="8"/>
        <v>1.4129738209737661</v>
      </c>
      <c r="C28" s="5">
        <f t="shared" si="9"/>
        <v>66180.089241260561</v>
      </c>
      <c r="D28" s="5">
        <f t="shared" si="0"/>
        <v>64460.366207057705</v>
      </c>
      <c r="E28" s="5">
        <f t="shared" si="1"/>
        <v>54960.366207057705</v>
      </c>
      <c r="F28" s="5">
        <f t="shared" si="2"/>
        <v>20292.346187310111</v>
      </c>
      <c r="G28" s="5">
        <f t="shared" si="3"/>
        <v>44168.020019747593</v>
      </c>
      <c r="H28" s="22">
        <f t="shared" si="10"/>
        <v>28338.116185976043</v>
      </c>
      <c r="I28" s="5">
        <f t="shared" si="4"/>
        <v>71542.640255400445</v>
      </c>
      <c r="J28" s="26">
        <f t="shared" si="5"/>
        <v>0.21643979735574209</v>
      </c>
      <c r="L28" s="22">
        <f t="shared" si="11"/>
        <v>91304.586442710555</v>
      </c>
      <c r="M28" s="5">
        <f>scrimecost*Meta!O25</f>
        <v>2344.6320000000001</v>
      </c>
      <c r="N28" s="5">
        <f>L28-Grade16!L28</f>
        <v>1084.7228564295656</v>
      </c>
      <c r="O28" s="5">
        <f>Grade16!M28-M28</f>
        <v>0</v>
      </c>
      <c r="P28" s="22">
        <f t="shared" si="12"/>
        <v>0</v>
      </c>
      <c r="Q28" s="22"/>
      <c r="R28" s="22"/>
      <c r="S28" s="22">
        <f t="shared" si="6"/>
        <v>482.06493879443252</v>
      </c>
      <c r="T28" s="22">
        <f t="shared" si="7"/>
        <v>789.46293144092954</v>
      </c>
    </row>
    <row r="29" spans="1:20" x14ac:dyDescent="0.2">
      <c r="A29" s="5">
        <v>38</v>
      </c>
      <c r="B29" s="1">
        <f t="shared" si="8"/>
        <v>1.4482981664981105</v>
      </c>
      <c r="C29" s="5">
        <f t="shared" si="9"/>
        <v>67834.591472292086</v>
      </c>
      <c r="D29" s="5">
        <f t="shared" si="0"/>
        <v>66058.615362234152</v>
      </c>
      <c r="E29" s="5">
        <f t="shared" si="1"/>
        <v>56558.615362234152</v>
      </c>
      <c r="F29" s="5">
        <f t="shared" si="2"/>
        <v>20973.999451992866</v>
      </c>
      <c r="G29" s="5">
        <f t="shared" si="3"/>
        <v>45084.615910241286</v>
      </c>
      <c r="H29" s="22">
        <f t="shared" si="10"/>
        <v>29046.569090625449</v>
      </c>
      <c r="I29" s="5">
        <f t="shared" si="4"/>
        <v>73143.601651785473</v>
      </c>
      <c r="J29" s="26">
        <f t="shared" si="5"/>
        <v>0.21844439422141781</v>
      </c>
      <c r="L29" s="22">
        <f t="shared" si="11"/>
        <v>93587.201103778323</v>
      </c>
      <c r="M29" s="5">
        <f>scrimecost*Meta!O26</f>
        <v>2344.6320000000001</v>
      </c>
      <c r="N29" s="5">
        <f>L29-Grade16!L29</f>
        <v>1111.8409278403269</v>
      </c>
      <c r="O29" s="5">
        <f>Grade16!M29-M29</f>
        <v>0</v>
      </c>
      <c r="P29" s="22">
        <f t="shared" si="12"/>
        <v>0</v>
      </c>
      <c r="Q29" s="22"/>
      <c r="R29" s="22"/>
      <c r="S29" s="22">
        <f t="shared" si="6"/>
        <v>494.11656226430318</v>
      </c>
      <c r="T29" s="22">
        <f t="shared" si="7"/>
        <v>836.25235682674679</v>
      </c>
    </row>
    <row r="30" spans="1:20" x14ac:dyDescent="0.2">
      <c r="A30" s="5">
        <v>39</v>
      </c>
      <c r="B30" s="1">
        <f t="shared" si="8"/>
        <v>1.4845056206605631</v>
      </c>
      <c r="C30" s="5">
        <f t="shared" si="9"/>
        <v>69530.456259099374</v>
      </c>
      <c r="D30" s="5">
        <f t="shared" si="0"/>
        <v>67696.820746289988</v>
      </c>
      <c r="E30" s="5">
        <f t="shared" si="1"/>
        <v>58196.820746289988</v>
      </c>
      <c r="F30" s="5">
        <f t="shared" si="2"/>
        <v>21672.69404829268</v>
      </c>
      <c r="G30" s="5">
        <f t="shared" si="3"/>
        <v>46024.126697997308</v>
      </c>
      <c r="H30" s="22">
        <f t="shared" si="10"/>
        <v>29772.733317891085</v>
      </c>
      <c r="I30" s="5">
        <f t="shared" si="4"/>
        <v>74784.5870830801</v>
      </c>
      <c r="J30" s="26">
        <f t="shared" si="5"/>
        <v>0.22040009848061359</v>
      </c>
      <c r="L30" s="22">
        <f t="shared" si="11"/>
        <v>95926.881131372778</v>
      </c>
      <c r="M30" s="5">
        <f>scrimecost*Meta!O27</f>
        <v>2344.6320000000001</v>
      </c>
      <c r="N30" s="5">
        <f>L30-Grade16!L30</f>
        <v>1139.6369510363293</v>
      </c>
      <c r="O30" s="5">
        <f>Grade16!M30-M30</f>
        <v>0</v>
      </c>
      <c r="P30" s="22">
        <f t="shared" si="12"/>
        <v>0</v>
      </c>
      <c r="Q30" s="22"/>
      <c r="R30" s="22"/>
      <c r="S30" s="22">
        <f t="shared" si="6"/>
        <v>506.46947632090826</v>
      </c>
      <c r="T30" s="22">
        <f t="shared" si="7"/>
        <v>885.81487039787191</v>
      </c>
    </row>
    <row r="31" spans="1:20" x14ac:dyDescent="0.2">
      <c r="A31" s="5">
        <v>40</v>
      </c>
      <c r="B31" s="1">
        <f t="shared" si="8"/>
        <v>1.521618261177077</v>
      </c>
      <c r="C31" s="5">
        <f t="shared" si="9"/>
        <v>71268.717665576856</v>
      </c>
      <c r="D31" s="5">
        <f t="shared" si="0"/>
        <v>69375.98126494723</v>
      </c>
      <c r="E31" s="5">
        <f t="shared" si="1"/>
        <v>59875.98126494723</v>
      </c>
      <c r="F31" s="5">
        <f t="shared" si="2"/>
        <v>22388.856009499992</v>
      </c>
      <c r="G31" s="5">
        <f t="shared" si="3"/>
        <v>46987.125255447238</v>
      </c>
      <c r="H31" s="22">
        <f t="shared" si="10"/>
        <v>30517.051650838355</v>
      </c>
      <c r="I31" s="5">
        <f t="shared" si="4"/>
        <v>76466.597150157089</v>
      </c>
      <c r="J31" s="26">
        <f t="shared" si="5"/>
        <v>0.22230810263592662</v>
      </c>
      <c r="L31" s="22">
        <f t="shared" si="11"/>
        <v>98325.053159657095</v>
      </c>
      <c r="M31" s="5">
        <f>scrimecost*Meta!O28</f>
        <v>2094.6120000000001</v>
      </c>
      <c r="N31" s="5">
        <f>L31-Grade16!L31</f>
        <v>1168.1278748122422</v>
      </c>
      <c r="O31" s="5">
        <f>Grade16!M31-M31</f>
        <v>0</v>
      </c>
      <c r="P31" s="22">
        <f t="shared" si="12"/>
        <v>0</v>
      </c>
      <c r="Q31" s="22"/>
      <c r="R31" s="22"/>
      <c r="S31" s="22">
        <f t="shared" si="6"/>
        <v>519.13121322893301</v>
      </c>
      <c r="T31" s="22">
        <f t="shared" si="7"/>
        <v>938.31482591632539</v>
      </c>
    </row>
    <row r="32" spans="1:20" x14ac:dyDescent="0.2">
      <c r="A32" s="5">
        <v>41</v>
      </c>
      <c r="B32" s="1">
        <f t="shared" si="8"/>
        <v>1.559658717706504</v>
      </c>
      <c r="C32" s="5">
        <f t="shared" si="9"/>
        <v>73050.435607216277</v>
      </c>
      <c r="D32" s="5">
        <f t="shared" si="0"/>
        <v>71097.120796570918</v>
      </c>
      <c r="E32" s="5">
        <f t="shared" si="1"/>
        <v>61597.120796570918</v>
      </c>
      <c r="F32" s="5">
        <f t="shared" si="2"/>
        <v>23122.922019737496</v>
      </c>
      <c r="G32" s="5">
        <f t="shared" si="3"/>
        <v>47974.198776833422</v>
      </c>
      <c r="H32" s="22">
        <f t="shared" si="10"/>
        <v>31279.977942109319</v>
      </c>
      <c r="I32" s="5">
        <f t="shared" si="4"/>
        <v>78190.657468911028</v>
      </c>
      <c r="J32" s="26">
        <f t="shared" si="5"/>
        <v>0.22416957010452473</v>
      </c>
      <c r="L32" s="22">
        <f t="shared" si="11"/>
        <v>100783.17948864851</v>
      </c>
      <c r="M32" s="5">
        <f>scrimecost*Meta!O29</f>
        <v>2094.6120000000001</v>
      </c>
      <c r="N32" s="5">
        <f>L32-Grade16!L32</f>
        <v>1197.3310716825508</v>
      </c>
      <c r="O32" s="5">
        <f>Grade16!M32-M32</f>
        <v>0</v>
      </c>
      <c r="P32" s="22">
        <f t="shared" si="12"/>
        <v>0</v>
      </c>
      <c r="Q32" s="22"/>
      <c r="R32" s="22"/>
      <c r="S32" s="22">
        <f t="shared" si="6"/>
        <v>532.10949355965749</v>
      </c>
      <c r="T32" s="22">
        <f t="shared" si="7"/>
        <v>993.9263179663343</v>
      </c>
    </row>
    <row r="33" spans="1:20" x14ac:dyDescent="0.2">
      <c r="A33" s="5">
        <v>42</v>
      </c>
      <c r="B33" s="1">
        <f t="shared" si="8"/>
        <v>1.5986501856491666</v>
      </c>
      <c r="C33" s="5">
        <f t="shared" si="9"/>
        <v>74876.696497396682</v>
      </c>
      <c r="D33" s="5">
        <f t="shared" si="0"/>
        <v>72861.28881648519</v>
      </c>
      <c r="E33" s="5">
        <f t="shared" si="1"/>
        <v>63361.28881648519</v>
      </c>
      <c r="F33" s="5">
        <f t="shared" si="2"/>
        <v>23875.339680230936</v>
      </c>
      <c r="G33" s="5">
        <f t="shared" si="3"/>
        <v>48985.949136254254</v>
      </c>
      <c r="H33" s="22">
        <f t="shared" si="10"/>
        <v>32061.97739066205</v>
      </c>
      <c r="I33" s="5">
        <f t="shared" si="4"/>
        <v>79957.819295633788</v>
      </c>
      <c r="J33" s="26">
        <f t="shared" si="5"/>
        <v>0.22598563592754728</v>
      </c>
      <c r="L33" s="22">
        <f t="shared" si="11"/>
        <v>103302.75897586474</v>
      </c>
      <c r="M33" s="5">
        <f>scrimecost*Meta!O30</f>
        <v>2094.6120000000001</v>
      </c>
      <c r="N33" s="5">
        <f>L33-Grade16!L33</f>
        <v>1227.2643484746368</v>
      </c>
      <c r="O33" s="5">
        <f>Grade16!M33-M33</f>
        <v>0</v>
      </c>
      <c r="P33" s="22">
        <f t="shared" si="12"/>
        <v>0</v>
      </c>
      <c r="Q33" s="22"/>
      <c r="R33" s="22"/>
      <c r="S33" s="22">
        <f t="shared" si="6"/>
        <v>545.41223089865866</v>
      </c>
      <c r="T33" s="22">
        <f t="shared" si="7"/>
        <v>1052.8337592677296</v>
      </c>
    </row>
    <row r="34" spans="1:20" x14ac:dyDescent="0.2">
      <c r="A34" s="5">
        <v>43</v>
      </c>
      <c r="B34" s="1">
        <f t="shared" si="8"/>
        <v>1.6386164402903955</v>
      </c>
      <c r="C34" s="5">
        <f t="shared" si="9"/>
        <v>76748.613909831591</v>
      </c>
      <c r="D34" s="5">
        <f t="shared" si="0"/>
        <v>74669.561036897314</v>
      </c>
      <c r="E34" s="5">
        <f t="shared" si="1"/>
        <v>65169.561036897314</v>
      </c>
      <c r="F34" s="5">
        <f t="shared" si="2"/>
        <v>24646.567782236707</v>
      </c>
      <c r="G34" s="5">
        <f t="shared" si="3"/>
        <v>50022.993254660607</v>
      </c>
      <c r="H34" s="22">
        <f t="shared" si="10"/>
        <v>32863.526825428598</v>
      </c>
      <c r="I34" s="5">
        <f t="shared" si="4"/>
        <v>81769.160168024624</v>
      </c>
      <c r="J34" s="26">
        <f t="shared" si="5"/>
        <v>0.22775740746220341</v>
      </c>
      <c r="L34" s="22">
        <f t="shared" si="11"/>
        <v>105885.32795026134</v>
      </c>
      <c r="M34" s="5">
        <f>scrimecost*Meta!O31</f>
        <v>2094.6120000000001</v>
      </c>
      <c r="N34" s="5">
        <f>L34-Grade16!L34</f>
        <v>1257.9459571864863</v>
      </c>
      <c r="O34" s="5">
        <f>Grade16!M34-M34</f>
        <v>0</v>
      </c>
      <c r="P34" s="22">
        <f t="shared" si="12"/>
        <v>0</v>
      </c>
      <c r="Q34" s="22"/>
      <c r="R34" s="22"/>
      <c r="S34" s="22">
        <f t="shared" si="6"/>
        <v>559.047536671118</v>
      </c>
      <c r="T34" s="22">
        <f t="shared" si="7"/>
        <v>1115.232492205052</v>
      </c>
    </row>
    <row r="35" spans="1:20" x14ac:dyDescent="0.2">
      <c r="A35" s="5">
        <v>44</v>
      </c>
      <c r="B35" s="1">
        <f t="shared" si="8"/>
        <v>1.6795818512976552</v>
      </c>
      <c r="C35" s="5">
        <f t="shared" si="9"/>
        <v>78667.329257577381</v>
      </c>
      <c r="D35" s="5">
        <f t="shared" si="0"/>
        <v>76523.040062819739</v>
      </c>
      <c r="E35" s="5">
        <f t="shared" si="1"/>
        <v>67023.040062819739</v>
      </c>
      <c r="F35" s="5">
        <f t="shared" si="2"/>
        <v>25437.07658679262</v>
      </c>
      <c r="G35" s="5">
        <f t="shared" si="3"/>
        <v>51085.963476027115</v>
      </c>
      <c r="H35" s="22">
        <f t="shared" si="10"/>
        <v>33685.114996064309</v>
      </c>
      <c r="I35" s="5">
        <f t="shared" si="4"/>
        <v>83625.784562225235</v>
      </c>
      <c r="J35" s="26">
        <f t="shared" si="5"/>
        <v>0.22948596505698982</v>
      </c>
      <c r="L35" s="22">
        <f t="shared" si="11"/>
        <v>108532.46114901785</v>
      </c>
      <c r="M35" s="5">
        <f>scrimecost*Meta!O32</f>
        <v>2094.6120000000001</v>
      </c>
      <c r="N35" s="5">
        <f>L35-Grade16!L35</f>
        <v>1289.3946061161405</v>
      </c>
      <c r="O35" s="5">
        <f>Grade16!M35-M35</f>
        <v>0</v>
      </c>
      <c r="P35" s="22">
        <f t="shared" si="12"/>
        <v>0</v>
      </c>
      <c r="Q35" s="22"/>
      <c r="R35" s="22"/>
      <c r="S35" s="22">
        <f t="shared" si="6"/>
        <v>573.02372508789233</v>
      </c>
      <c r="T35" s="22">
        <f t="shared" si="7"/>
        <v>1181.3294366006571</v>
      </c>
    </row>
    <row r="36" spans="1:20" x14ac:dyDescent="0.2">
      <c r="A36" s="5">
        <v>45</v>
      </c>
      <c r="B36" s="1">
        <f t="shared" si="8"/>
        <v>1.7215713975800966</v>
      </c>
      <c r="C36" s="5">
        <f t="shared" si="9"/>
        <v>80634.012489016794</v>
      </c>
      <c r="D36" s="5">
        <f t="shared" si="0"/>
        <v>78422.856064390216</v>
      </c>
      <c r="E36" s="5">
        <f t="shared" si="1"/>
        <v>68922.856064390216</v>
      </c>
      <c r="F36" s="5">
        <f t="shared" si="2"/>
        <v>26247.348111462426</v>
      </c>
      <c r="G36" s="5">
        <f t="shared" si="3"/>
        <v>52175.507952927786</v>
      </c>
      <c r="H36" s="22">
        <f t="shared" si="10"/>
        <v>34527.242870965914</v>
      </c>
      <c r="I36" s="5">
        <f t="shared" si="4"/>
        <v>85528.824566280862</v>
      </c>
      <c r="J36" s="26">
        <f t="shared" si="5"/>
        <v>0.23117236271043995</v>
      </c>
      <c r="L36" s="22">
        <f t="shared" si="11"/>
        <v>111245.7726777433</v>
      </c>
      <c r="M36" s="5">
        <f>scrimecost*Meta!O33</f>
        <v>1776.068</v>
      </c>
      <c r="N36" s="5">
        <f>L36-Grade16!L36</f>
        <v>1321.6294712690287</v>
      </c>
      <c r="O36" s="5">
        <f>Grade16!M36-M36</f>
        <v>0</v>
      </c>
      <c r="P36" s="22">
        <f t="shared" si="12"/>
        <v>0</v>
      </c>
      <c r="Q36" s="22"/>
      <c r="R36" s="22"/>
      <c r="S36" s="22">
        <f t="shared" si="6"/>
        <v>587.3493182150828</v>
      </c>
      <c r="T36" s="22">
        <f t="shared" si="7"/>
        <v>1251.3437758793602</v>
      </c>
    </row>
    <row r="37" spans="1:20" x14ac:dyDescent="0.2">
      <c r="A37" s="5">
        <v>46</v>
      </c>
      <c r="B37" s="1">
        <f t="shared" ref="B37:B56" si="13">(1+experiencepremium)^(A37-startage)</f>
        <v>1.7646106825195991</v>
      </c>
      <c r="C37" s="5">
        <f t="shared" ref="C37:C56" si="14">pretaxincome*B37/expnorm</f>
        <v>82649.862801242227</v>
      </c>
      <c r="D37" s="5">
        <f t="shared" ref="D37:D56" si="15">IF(A37&lt;startage,1,0)*(C37*(1-initialunempprob))+IF(A37=startage,1,0)*(C37*(1-unempprob))+IF(A37&gt;startage,1,0)*(C37*(1-unempprob)+unempprob*300*52)</f>
        <v>80370.167465999984</v>
      </c>
      <c r="E37" s="5">
        <f t="shared" si="1"/>
        <v>70870.167465999984</v>
      </c>
      <c r="F37" s="5">
        <f t="shared" si="2"/>
        <v>27077.876424248992</v>
      </c>
      <c r="G37" s="5">
        <f t="shared" si="3"/>
        <v>53292.291041750992</v>
      </c>
      <c r="H37" s="22">
        <f t="shared" ref="H37:H56" si="16">benefits*B37/expnorm</f>
        <v>35390.423942740061</v>
      </c>
      <c r="I37" s="5">
        <f t="shared" ref="I37:I56" si="17">G37+IF(A37&lt;startage,1,0)*(H37*(1-initialunempprob))+IF(A37&gt;=startage,1,0)*(H37*(1-unempprob))</f>
        <v>87479.440570437888</v>
      </c>
      <c r="J37" s="26">
        <f t="shared" si="5"/>
        <v>0.23281762871380601</v>
      </c>
      <c r="L37" s="22">
        <f t="shared" ref="L37:L56" si="18">(sincome+sbenefits)*(1-sunemp)*B37/expnorm</f>
        <v>114026.91699468689</v>
      </c>
      <c r="M37" s="5">
        <f>scrimecost*Meta!O34</f>
        <v>1776.068</v>
      </c>
      <c r="N37" s="5">
        <f>L37-Grade16!L37</f>
        <v>1354.6702080507821</v>
      </c>
      <c r="O37" s="5">
        <f>Grade16!M37-M37</f>
        <v>0</v>
      </c>
      <c r="P37" s="22">
        <f t="shared" si="12"/>
        <v>0</v>
      </c>
      <c r="Q37" s="22"/>
      <c r="R37" s="22"/>
      <c r="S37" s="22">
        <f t="shared" si="6"/>
        <v>602.03305117047228</v>
      </c>
      <c r="T37" s="22">
        <f t="shared" si="7"/>
        <v>1325.5076839005385</v>
      </c>
    </row>
    <row r="38" spans="1:20" x14ac:dyDescent="0.2">
      <c r="A38" s="5">
        <v>47</v>
      </c>
      <c r="B38" s="1">
        <f t="shared" si="13"/>
        <v>1.8087259495825889</v>
      </c>
      <c r="C38" s="5">
        <f t="shared" si="14"/>
        <v>84716.109371273269</v>
      </c>
      <c r="D38" s="5">
        <f t="shared" si="15"/>
        <v>82366.161652649971</v>
      </c>
      <c r="E38" s="5">
        <f t="shared" si="1"/>
        <v>72866.161652649971</v>
      </c>
      <c r="F38" s="5">
        <f t="shared" si="2"/>
        <v>27929.167944855213</v>
      </c>
      <c r="G38" s="5">
        <f t="shared" si="3"/>
        <v>54436.993707794754</v>
      </c>
      <c r="H38" s="22">
        <f t="shared" si="16"/>
        <v>36275.184541308561</v>
      </c>
      <c r="I38" s="5">
        <f t="shared" si="17"/>
        <v>89478.821974698832</v>
      </c>
      <c r="J38" s="26">
        <f t="shared" si="5"/>
        <v>0.23442276627806555</v>
      </c>
      <c r="L38" s="22">
        <f t="shared" si="18"/>
        <v>116877.58991955406</v>
      </c>
      <c r="M38" s="5">
        <f>scrimecost*Meta!O35</f>
        <v>1776.068</v>
      </c>
      <c r="N38" s="5">
        <f>L38-Grade16!L38</f>
        <v>1388.5369632520596</v>
      </c>
      <c r="O38" s="5">
        <f>Grade16!M38-M38</f>
        <v>0</v>
      </c>
      <c r="P38" s="22">
        <f t="shared" si="12"/>
        <v>0</v>
      </c>
      <c r="Q38" s="22"/>
      <c r="R38" s="22"/>
      <c r="S38" s="22">
        <f t="shared" si="6"/>
        <v>617.08387744973754</v>
      </c>
      <c r="T38" s="22">
        <f t="shared" si="7"/>
        <v>1404.0670948674056</v>
      </c>
    </row>
    <row r="39" spans="1:20" x14ac:dyDescent="0.2">
      <c r="A39" s="5">
        <v>48</v>
      </c>
      <c r="B39" s="1">
        <f t="shared" si="13"/>
        <v>1.8539440983221533</v>
      </c>
      <c r="C39" s="5">
        <f t="shared" si="14"/>
        <v>86834.012105555084</v>
      </c>
      <c r="D39" s="5">
        <f t="shared" si="15"/>
        <v>84412.055693966206</v>
      </c>
      <c r="E39" s="5">
        <f t="shared" si="1"/>
        <v>74912.055693966206</v>
      </c>
      <c r="F39" s="5">
        <f t="shared" si="2"/>
        <v>28801.741753476588</v>
      </c>
      <c r="G39" s="5">
        <f t="shared" si="3"/>
        <v>55610.313940489621</v>
      </c>
      <c r="H39" s="22">
        <f t="shared" si="16"/>
        <v>37182.064154841268</v>
      </c>
      <c r="I39" s="5">
        <f t="shared" si="17"/>
        <v>91528.187914066279</v>
      </c>
      <c r="J39" s="26">
        <f t="shared" si="5"/>
        <v>0.23598875414563589</v>
      </c>
      <c r="L39" s="22">
        <f t="shared" si="18"/>
        <v>119799.5296675429</v>
      </c>
      <c r="M39" s="5">
        <f>scrimecost*Meta!O36</f>
        <v>1776.068</v>
      </c>
      <c r="N39" s="5">
        <f>L39-Grade16!L39</f>
        <v>1423.2503873333626</v>
      </c>
      <c r="O39" s="5">
        <f>Grade16!M39-M39</f>
        <v>0</v>
      </c>
      <c r="P39" s="22">
        <f t="shared" si="12"/>
        <v>0</v>
      </c>
      <c r="Q39" s="22"/>
      <c r="R39" s="22"/>
      <c r="S39" s="22">
        <f t="shared" si="6"/>
        <v>632.51097438598174</v>
      </c>
      <c r="T39" s="22">
        <f t="shared" si="7"/>
        <v>1487.2825188671745</v>
      </c>
    </row>
    <row r="40" spans="1:20" x14ac:dyDescent="0.2">
      <c r="A40" s="5">
        <v>49</v>
      </c>
      <c r="B40" s="1">
        <f t="shared" si="13"/>
        <v>1.9002927007802071</v>
      </c>
      <c r="C40" s="5">
        <f t="shared" si="14"/>
        <v>89004.862408193963</v>
      </c>
      <c r="D40" s="5">
        <f t="shared" si="15"/>
        <v>86509.097086315363</v>
      </c>
      <c r="E40" s="5">
        <f t="shared" si="1"/>
        <v>77009.097086315363</v>
      </c>
      <c r="F40" s="5">
        <f t="shared" si="2"/>
        <v>29696.129907313505</v>
      </c>
      <c r="G40" s="5">
        <f t="shared" si="3"/>
        <v>56812.967179001862</v>
      </c>
      <c r="H40" s="22">
        <f t="shared" si="16"/>
        <v>38111.615758712302</v>
      </c>
      <c r="I40" s="5">
        <f t="shared" si="17"/>
        <v>93628.788001917943</v>
      </c>
      <c r="J40" s="26">
        <f t="shared" si="5"/>
        <v>0.23751654718716789</v>
      </c>
      <c r="L40" s="22">
        <f t="shared" si="18"/>
        <v>122794.51790923145</v>
      </c>
      <c r="M40" s="5">
        <f>scrimecost*Meta!O37</f>
        <v>1776.068</v>
      </c>
      <c r="N40" s="5">
        <f>L40-Grade16!L40</f>
        <v>1458.8316470166756</v>
      </c>
      <c r="O40" s="5">
        <f>Grade16!M40-M40</f>
        <v>0</v>
      </c>
      <c r="P40" s="22">
        <f t="shared" si="12"/>
        <v>0</v>
      </c>
      <c r="Q40" s="22"/>
      <c r="R40" s="22"/>
      <c r="S40" s="22">
        <f t="shared" si="6"/>
        <v>648.32374874562174</v>
      </c>
      <c r="T40" s="22">
        <f t="shared" si="7"/>
        <v>1575.4299057458827</v>
      </c>
    </row>
    <row r="41" spans="1:20" x14ac:dyDescent="0.2">
      <c r="A41" s="5">
        <v>50</v>
      </c>
      <c r="B41" s="1">
        <f t="shared" si="13"/>
        <v>1.9478000182997122</v>
      </c>
      <c r="C41" s="5">
        <f t="shared" si="14"/>
        <v>91229.98396839881</v>
      </c>
      <c r="D41" s="5">
        <f t="shared" si="15"/>
        <v>88658.564513473248</v>
      </c>
      <c r="E41" s="5">
        <f t="shared" si="1"/>
        <v>79158.564513473248</v>
      </c>
      <c r="F41" s="5">
        <f t="shared" si="2"/>
        <v>30612.877764996341</v>
      </c>
      <c r="G41" s="5">
        <f t="shared" si="3"/>
        <v>58045.686748476903</v>
      </c>
      <c r="H41" s="22">
        <f t="shared" si="16"/>
        <v>39064.406152680109</v>
      </c>
      <c r="I41" s="5">
        <f t="shared" si="17"/>
        <v>95781.903091965884</v>
      </c>
      <c r="J41" s="26">
        <f t="shared" si="5"/>
        <v>0.23900707698378446</v>
      </c>
      <c r="L41" s="22">
        <f t="shared" si="18"/>
        <v>125864.38085696223</v>
      </c>
      <c r="M41" s="5">
        <f>scrimecost*Meta!O38</f>
        <v>1285.288</v>
      </c>
      <c r="N41" s="5">
        <f>L41-Grade16!L41</f>
        <v>1495.3024381920986</v>
      </c>
      <c r="O41" s="5">
        <f>Grade16!M41-M41</f>
        <v>0</v>
      </c>
      <c r="P41" s="22">
        <f t="shared" si="12"/>
        <v>0</v>
      </c>
      <c r="Q41" s="22"/>
      <c r="R41" s="22"/>
      <c r="S41" s="22">
        <f t="shared" si="6"/>
        <v>664.53184246426508</v>
      </c>
      <c r="T41" s="22">
        <f t="shared" si="7"/>
        <v>1668.8015601830573</v>
      </c>
    </row>
    <row r="42" spans="1:20" x14ac:dyDescent="0.2">
      <c r="A42" s="5">
        <v>51</v>
      </c>
      <c r="B42" s="1">
        <f t="shared" si="13"/>
        <v>1.9964950187572048</v>
      </c>
      <c r="C42" s="5">
        <f t="shared" si="14"/>
        <v>93510.733567608768</v>
      </c>
      <c r="D42" s="5">
        <f t="shared" si="15"/>
        <v>90861.768626310062</v>
      </c>
      <c r="E42" s="5">
        <f t="shared" si="1"/>
        <v>81361.768626310062</v>
      </c>
      <c r="F42" s="5">
        <f t="shared" si="2"/>
        <v>31552.544319121243</v>
      </c>
      <c r="G42" s="5">
        <f t="shared" si="3"/>
        <v>59309.224307188822</v>
      </c>
      <c r="H42" s="22">
        <f t="shared" si="16"/>
        <v>40041.016306497106</v>
      </c>
      <c r="I42" s="5">
        <f t="shared" si="17"/>
        <v>97988.846059265023</v>
      </c>
      <c r="J42" s="26">
        <f t="shared" si="5"/>
        <v>0.24046125239511768</v>
      </c>
      <c r="L42" s="22">
        <f t="shared" si="18"/>
        <v>129010.99037838628</v>
      </c>
      <c r="M42" s="5">
        <f>scrimecost*Meta!O39</f>
        <v>1285.288</v>
      </c>
      <c r="N42" s="5">
        <f>L42-Grade16!L42</f>
        <v>1532.6849991468771</v>
      </c>
      <c r="O42" s="5">
        <f>Grade16!M42-M42</f>
        <v>0</v>
      </c>
      <c r="P42" s="22">
        <f t="shared" si="12"/>
        <v>0</v>
      </c>
      <c r="Q42" s="22"/>
      <c r="R42" s="22"/>
      <c r="S42" s="22">
        <f t="shared" si="6"/>
        <v>681.14513852586106</v>
      </c>
      <c r="T42" s="22">
        <f t="shared" si="7"/>
        <v>1767.7071110001864</v>
      </c>
    </row>
    <row r="43" spans="1:20" x14ac:dyDescent="0.2">
      <c r="A43" s="5">
        <v>52</v>
      </c>
      <c r="B43" s="1">
        <f t="shared" si="13"/>
        <v>2.0464073942261352</v>
      </c>
      <c r="C43" s="5">
        <f t="shared" si="14"/>
        <v>95848.501906799007</v>
      </c>
      <c r="D43" s="5">
        <f t="shared" si="15"/>
        <v>93120.05284196783</v>
      </c>
      <c r="E43" s="5">
        <f t="shared" si="1"/>
        <v>83620.05284196783</v>
      </c>
      <c r="F43" s="5">
        <f t="shared" si="2"/>
        <v>32516.304122358313</v>
      </c>
      <c r="G43" s="5">
        <f t="shared" si="3"/>
        <v>60603.748719609517</v>
      </c>
      <c r="H43" s="22">
        <f t="shared" si="16"/>
        <v>41042.041714159539</v>
      </c>
      <c r="I43" s="5">
        <f t="shared" si="17"/>
        <v>100250.36101548764</v>
      </c>
      <c r="J43" s="26">
        <f t="shared" si="5"/>
        <v>0.24188450943480228</v>
      </c>
      <c r="L43" s="22">
        <f t="shared" si="18"/>
        <v>132236.26513784594</v>
      </c>
      <c r="M43" s="5">
        <f>scrimecost*Meta!O40</f>
        <v>1285.288</v>
      </c>
      <c r="N43" s="5">
        <f>L43-Grade16!L43</f>
        <v>1571.002124125589</v>
      </c>
      <c r="O43" s="5">
        <f>Grade16!M43-M43</f>
        <v>0</v>
      </c>
      <c r="P43" s="22">
        <f t="shared" si="12"/>
        <v>0</v>
      </c>
      <c r="Q43" s="22"/>
      <c r="R43" s="22"/>
      <c r="S43" s="22">
        <f t="shared" si="6"/>
        <v>698.17376698902535</v>
      </c>
      <c r="T43" s="22">
        <f t="shared" si="7"/>
        <v>1872.4745379180879</v>
      </c>
    </row>
    <row r="44" spans="1:20" x14ac:dyDescent="0.2">
      <c r="A44" s="5">
        <v>53</v>
      </c>
      <c r="B44" s="1">
        <f t="shared" si="13"/>
        <v>2.097567579081788</v>
      </c>
      <c r="C44" s="5">
        <f t="shared" si="14"/>
        <v>98244.714454468951</v>
      </c>
      <c r="D44" s="5">
        <f t="shared" si="15"/>
        <v>95434.794163016995</v>
      </c>
      <c r="E44" s="5">
        <f t="shared" si="1"/>
        <v>85934.794163016995</v>
      </c>
      <c r="F44" s="5">
        <f t="shared" si="2"/>
        <v>33572.983535417254</v>
      </c>
      <c r="G44" s="5">
        <f t="shared" si="3"/>
        <v>61861.810627599742</v>
      </c>
      <c r="H44" s="22">
        <f t="shared" si="16"/>
        <v>42068.092757013517</v>
      </c>
      <c r="I44" s="5">
        <f t="shared" si="17"/>
        <v>102499.5882308748</v>
      </c>
      <c r="J44" s="26">
        <f t="shared" si="5"/>
        <v>0.24378083296754882</v>
      </c>
      <c r="L44" s="22">
        <f t="shared" si="18"/>
        <v>135542.17176629207</v>
      </c>
      <c r="M44" s="5">
        <f>scrimecost*Meta!O41</f>
        <v>1285.288</v>
      </c>
      <c r="N44" s="5">
        <f>L44-Grade16!L44</f>
        <v>1610.2771772286796</v>
      </c>
      <c r="O44" s="5">
        <f>Grade16!M44-M44</f>
        <v>0</v>
      </c>
      <c r="P44" s="22">
        <f t="shared" si="12"/>
        <v>0</v>
      </c>
      <c r="Q44" s="22"/>
      <c r="R44" s="22"/>
      <c r="S44" s="22">
        <f t="shared" si="6"/>
        <v>715.62811116372916</v>
      </c>
      <c r="T44" s="22">
        <f t="shared" si="7"/>
        <v>1983.4512591667628</v>
      </c>
    </row>
    <row r="45" spans="1:20" x14ac:dyDescent="0.2">
      <c r="A45" s="5">
        <v>54</v>
      </c>
      <c r="B45" s="1">
        <f t="shared" si="13"/>
        <v>2.1500067685588333</v>
      </c>
      <c r="C45" s="5">
        <f t="shared" si="14"/>
        <v>100700.8323158307</v>
      </c>
      <c r="D45" s="5">
        <f t="shared" si="15"/>
        <v>97807.404017092456</v>
      </c>
      <c r="E45" s="5">
        <f t="shared" si="1"/>
        <v>88307.404017092456</v>
      </c>
      <c r="F45" s="5">
        <f t="shared" si="2"/>
        <v>34656.079933802706</v>
      </c>
      <c r="G45" s="5">
        <f t="shared" si="3"/>
        <v>63151.32408328975</v>
      </c>
      <c r="H45" s="22">
        <f t="shared" si="16"/>
        <v>43119.79507593887</v>
      </c>
      <c r="I45" s="5">
        <f t="shared" si="17"/>
        <v>104805.04612664669</v>
      </c>
      <c r="J45" s="26">
        <f t="shared" si="5"/>
        <v>0.24563090470681384</v>
      </c>
      <c r="L45" s="22">
        <f t="shared" si="18"/>
        <v>138930.72606044941</v>
      </c>
      <c r="M45" s="5">
        <f>scrimecost*Meta!O42</f>
        <v>1285.288</v>
      </c>
      <c r="N45" s="5">
        <f>L45-Grade16!L45</f>
        <v>1650.534106659441</v>
      </c>
      <c r="O45" s="5">
        <f>Grade16!M45-M45</f>
        <v>0</v>
      </c>
      <c r="P45" s="22">
        <f t="shared" si="12"/>
        <v>0</v>
      </c>
      <c r="Q45" s="22"/>
      <c r="R45" s="22"/>
      <c r="S45" s="22">
        <f t="shared" ref="S45:S69" si="19">IF(A45&lt;startage,1,0)*(N45-Q45-R45)+IF(A45&gt;=startage,1,0)*completionprob*(N45*spart+O45+P45)</f>
        <v>733.51881394284214</v>
      </c>
      <c r="T45" s="22">
        <f t="shared" ref="T45:T69" si="20">S45/sreturn^(A45-startage+1)</f>
        <v>2101.0052835562465</v>
      </c>
    </row>
    <row r="46" spans="1:20" x14ac:dyDescent="0.2">
      <c r="A46" s="5">
        <v>55</v>
      </c>
      <c r="B46" s="1">
        <f t="shared" si="13"/>
        <v>2.2037569377728037</v>
      </c>
      <c r="C46" s="5">
        <f t="shared" si="14"/>
        <v>103218.35312372644</v>
      </c>
      <c r="D46" s="5">
        <f t="shared" si="15"/>
        <v>100239.32911751974</v>
      </c>
      <c r="E46" s="5">
        <f t="shared" si="1"/>
        <v>90739.329117519737</v>
      </c>
      <c r="F46" s="5">
        <f t="shared" si="2"/>
        <v>35766.253742147761</v>
      </c>
      <c r="G46" s="5">
        <f t="shared" si="3"/>
        <v>64473.075375371976</v>
      </c>
      <c r="H46" s="22">
        <f t="shared" si="16"/>
        <v>44197.789952837331</v>
      </c>
      <c r="I46" s="5">
        <f t="shared" si="17"/>
        <v>107168.14046981285</v>
      </c>
      <c r="J46" s="26">
        <f t="shared" si="5"/>
        <v>0.24743585274512106</v>
      </c>
      <c r="L46" s="22">
        <f t="shared" si="18"/>
        <v>142403.99421196061</v>
      </c>
      <c r="M46" s="5">
        <f>scrimecost*Meta!O43</f>
        <v>768.57999999999993</v>
      </c>
      <c r="N46" s="5">
        <f>L46-Grade16!L46</f>
        <v>1691.7974593258987</v>
      </c>
      <c r="O46" s="5">
        <f>Grade16!M46-M46</f>
        <v>0</v>
      </c>
      <c r="P46" s="22">
        <f t="shared" si="12"/>
        <v>0</v>
      </c>
      <c r="Q46" s="22"/>
      <c r="R46" s="22"/>
      <c r="S46" s="22">
        <f t="shared" si="19"/>
        <v>751.85678429140057</v>
      </c>
      <c r="T46" s="22">
        <f t="shared" si="20"/>
        <v>2225.5264308261653</v>
      </c>
    </row>
    <row r="47" spans="1:20" x14ac:dyDescent="0.2">
      <c r="A47" s="5">
        <v>56</v>
      </c>
      <c r="B47" s="1">
        <f t="shared" si="13"/>
        <v>2.2588508612171236</v>
      </c>
      <c r="C47" s="5">
        <f t="shared" si="14"/>
        <v>105798.8119518196</v>
      </c>
      <c r="D47" s="5">
        <f t="shared" si="15"/>
        <v>102732.05234545773</v>
      </c>
      <c r="E47" s="5">
        <f t="shared" si="1"/>
        <v>93232.052345457734</v>
      </c>
      <c r="F47" s="5">
        <f t="shared" si="2"/>
        <v>36904.181895701455</v>
      </c>
      <c r="G47" s="5">
        <f t="shared" si="3"/>
        <v>65827.870449756272</v>
      </c>
      <c r="H47" s="22">
        <f t="shared" si="16"/>
        <v>45302.734701658264</v>
      </c>
      <c r="I47" s="5">
        <f t="shared" si="17"/>
        <v>109590.31217155815</v>
      </c>
      <c r="J47" s="26">
        <f t="shared" si="5"/>
        <v>0.2491967776605428</v>
      </c>
      <c r="L47" s="22">
        <f t="shared" si="18"/>
        <v>145964.0940672596</v>
      </c>
      <c r="M47" s="5">
        <f>scrimecost*Meta!O44</f>
        <v>768.57999999999993</v>
      </c>
      <c r="N47" s="5">
        <f>L47-Grade16!L47</f>
        <v>1734.0923958090425</v>
      </c>
      <c r="O47" s="5">
        <f>Grade16!M47-M47</f>
        <v>0</v>
      </c>
      <c r="P47" s="22">
        <f t="shared" si="12"/>
        <v>0</v>
      </c>
      <c r="Q47" s="22"/>
      <c r="R47" s="22"/>
      <c r="S47" s="22">
        <f t="shared" si="19"/>
        <v>770.65320389868396</v>
      </c>
      <c r="T47" s="22">
        <f t="shared" si="20"/>
        <v>2357.427624323881</v>
      </c>
    </row>
    <row r="48" spans="1:20" x14ac:dyDescent="0.2">
      <c r="A48" s="5">
        <v>57</v>
      </c>
      <c r="B48" s="1">
        <f t="shared" si="13"/>
        <v>2.3153221327475517</v>
      </c>
      <c r="C48" s="5">
        <f t="shared" si="14"/>
        <v>108443.7822506151</v>
      </c>
      <c r="D48" s="5">
        <f t="shared" si="15"/>
        <v>105287.09365409418</v>
      </c>
      <c r="E48" s="5">
        <f t="shared" si="1"/>
        <v>95787.093654094177</v>
      </c>
      <c r="F48" s="5">
        <f t="shared" si="2"/>
        <v>38070.558253093994</v>
      </c>
      <c r="G48" s="5">
        <f t="shared" si="3"/>
        <v>67216.535401000176</v>
      </c>
      <c r="H48" s="22">
        <f t="shared" si="16"/>
        <v>46435.303069199719</v>
      </c>
      <c r="I48" s="5">
        <f t="shared" si="17"/>
        <v>112073.0381658471</v>
      </c>
      <c r="J48" s="26">
        <f t="shared" si="5"/>
        <v>0.25091475318778356</v>
      </c>
      <c r="L48" s="22">
        <f t="shared" si="18"/>
        <v>149613.19641894111</v>
      </c>
      <c r="M48" s="5">
        <f>scrimecost*Meta!O45</f>
        <v>768.57999999999993</v>
      </c>
      <c r="N48" s="5">
        <f>L48-Grade16!L48</f>
        <v>1777.4447057042853</v>
      </c>
      <c r="O48" s="5">
        <f>Grade16!M48-M48</f>
        <v>0</v>
      </c>
      <c r="P48" s="22">
        <f t="shared" si="12"/>
        <v>0</v>
      </c>
      <c r="Q48" s="22"/>
      <c r="R48" s="22"/>
      <c r="S48" s="22">
        <f t="shared" si="19"/>
        <v>789.91953399615863</v>
      </c>
      <c r="T48" s="22">
        <f t="shared" si="20"/>
        <v>2497.1462602950742</v>
      </c>
    </row>
    <row r="49" spans="1:20" x14ac:dyDescent="0.2">
      <c r="A49" s="5">
        <v>58</v>
      </c>
      <c r="B49" s="1">
        <f t="shared" si="13"/>
        <v>2.3732051860662402</v>
      </c>
      <c r="C49" s="5">
        <f t="shared" si="14"/>
        <v>111154.87680688046</v>
      </c>
      <c r="D49" s="5">
        <f t="shared" si="15"/>
        <v>107906.01099544652</v>
      </c>
      <c r="E49" s="5">
        <f t="shared" si="1"/>
        <v>98406.010995446515</v>
      </c>
      <c r="F49" s="5">
        <f t="shared" si="2"/>
        <v>39197.521337703649</v>
      </c>
      <c r="G49" s="5">
        <f t="shared" si="3"/>
        <v>68708.489657742874</v>
      </c>
      <c r="H49" s="22">
        <f t="shared" si="16"/>
        <v>47596.185645929698</v>
      </c>
      <c r="I49" s="5">
        <f t="shared" si="17"/>
        <v>114686.40499171097</v>
      </c>
      <c r="J49" s="26">
        <f t="shared" si="5"/>
        <v>0.25214367261854698</v>
      </c>
      <c r="L49" s="22">
        <f t="shared" si="18"/>
        <v>153353.5263294146</v>
      </c>
      <c r="M49" s="5">
        <f>scrimecost*Meta!O46</f>
        <v>768.57999999999993</v>
      </c>
      <c r="N49" s="5">
        <f>L49-Grade16!L49</f>
        <v>1821.8808233468735</v>
      </c>
      <c r="O49" s="5">
        <f>Grade16!M49-M49</f>
        <v>0</v>
      </c>
      <c r="P49" s="22">
        <f t="shared" si="12"/>
        <v>0</v>
      </c>
      <c r="Q49" s="22"/>
      <c r="R49" s="22"/>
      <c r="S49" s="22">
        <f t="shared" si="19"/>
        <v>809.66752234605417</v>
      </c>
      <c r="T49" s="22">
        <f t="shared" si="20"/>
        <v>2645.1456583291638</v>
      </c>
    </row>
    <row r="50" spans="1:20" x14ac:dyDescent="0.2">
      <c r="A50" s="5">
        <v>59</v>
      </c>
      <c r="B50" s="1">
        <f t="shared" si="13"/>
        <v>2.4325353157178964</v>
      </c>
      <c r="C50" s="5">
        <f t="shared" si="14"/>
        <v>113933.74872705249</v>
      </c>
      <c r="D50" s="5">
        <f t="shared" si="15"/>
        <v>110590.40127033269</v>
      </c>
      <c r="E50" s="5">
        <f t="shared" si="1"/>
        <v>101090.40127033269</v>
      </c>
      <c r="F50" s="5">
        <f t="shared" si="2"/>
        <v>40256.513301146246</v>
      </c>
      <c r="G50" s="5">
        <f t="shared" si="3"/>
        <v>70333.887969186442</v>
      </c>
      <c r="H50" s="22">
        <f t="shared" si="16"/>
        <v>48786.090287077946</v>
      </c>
      <c r="I50" s="5">
        <f t="shared" si="17"/>
        <v>117461.25118650374</v>
      </c>
      <c r="J50" s="26">
        <f t="shared" si="5"/>
        <v>0.25273095856421379</v>
      </c>
      <c r="L50" s="22">
        <f t="shared" si="18"/>
        <v>157187.36448764999</v>
      </c>
      <c r="M50" s="5">
        <f>scrimecost*Meta!O47</f>
        <v>768.57999999999993</v>
      </c>
      <c r="N50" s="5">
        <f>L50-Grade16!L50</f>
        <v>1867.427843930549</v>
      </c>
      <c r="O50" s="5">
        <f>Grade16!M50-M50</f>
        <v>0</v>
      </c>
      <c r="P50" s="22">
        <f t="shared" si="12"/>
        <v>0</v>
      </c>
      <c r="Q50" s="22"/>
      <c r="R50" s="22"/>
      <c r="S50" s="22">
        <f t="shared" si="19"/>
        <v>829.9092104047071</v>
      </c>
      <c r="T50" s="22">
        <f t="shared" si="20"/>
        <v>2801.9165977690618</v>
      </c>
    </row>
    <row r="51" spans="1:20" x14ac:dyDescent="0.2">
      <c r="A51" s="5">
        <v>60</v>
      </c>
      <c r="B51" s="1">
        <f t="shared" si="13"/>
        <v>2.4933486986108435</v>
      </c>
      <c r="C51" s="5">
        <f t="shared" si="14"/>
        <v>116782.09244522877</v>
      </c>
      <c r="D51" s="5">
        <f t="shared" si="15"/>
        <v>113341.90130209099</v>
      </c>
      <c r="E51" s="5">
        <f t="shared" si="1"/>
        <v>103841.90130209099</v>
      </c>
      <c r="F51" s="5">
        <f t="shared" si="2"/>
        <v>41341.980063674891</v>
      </c>
      <c r="G51" s="5">
        <f t="shared" si="3"/>
        <v>71999.921238416107</v>
      </c>
      <c r="H51" s="22">
        <f t="shared" si="16"/>
        <v>50005.742544254892</v>
      </c>
      <c r="I51" s="5">
        <f t="shared" si="17"/>
        <v>120305.46853616633</v>
      </c>
      <c r="J51" s="26">
        <f t="shared" si="5"/>
        <v>0.25330392046242528</v>
      </c>
      <c r="L51" s="22">
        <f t="shared" si="18"/>
        <v>161117.04859984122</v>
      </c>
      <c r="M51" s="5">
        <f>scrimecost*Meta!O48</f>
        <v>422.25600000000003</v>
      </c>
      <c r="N51" s="5">
        <f>L51-Grade16!L51</f>
        <v>1914.1135400288622</v>
      </c>
      <c r="O51" s="5">
        <f>Grade16!M51-M51</f>
        <v>0</v>
      </c>
      <c r="P51" s="22">
        <f t="shared" si="12"/>
        <v>0</v>
      </c>
      <c r="Q51" s="22"/>
      <c r="R51" s="22"/>
      <c r="S51" s="22">
        <f t="shared" si="19"/>
        <v>850.65694066484673</v>
      </c>
      <c r="T51" s="22">
        <f t="shared" si="20"/>
        <v>2967.9789451795073</v>
      </c>
    </row>
    <row r="52" spans="1:20" x14ac:dyDescent="0.2">
      <c r="A52" s="5">
        <v>61</v>
      </c>
      <c r="B52" s="1">
        <f t="shared" si="13"/>
        <v>2.555682416076114</v>
      </c>
      <c r="C52" s="5">
        <f t="shared" si="14"/>
        <v>119701.64475635947</v>
      </c>
      <c r="D52" s="5">
        <f t="shared" si="15"/>
        <v>116162.18883464324</v>
      </c>
      <c r="E52" s="5">
        <f t="shared" si="1"/>
        <v>106662.18883464324</v>
      </c>
      <c r="F52" s="5">
        <f t="shared" si="2"/>
        <v>42454.583495266757</v>
      </c>
      <c r="G52" s="5">
        <f t="shared" si="3"/>
        <v>73707.605339376489</v>
      </c>
      <c r="H52" s="22">
        <f t="shared" si="16"/>
        <v>51255.886107861254</v>
      </c>
      <c r="I52" s="5">
        <f t="shared" si="17"/>
        <v>123220.79131957046</v>
      </c>
      <c r="J52" s="26">
        <f t="shared" si="5"/>
        <v>0.2538629076801926</v>
      </c>
      <c r="L52" s="22">
        <f t="shared" si="18"/>
        <v>165144.97481483719</v>
      </c>
      <c r="M52" s="5">
        <f>scrimecost*Meta!O49</f>
        <v>422.25600000000003</v>
      </c>
      <c r="N52" s="5">
        <f>L52-Grade16!L52</f>
        <v>1961.9663785294979</v>
      </c>
      <c r="O52" s="5">
        <f>Grade16!M52-M52</f>
        <v>0</v>
      </c>
      <c r="P52" s="22">
        <f t="shared" si="12"/>
        <v>0</v>
      </c>
      <c r="Q52" s="22"/>
      <c r="R52" s="22"/>
      <c r="S52" s="22">
        <f t="shared" si="19"/>
        <v>871.92336418142975</v>
      </c>
      <c r="T52" s="22">
        <f t="shared" si="20"/>
        <v>3143.8833782711645</v>
      </c>
    </row>
    <row r="53" spans="1:20" x14ac:dyDescent="0.2">
      <c r="A53" s="5">
        <v>62</v>
      </c>
      <c r="B53" s="1">
        <f t="shared" si="13"/>
        <v>2.6195744764780171</v>
      </c>
      <c r="C53" s="5">
        <f t="shared" si="14"/>
        <v>122694.18587526846</v>
      </c>
      <c r="D53" s="5">
        <f t="shared" si="15"/>
        <v>119052.98355550933</v>
      </c>
      <c r="E53" s="5">
        <f t="shared" si="1"/>
        <v>109552.98355550933</v>
      </c>
      <c r="F53" s="5">
        <f t="shared" si="2"/>
        <v>43595.002012648431</v>
      </c>
      <c r="G53" s="5">
        <f t="shared" si="3"/>
        <v>75457.9815428609</v>
      </c>
      <c r="H53" s="22">
        <f t="shared" si="16"/>
        <v>52537.283260557793</v>
      </c>
      <c r="I53" s="5">
        <f t="shared" si="17"/>
        <v>126208.99717255973</v>
      </c>
      <c r="J53" s="26">
        <f t="shared" si="5"/>
        <v>0.25440826106338027</v>
      </c>
      <c r="L53" s="22">
        <f t="shared" si="18"/>
        <v>169273.59918520815</v>
      </c>
      <c r="M53" s="5">
        <f>scrimecost*Meta!O50</f>
        <v>422.25600000000003</v>
      </c>
      <c r="N53" s="5">
        <f>L53-Grade16!L53</f>
        <v>2011.0155379927601</v>
      </c>
      <c r="O53" s="5">
        <f>Grade16!M53-M53</f>
        <v>0</v>
      </c>
      <c r="P53" s="22">
        <f t="shared" si="12"/>
        <v>0</v>
      </c>
      <c r="Q53" s="22"/>
      <c r="R53" s="22"/>
      <c r="S53" s="22">
        <f t="shared" si="19"/>
        <v>893.72144828597652</v>
      </c>
      <c r="T53" s="22">
        <f t="shared" si="20"/>
        <v>3330.2132119985331</v>
      </c>
    </row>
    <row r="54" spans="1:20" x14ac:dyDescent="0.2">
      <c r="A54" s="5">
        <v>63</v>
      </c>
      <c r="B54" s="1">
        <f t="shared" si="13"/>
        <v>2.6850638383899672</v>
      </c>
      <c r="C54" s="5">
        <f t="shared" si="14"/>
        <v>125761.54052215017</v>
      </c>
      <c r="D54" s="5">
        <f t="shared" si="15"/>
        <v>122016.04814439705</v>
      </c>
      <c r="E54" s="5">
        <f t="shared" si="1"/>
        <v>112516.04814439705</v>
      </c>
      <c r="F54" s="5">
        <f t="shared" si="2"/>
        <v>44763.930992964641</v>
      </c>
      <c r="G54" s="5">
        <f t="shared" si="3"/>
        <v>77252.117151432409</v>
      </c>
      <c r="H54" s="22">
        <f t="shared" si="16"/>
        <v>53850.71534207173</v>
      </c>
      <c r="I54" s="5">
        <f t="shared" si="17"/>
        <v>129271.9081718737</v>
      </c>
      <c r="J54" s="26">
        <f t="shared" si="5"/>
        <v>0.25494031314453897</v>
      </c>
      <c r="L54" s="22">
        <f t="shared" si="18"/>
        <v>173505.43916483835</v>
      </c>
      <c r="M54" s="5">
        <f>scrimecost*Meta!O51</f>
        <v>422.25600000000003</v>
      </c>
      <c r="N54" s="5">
        <f>L54-Grade16!L54</f>
        <v>2061.290926442598</v>
      </c>
      <c r="O54" s="5">
        <f>Grade16!M54-M54</f>
        <v>0</v>
      </c>
      <c r="P54" s="22">
        <f t="shared" si="12"/>
        <v>0</v>
      </c>
      <c r="Q54" s="22"/>
      <c r="R54" s="22"/>
      <c r="S54" s="22">
        <f t="shared" si="19"/>
        <v>916.06448449313427</v>
      </c>
      <c r="T54" s="22">
        <f t="shared" si="20"/>
        <v>3527.5863328836863</v>
      </c>
    </row>
    <row r="55" spans="1:20" x14ac:dyDescent="0.2">
      <c r="A55" s="5">
        <v>64</v>
      </c>
      <c r="B55" s="1">
        <f t="shared" si="13"/>
        <v>2.7521904343497163</v>
      </c>
      <c r="C55" s="5">
        <f t="shared" si="14"/>
        <v>128905.5790352039</v>
      </c>
      <c r="D55" s="5">
        <f t="shared" si="15"/>
        <v>125053.18934800696</v>
      </c>
      <c r="E55" s="5">
        <f t="shared" si="1"/>
        <v>115553.18934800696</v>
      </c>
      <c r="F55" s="5">
        <f t="shared" si="2"/>
        <v>45962.08319778875</v>
      </c>
      <c r="G55" s="5">
        <f t="shared" si="3"/>
        <v>79091.106150218198</v>
      </c>
      <c r="H55" s="22">
        <f t="shared" si="16"/>
        <v>55196.983225623517</v>
      </c>
      <c r="I55" s="5">
        <f t="shared" si="17"/>
        <v>132411.39194617051</v>
      </c>
      <c r="J55" s="26">
        <f t="shared" si="5"/>
        <v>0.25545938834566934</v>
      </c>
      <c r="L55" s="22">
        <f t="shared" si="18"/>
        <v>177843.07514395929</v>
      </c>
      <c r="M55" s="5">
        <f>scrimecost*Meta!O52</f>
        <v>422.25600000000003</v>
      </c>
      <c r="N55" s="5">
        <f>L55-Grade16!L55</f>
        <v>2112.8231996036484</v>
      </c>
      <c r="O55" s="5">
        <f>Grade16!M55-M55</f>
        <v>0</v>
      </c>
      <c r="P55" s="22">
        <f t="shared" si="12"/>
        <v>0</v>
      </c>
      <c r="Q55" s="22"/>
      <c r="R55" s="22"/>
      <c r="S55" s="22">
        <f t="shared" si="19"/>
        <v>938.9660966054563</v>
      </c>
      <c r="T55" s="22">
        <f t="shared" si="20"/>
        <v>3736.6572479843535</v>
      </c>
    </row>
    <row r="56" spans="1:20" x14ac:dyDescent="0.2">
      <c r="A56" s="5">
        <v>65</v>
      </c>
      <c r="B56" s="1">
        <f t="shared" si="13"/>
        <v>2.8209951952084591</v>
      </c>
      <c r="C56" s="5">
        <f t="shared" si="14"/>
        <v>132128.21851108401</v>
      </c>
      <c r="D56" s="5">
        <f t="shared" si="15"/>
        <v>128166.25908170715</v>
      </c>
      <c r="E56" s="5">
        <f t="shared" si="1"/>
        <v>118666.25908170715</v>
      </c>
      <c r="F56" s="5">
        <f t="shared" si="2"/>
        <v>47190.189207733471</v>
      </c>
      <c r="G56" s="5">
        <f t="shared" si="3"/>
        <v>80976.069873973669</v>
      </c>
      <c r="H56" s="22">
        <f t="shared" si="16"/>
        <v>56576.907806264106</v>
      </c>
      <c r="I56" s="5">
        <f t="shared" si="17"/>
        <v>135629.3628148248</v>
      </c>
      <c r="J56" s="26">
        <f t="shared" si="5"/>
        <v>0.25596580317604045</v>
      </c>
      <c r="L56" s="22">
        <f t="shared" si="18"/>
        <v>182289.15202255829</v>
      </c>
      <c r="M56" s="5">
        <f>scrimecost*Meta!O53</f>
        <v>133.34399999999999</v>
      </c>
      <c r="N56" s="5">
        <f>L56-Grade16!L56</f>
        <v>2165.6437795937527</v>
      </c>
      <c r="O56" s="5">
        <f>Grade16!M56-M56</f>
        <v>0</v>
      </c>
      <c r="P56" s="22">
        <f t="shared" si="12"/>
        <v>0</v>
      </c>
      <c r="Q56" s="22"/>
      <c r="R56" s="22"/>
      <c r="S56" s="22">
        <f t="shared" si="19"/>
        <v>962.44024902059834</v>
      </c>
      <c r="T56" s="22">
        <f t="shared" si="20"/>
        <v>3958.1192552983407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133.34399999999999</v>
      </c>
      <c r="N57" s="5">
        <f>L57-Grade16!L57</f>
        <v>0</v>
      </c>
      <c r="O57" s="5">
        <f>Grade16!M57-M57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133.34399999999999</v>
      </c>
      <c r="N58" s="5">
        <f>L58-Grade16!L58</f>
        <v>0</v>
      </c>
      <c r="O58" s="5">
        <f>Grade16!M58-M58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133.34399999999999</v>
      </c>
      <c r="N59" s="5">
        <f>L59-Grade16!L59</f>
        <v>0</v>
      </c>
      <c r="O59" s="5">
        <f>Grade16!M59-M59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133.34399999999999</v>
      </c>
      <c r="N60" s="5">
        <f>L60-Grade16!L60</f>
        <v>0</v>
      </c>
      <c r="O60" s="5">
        <f>Grade16!M60-M60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133.34399999999999</v>
      </c>
      <c r="N61" s="5">
        <f>L61-Grade16!L61</f>
        <v>0</v>
      </c>
      <c r="O61" s="5">
        <f>Grade16!M61-M61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133.34399999999999</v>
      </c>
      <c r="N62" s="5">
        <f>L62-Grade16!L62</f>
        <v>0</v>
      </c>
      <c r="O62" s="5">
        <f>Grade16!M62-M62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133.34399999999999</v>
      </c>
      <c r="N63" s="5">
        <f>L63-Grade16!L63</f>
        <v>0</v>
      </c>
      <c r="O63" s="5">
        <f>Grade16!M63-M63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133.34399999999999</v>
      </c>
      <c r="N64" s="5">
        <f>L64-Grade16!L64</f>
        <v>0</v>
      </c>
      <c r="O64" s="5">
        <f>Grade16!M64-M64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133.34399999999999</v>
      </c>
      <c r="N65" s="5">
        <f>L65-Grade16!L65</f>
        <v>0</v>
      </c>
      <c r="O65" s="5">
        <f>Grade16!M65-M65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133.34399999999999</v>
      </c>
      <c r="N66" s="5">
        <f>L66-Grade16!L66</f>
        <v>0</v>
      </c>
      <c r="O66" s="5">
        <f>Grade16!M66-M66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133.34399999999999</v>
      </c>
      <c r="N67" s="5">
        <f>L67-Grade16!L67</f>
        <v>0</v>
      </c>
      <c r="O67" s="5">
        <f>Grade16!M67-M67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133.34399999999999</v>
      </c>
      <c r="N68" s="5">
        <f>L68-Grade16!L68</f>
        <v>0</v>
      </c>
      <c r="O68" s="5">
        <f>Grade16!M68-M68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133.34399999999999</v>
      </c>
      <c r="N69" s="5">
        <f>L69-Grade16!L69</f>
        <v>0</v>
      </c>
      <c r="O69" s="5">
        <f>Grade16!M69-M69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8.0131030699703842E-9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Meta!A12+6</f>
        <v>24</v>
      </c>
      <c r="C2" s="7">
        <f>Meta!B12</f>
        <v>95479</v>
      </c>
      <c r="D2" s="7">
        <f>Meta!C12</f>
        <v>39871</v>
      </c>
      <c r="E2" s="1">
        <f>Meta!D12</f>
        <v>3.1E-2</v>
      </c>
      <c r="F2" s="1">
        <f>Meta!F12</f>
        <v>0.85299999999999998</v>
      </c>
      <c r="G2" s="1">
        <f>Meta!I12</f>
        <v>1.7342811382937739</v>
      </c>
      <c r="H2" s="1">
        <f>Meta!E12</f>
        <v>0.52100000000000002</v>
      </c>
      <c r="I2" s="13"/>
      <c r="J2" s="1">
        <f>Meta!X11</f>
        <v>0.85299999999999998</v>
      </c>
      <c r="K2" s="1">
        <f>Meta!D11</f>
        <v>3.4000000000000002E-2</v>
      </c>
      <c r="L2" s="29"/>
      <c r="N2" s="22">
        <f>Meta!T12</f>
        <v>84363</v>
      </c>
      <c r="O2" s="22">
        <f>Meta!U12</f>
        <v>35973</v>
      </c>
      <c r="P2" s="1">
        <f>Meta!V12</f>
        <v>3.3000000000000002E-2</v>
      </c>
      <c r="Q2" s="1">
        <f>Meta!X12</f>
        <v>0.85299999999999998</v>
      </c>
      <c r="R2" s="22">
        <f>Meta!W12</f>
        <v>1852</v>
      </c>
      <c r="T2" s="12">
        <f>IRR(S5:S69)+1</f>
        <v>0.96836816367250245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C13" s="5"/>
      <c r="D13" s="5"/>
      <c r="E13" s="5"/>
      <c r="F13" s="5"/>
      <c r="G13" s="5"/>
      <c r="H13" s="22"/>
      <c r="I13" s="5"/>
      <c r="J13" s="26"/>
      <c r="L13" s="22"/>
      <c r="M13" s="5"/>
      <c r="N13" s="5"/>
      <c r="O13" s="5"/>
      <c r="P13" s="22"/>
      <c r="Q13" s="22"/>
      <c r="R13" s="22"/>
      <c r="S13" s="22"/>
      <c r="T13" s="22"/>
    </row>
    <row r="14" spans="1:20" x14ac:dyDescent="0.2">
      <c r="A14" s="5">
        <v>23</v>
      </c>
      <c r="B14" s="1">
        <v>1</v>
      </c>
      <c r="C14" s="5">
        <f>0.1*Grade17!C14</f>
        <v>4683.7448973861274</v>
      </c>
      <c r="D14" s="5">
        <f t="shared" ref="D14:D36" si="0">IF(A14&lt;startage,1,0)*(C14*(1-initialunempprob))+IF(A14=startage,1,0)*(C14*(1-unempprob))+IF(A14&gt;startage,1,0)*(C14*(1-unempprob)+unempprob*300*52)</f>
        <v>4524.4975708749989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346.12406417193739</v>
      </c>
      <c r="G14" s="5">
        <f t="shared" ref="G14:G56" si="3">D14-F14</f>
        <v>4178.3735067030611</v>
      </c>
      <c r="H14" s="22">
        <f>0.1*Grade17!H14</f>
        <v>2005.5655501420774</v>
      </c>
      <c r="I14" s="5">
        <f t="shared" ref="I14:I36" si="4">G14+IF(A14&lt;startage,1,0)*(H14*(1-initialunempprob))+IF(A14&gt;=startage,1,0)*(H14*(1-unempprob))</f>
        <v>6115.7498281403077</v>
      </c>
      <c r="J14" s="26">
        <f t="shared" ref="J14:J56" si="5">(F14-(IF(A14&gt;startage,1,0)*(unempprob*300*52)))/(IF(A14&lt;startage,1,0)*((C14+H14)*(1-initialunempprob))+IF(A14&gt;=startage,1,0)*((C14+H14)*(1-unempprob)))</f>
        <v>5.3564038843859907E-2</v>
      </c>
      <c r="L14" s="22">
        <f>0.1*Grade17!L14</f>
        <v>6461.8738923122455</v>
      </c>
      <c r="M14" s="5">
        <f>scrimecost*Meta!O11</f>
        <v>4741.12</v>
      </c>
      <c r="N14" s="5">
        <f>L14-Grade17!L14</f>
        <v>-58156.865030810208</v>
      </c>
      <c r="O14" s="5"/>
      <c r="P14" s="22"/>
      <c r="Q14" s="22">
        <f>0.05*feel*Grade17!G14</f>
        <v>464.07190996555369</v>
      </c>
      <c r="R14" s="22">
        <f>coltuition</f>
        <v>8279</v>
      </c>
      <c r="S14" s="22">
        <f t="shared" ref="S14:S45" si="6">IF(A14&lt;startage,1,0)*(N14-Q14-R14)+IF(A14&gt;=startage,1,0)*completionprob*(N14*spart+O14+P14)</f>
        <v>-66899.936940775762</v>
      </c>
      <c r="T14" s="22">
        <f t="shared" ref="T14:T45" si="7">S14/sreturn^(A14-startage+1)</f>
        <v>-66899.936940775762</v>
      </c>
    </row>
    <row r="15" spans="1:20" x14ac:dyDescent="0.2">
      <c r="A15" s="5">
        <v>24</v>
      </c>
      <c r="B15" s="1">
        <f t="shared" ref="B15:B36" si="8">(1+experiencepremium)^(A15-startage)</f>
        <v>1</v>
      </c>
      <c r="C15" s="5">
        <f t="shared" ref="C15:C36" si="9">pretaxincome*B15/expnorm</f>
        <v>55053.934389169714</v>
      </c>
      <c r="D15" s="5">
        <f t="shared" si="0"/>
        <v>53347.262423105451</v>
      </c>
      <c r="E15" s="5">
        <f t="shared" si="1"/>
        <v>43847.262423105451</v>
      </c>
      <c r="F15" s="5">
        <f t="shared" si="2"/>
        <v>15552.607423454476</v>
      </c>
      <c r="G15" s="5">
        <f t="shared" si="3"/>
        <v>37794.654999650971</v>
      </c>
      <c r="H15" s="22">
        <f t="shared" ref="H15:H36" si="10">benefits*B15/expnorm</f>
        <v>22989.928864259007</v>
      </c>
      <c r="I15" s="5">
        <f t="shared" si="4"/>
        <v>60071.896069117953</v>
      </c>
      <c r="J15" s="26">
        <f t="shared" si="5"/>
        <v>0.20565566324652962</v>
      </c>
      <c r="L15" s="22">
        <f t="shared" ref="L15:L36" si="11">(sincome+sbenefits)*(1-sunemp)*B15/expnorm</f>
        <v>67096.913776322617</v>
      </c>
      <c r="M15" s="5">
        <f>scrimecost*Meta!O12</f>
        <v>4522.5840000000007</v>
      </c>
      <c r="N15" s="5">
        <f>L15-Grade17!L15</f>
        <v>862.70638012210838</v>
      </c>
      <c r="O15" s="5">
        <f>Grade17!M15-M15</f>
        <v>0</v>
      </c>
      <c r="P15" s="22">
        <f t="shared" ref="P15:P56" si="12">(spart-initialspart)*(L15*J15+nptrans)</f>
        <v>0</v>
      </c>
      <c r="Q15" s="22"/>
      <c r="R15" s="22"/>
      <c r="S15" s="22">
        <f t="shared" si="6"/>
        <v>383.39793050920656</v>
      </c>
      <c r="T15" s="22">
        <f t="shared" si="7"/>
        <v>395.92165964562827</v>
      </c>
    </row>
    <row r="16" spans="1:20" x14ac:dyDescent="0.2">
      <c r="A16" s="5">
        <v>25</v>
      </c>
      <c r="B16" s="1">
        <f t="shared" si="8"/>
        <v>1.0249999999999999</v>
      </c>
      <c r="C16" s="5">
        <f t="shared" si="9"/>
        <v>56430.28274889895</v>
      </c>
      <c r="D16" s="5">
        <f t="shared" si="0"/>
        <v>55164.543983683077</v>
      </c>
      <c r="E16" s="5">
        <f t="shared" si="1"/>
        <v>45664.543983683077</v>
      </c>
      <c r="F16" s="5">
        <f t="shared" si="2"/>
        <v>16327.678009040832</v>
      </c>
      <c r="G16" s="5">
        <f t="shared" si="3"/>
        <v>38836.865974642249</v>
      </c>
      <c r="H16" s="22">
        <f t="shared" si="10"/>
        <v>23564.677085865478</v>
      </c>
      <c r="I16" s="5">
        <f t="shared" si="4"/>
        <v>61671.038070845898</v>
      </c>
      <c r="J16" s="26">
        <f t="shared" si="5"/>
        <v>0.20439984883351006</v>
      </c>
      <c r="L16" s="22">
        <f t="shared" si="11"/>
        <v>68774.336620730683</v>
      </c>
      <c r="M16" s="5">
        <f>scrimecost*Meta!O13</f>
        <v>3765.116</v>
      </c>
      <c r="N16" s="5">
        <f>L16-Grade17!L16</f>
        <v>884.27403962516109</v>
      </c>
      <c r="O16" s="5">
        <f>Grade17!M16-M16</f>
        <v>0</v>
      </c>
      <c r="P16" s="22">
        <f t="shared" si="12"/>
        <v>0</v>
      </c>
      <c r="Q16" s="22"/>
      <c r="R16" s="22"/>
      <c r="S16" s="22">
        <f t="shared" si="6"/>
        <v>392.98287877193673</v>
      </c>
      <c r="T16" s="22">
        <f t="shared" si="7"/>
        <v>419.0758395006626</v>
      </c>
    </row>
    <row r="17" spans="1:20" x14ac:dyDescent="0.2">
      <c r="A17" s="5">
        <v>26</v>
      </c>
      <c r="B17" s="1">
        <f t="shared" si="8"/>
        <v>1.0506249999999999</v>
      </c>
      <c r="C17" s="5">
        <f t="shared" si="9"/>
        <v>57841.039817621429</v>
      </c>
      <c r="D17" s="5">
        <f t="shared" si="0"/>
        <v>56531.567583275159</v>
      </c>
      <c r="E17" s="5">
        <f t="shared" si="1"/>
        <v>47031.567583275159</v>
      </c>
      <c r="F17" s="5">
        <f t="shared" si="2"/>
        <v>16910.713574266854</v>
      </c>
      <c r="G17" s="5">
        <f t="shared" si="3"/>
        <v>39620.854009008304</v>
      </c>
      <c r="H17" s="22">
        <f t="shared" si="10"/>
        <v>24153.794013012117</v>
      </c>
      <c r="I17" s="5">
        <f t="shared" si="4"/>
        <v>63025.880407617049</v>
      </c>
      <c r="J17" s="26">
        <f t="shared" si="5"/>
        <v>0.20675260617633121</v>
      </c>
      <c r="L17" s="22">
        <f t="shared" si="11"/>
        <v>70493.695036248944</v>
      </c>
      <c r="M17" s="5">
        <f>scrimecost*Meta!O14</f>
        <v>3765.116</v>
      </c>
      <c r="N17" s="5">
        <f>L17-Grade17!L17</f>
        <v>906.38089061579376</v>
      </c>
      <c r="O17" s="5">
        <f>Grade17!M17-M17</f>
        <v>0</v>
      </c>
      <c r="P17" s="22">
        <f t="shared" si="12"/>
        <v>0</v>
      </c>
      <c r="Q17" s="22"/>
      <c r="R17" s="22"/>
      <c r="S17" s="22">
        <f t="shared" si="6"/>
        <v>402.80745074123672</v>
      </c>
      <c r="T17" s="22">
        <f t="shared" si="7"/>
        <v>443.58411563130807</v>
      </c>
    </row>
    <row r="18" spans="1:20" x14ac:dyDescent="0.2">
      <c r="A18" s="5">
        <v>27</v>
      </c>
      <c r="B18" s="1">
        <f t="shared" si="8"/>
        <v>1.0768906249999999</v>
      </c>
      <c r="C18" s="5">
        <f t="shared" si="9"/>
        <v>59287.065813061956</v>
      </c>
      <c r="D18" s="5">
        <f t="shared" si="0"/>
        <v>57932.76677285703</v>
      </c>
      <c r="E18" s="5">
        <f t="shared" si="1"/>
        <v>48432.76677285703</v>
      </c>
      <c r="F18" s="5">
        <f t="shared" si="2"/>
        <v>17508.325028623523</v>
      </c>
      <c r="G18" s="5">
        <f t="shared" si="3"/>
        <v>40424.441744233511</v>
      </c>
      <c r="H18" s="22">
        <f t="shared" si="10"/>
        <v>24757.638863337419</v>
      </c>
      <c r="I18" s="5">
        <f t="shared" si="4"/>
        <v>64414.593802807474</v>
      </c>
      <c r="J18" s="26">
        <f t="shared" si="5"/>
        <v>0.20904797919371765</v>
      </c>
      <c r="L18" s="22">
        <f t="shared" si="11"/>
        <v>72256.037412155172</v>
      </c>
      <c r="M18" s="5">
        <f>scrimecost*Meta!O15</f>
        <v>3765.116</v>
      </c>
      <c r="N18" s="5">
        <f>L18-Grade17!L18</f>
        <v>929.04041288119333</v>
      </c>
      <c r="O18" s="5">
        <f>Grade17!M18-M18</f>
        <v>0</v>
      </c>
      <c r="P18" s="22">
        <f t="shared" si="12"/>
        <v>0</v>
      </c>
      <c r="Q18" s="22"/>
      <c r="R18" s="22"/>
      <c r="S18" s="22">
        <f t="shared" si="6"/>
        <v>412.87763700976978</v>
      </c>
      <c r="T18" s="22">
        <f t="shared" si="7"/>
        <v>469.52567791753813</v>
      </c>
    </row>
    <row r="19" spans="1:20" x14ac:dyDescent="0.2">
      <c r="A19" s="5">
        <v>28</v>
      </c>
      <c r="B19" s="1">
        <f t="shared" si="8"/>
        <v>1.1038128906249998</v>
      </c>
      <c r="C19" s="5">
        <f t="shared" si="9"/>
        <v>60769.2424583885</v>
      </c>
      <c r="D19" s="5">
        <f t="shared" si="0"/>
        <v>59368.995942178452</v>
      </c>
      <c r="E19" s="5">
        <f t="shared" si="1"/>
        <v>49868.995942178452</v>
      </c>
      <c r="F19" s="5">
        <f t="shared" si="2"/>
        <v>18120.876769339113</v>
      </c>
      <c r="G19" s="5">
        <f t="shared" si="3"/>
        <v>41248.119172839339</v>
      </c>
      <c r="H19" s="22">
        <f t="shared" si="10"/>
        <v>25376.579834920853</v>
      </c>
      <c r="I19" s="5">
        <f t="shared" si="4"/>
        <v>65838.025032877646</v>
      </c>
      <c r="J19" s="26">
        <f t="shared" si="5"/>
        <v>0.21128736750336305</v>
      </c>
      <c r="L19" s="22">
        <f t="shared" si="11"/>
        <v>74062.438347459043</v>
      </c>
      <c r="M19" s="5">
        <f>scrimecost*Meta!O16</f>
        <v>3765.116</v>
      </c>
      <c r="N19" s="5">
        <f>L19-Grade17!L19</f>
        <v>952.26642320322571</v>
      </c>
      <c r="O19" s="5">
        <f>Grade17!M19-M19</f>
        <v>0</v>
      </c>
      <c r="P19" s="22">
        <f t="shared" si="12"/>
        <v>0</v>
      </c>
      <c r="Q19" s="22"/>
      <c r="R19" s="22"/>
      <c r="S19" s="22">
        <f t="shared" si="6"/>
        <v>423.19957793501516</v>
      </c>
      <c r="T19" s="22">
        <f t="shared" si="7"/>
        <v>496.98434739975511</v>
      </c>
    </row>
    <row r="20" spans="1:20" x14ac:dyDescent="0.2">
      <c r="A20" s="5">
        <v>29</v>
      </c>
      <c r="B20" s="1">
        <f t="shared" si="8"/>
        <v>1.1314082128906247</v>
      </c>
      <c r="C20" s="5">
        <f t="shared" si="9"/>
        <v>62288.473519848209</v>
      </c>
      <c r="D20" s="5">
        <f t="shared" si="0"/>
        <v>60841.130840732912</v>
      </c>
      <c r="E20" s="5">
        <f t="shared" si="1"/>
        <v>51341.130840732912</v>
      </c>
      <c r="F20" s="5">
        <f t="shared" si="2"/>
        <v>18748.742303572588</v>
      </c>
      <c r="G20" s="5">
        <f t="shared" si="3"/>
        <v>42092.388537160325</v>
      </c>
      <c r="H20" s="22">
        <f t="shared" si="10"/>
        <v>26010.99433079387</v>
      </c>
      <c r="I20" s="5">
        <f t="shared" si="4"/>
        <v>67297.042043699592</v>
      </c>
      <c r="J20" s="26">
        <f t="shared" si="5"/>
        <v>0.21347213658594383</v>
      </c>
      <c r="L20" s="22">
        <f t="shared" si="11"/>
        <v>75913.999306145502</v>
      </c>
      <c r="M20" s="5">
        <f>scrimecost*Meta!O17</f>
        <v>3765.116</v>
      </c>
      <c r="N20" s="5">
        <f>L20-Grade17!L20</f>
        <v>976.07308378329617</v>
      </c>
      <c r="O20" s="5">
        <f>Grade17!M20-M20</f>
        <v>0</v>
      </c>
      <c r="P20" s="22">
        <f t="shared" si="12"/>
        <v>0</v>
      </c>
      <c r="Q20" s="22"/>
      <c r="R20" s="22"/>
      <c r="S20" s="22">
        <f t="shared" si="6"/>
        <v>433.779567383386</v>
      </c>
      <c r="T20" s="22">
        <f t="shared" si="7"/>
        <v>526.048847117018</v>
      </c>
    </row>
    <row r="21" spans="1:20" x14ac:dyDescent="0.2">
      <c r="A21" s="5">
        <v>30</v>
      </c>
      <c r="B21" s="1">
        <f t="shared" si="8"/>
        <v>1.1596934182128902</v>
      </c>
      <c r="C21" s="5">
        <f t="shared" si="9"/>
        <v>63845.685357844413</v>
      </c>
      <c r="D21" s="5">
        <f t="shared" si="0"/>
        <v>62350.069111751232</v>
      </c>
      <c r="E21" s="5">
        <f t="shared" si="1"/>
        <v>52850.069111751232</v>
      </c>
      <c r="F21" s="5">
        <f t="shared" si="2"/>
        <v>19392.304476161902</v>
      </c>
      <c r="G21" s="5">
        <f t="shared" si="3"/>
        <v>42957.76463558933</v>
      </c>
      <c r="H21" s="22">
        <f t="shared" si="10"/>
        <v>26661.269189063718</v>
      </c>
      <c r="I21" s="5">
        <f t="shared" si="4"/>
        <v>68792.53447979207</v>
      </c>
      <c r="J21" s="26">
        <f t="shared" si="5"/>
        <v>0.21560361861772998</v>
      </c>
      <c r="L21" s="22">
        <f t="shared" si="11"/>
        <v>77811.849288799131</v>
      </c>
      <c r="M21" s="5">
        <f>scrimecost*Meta!O18</f>
        <v>3102.1</v>
      </c>
      <c r="N21" s="5">
        <f>L21-Grade17!L21</f>
        <v>1000.4749108778633</v>
      </c>
      <c r="O21" s="5">
        <f>Grade17!M21-M21</f>
        <v>0</v>
      </c>
      <c r="P21" s="22">
        <f t="shared" si="12"/>
        <v>0</v>
      </c>
      <c r="Q21" s="22"/>
      <c r="R21" s="22"/>
      <c r="S21" s="22">
        <f t="shared" si="6"/>
        <v>444.62405656796386</v>
      </c>
      <c r="T21" s="22">
        <f t="shared" si="7"/>
        <v>556.81308878437073</v>
      </c>
    </row>
    <row r="22" spans="1:20" x14ac:dyDescent="0.2">
      <c r="A22" s="5">
        <v>31</v>
      </c>
      <c r="B22" s="1">
        <f t="shared" si="8"/>
        <v>1.1886857536682125</v>
      </c>
      <c r="C22" s="5">
        <f t="shared" si="9"/>
        <v>65441.827491790522</v>
      </c>
      <c r="D22" s="5">
        <f t="shared" si="0"/>
        <v>63896.730839545009</v>
      </c>
      <c r="E22" s="5">
        <f t="shared" si="1"/>
        <v>54396.730839545009</v>
      </c>
      <c r="F22" s="5">
        <f t="shared" si="2"/>
        <v>20051.955703065949</v>
      </c>
      <c r="G22" s="5">
        <f t="shared" si="3"/>
        <v>43844.77513647906</v>
      </c>
      <c r="H22" s="22">
        <f t="shared" si="10"/>
        <v>27327.800918790308</v>
      </c>
      <c r="I22" s="5">
        <f t="shared" si="4"/>
        <v>70325.414226786874</v>
      </c>
      <c r="J22" s="26">
        <f t="shared" si="5"/>
        <v>0.2176831132828872</v>
      </c>
      <c r="L22" s="22">
        <f t="shared" si="11"/>
        <v>79757.14552101912</v>
      </c>
      <c r="M22" s="5">
        <f>scrimecost*Meta!O19</f>
        <v>3102.1</v>
      </c>
      <c r="N22" s="5">
        <f>L22-Grade17!L22</f>
        <v>1025.4867836498306</v>
      </c>
      <c r="O22" s="5">
        <f>Grade17!M22-M22</f>
        <v>0</v>
      </c>
      <c r="P22" s="22">
        <f t="shared" si="12"/>
        <v>0</v>
      </c>
      <c r="Q22" s="22"/>
      <c r="R22" s="22"/>
      <c r="S22" s="22">
        <f t="shared" si="6"/>
        <v>455.73965798217216</v>
      </c>
      <c r="T22" s="22">
        <f t="shared" si="7"/>
        <v>589.37647623555176</v>
      </c>
    </row>
    <row r="23" spans="1:20" x14ac:dyDescent="0.2">
      <c r="A23" s="5">
        <v>32</v>
      </c>
      <c r="B23" s="1">
        <f t="shared" si="8"/>
        <v>1.2184028975099177</v>
      </c>
      <c r="C23" s="5">
        <f t="shared" si="9"/>
        <v>67077.873179085291</v>
      </c>
      <c r="D23" s="5">
        <f t="shared" si="0"/>
        <v>65482.059110533643</v>
      </c>
      <c r="E23" s="5">
        <f t="shared" si="1"/>
        <v>55982.059110533643</v>
      </c>
      <c r="F23" s="5">
        <f t="shared" si="2"/>
        <v>20728.098210642598</v>
      </c>
      <c r="G23" s="5">
        <f t="shared" si="3"/>
        <v>44753.960899891041</v>
      </c>
      <c r="H23" s="22">
        <f t="shared" si="10"/>
        <v>28010.995941760066</v>
      </c>
      <c r="I23" s="5">
        <f t="shared" si="4"/>
        <v>71896.615967456542</v>
      </c>
      <c r="J23" s="26">
        <f t="shared" si="5"/>
        <v>0.21971188856596741</v>
      </c>
      <c r="L23" s="22">
        <f t="shared" si="11"/>
        <v>81751.074159044598</v>
      </c>
      <c r="M23" s="5">
        <f>scrimecost*Meta!O20</f>
        <v>3102.1</v>
      </c>
      <c r="N23" s="5">
        <f>L23-Grade17!L23</f>
        <v>1051.1239532410837</v>
      </c>
      <c r="O23" s="5">
        <f>Grade17!M23-M23</f>
        <v>0</v>
      </c>
      <c r="P23" s="22">
        <f t="shared" si="12"/>
        <v>0</v>
      </c>
      <c r="Q23" s="22"/>
      <c r="R23" s="22"/>
      <c r="S23" s="22">
        <f t="shared" si="6"/>
        <v>467.13314943172969</v>
      </c>
      <c r="T23" s="22">
        <f t="shared" si="7"/>
        <v>623.84422661147323</v>
      </c>
    </row>
    <row r="24" spans="1:20" x14ac:dyDescent="0.2">
      <c r="A24" s="5">
        <v>33</v>
      </c>
      <c r="B24" s="1">
        <f t="shared" si="8"/>
        <v>1.2488629699476654</v>
      </c>
      <c r="C24" s="5">
        <f t="shared" si="9"/>
        <v>68754.820008562398</v>
      </c>
      <c r="D24" s="5">
        <f t="shared" si="0"/>
        <v>67107.02058829696</v>
      </c>
      <c r="E24" s="5">
        <f t="shared" si="1"/>
        <v>57607.02058829696</v>
      </c>
      <c r="F24" s="5">
        <f t="shared" si="2"/>
        <v>21421.144280908655</v>
      </c>
      <c r="G24" s="5">
        <f t="shared" si="3"/>
        <v>45685.876307388302</v>
      </c>
      <c r="H24" s="22">
        <f t="shared" si="10"/>
        <v>28711.27084030406</v>
      </c>
      <c r="I24" s="5">
        <f t="shared" si="4"/>
        <v>73507.097751642927</v>
      </c>
      <c r="J24" s="26">
        <f t="shared" si="5"/>
        <v>0.22169118152507006</v>
      </c>
      <c r="L24" s="22">
        <f t="shared" si="11"/>
        <v>83794.8510130207</v>
      </c>
      <c r="M24" s="5">
        <f>scrimecost*Meta!O21</f>
        <v>3102.1</v>
      </c>
      <c r="N24" s="5">
        <f>L24-Grade17!L24</f>
        <v>1077.4020520720951</v>
      </c>
      <c r="O24" s="5">
        <f>Grade17!M24-M24</f>
        <v>0</v>
      </c>
      <c r="P24" s="22">
        <f t="shared" si="12"/>
        <v>0</v>
      </c>
      <c r="Q24" s="22"/>
      <c r="R24" s="22"/>
      <c r="S24" s="22">
        <f t="shared" si="6"/>
        <v>478.81147816751599</v>
      </c>
      <c r="T24" s="22">
        <f t="shared" si="7"/>
        <v>660.32771033249969</v>
      </c>
    </row>
    <row r="25" spans="1:20" x14ac:dyDescent="0.2">
      <c r="A25" s="5">
        <v>34</v>
      </c>
      <c r="B25" s="1">
        <f t="shared" si="8"/>
        <v>1.2800845441963571</v>
      </c>
      <c r="C25" s="5">
        <f t="shared" si="9"/>
        <v>70473.690508776461</v>
      </c>
      <c r="D25" s="5">
        <f t="shared" si="0"/>
        <v>68772.606103004393</v>
      </c>
      <c r="E25" s="5">
        <f t="shared" si="1"/>
        <v>59272.606103004393</v>
      </c>
      <c r="F25" s="5">
        <f t="shared" si="2"/>
        <v>22131.516502931372</v>
      </c>
      <c r="G25" s="5">
        <f t="shared" si="3"/>
        <v>46641.089600073021</v>
      </c>
      <c r="H25" s="22">
        <f t="shared" si="10"/>
        <v>29429.052611311665</v>
      </c>
      <c r="I25" s="5">
        <f t="shared" si="4"/>
        <v>75157.841580434018</v>
      </c>
      <c r="J25" s="26">
        <f t="shared" si="5"/>
        <v>0.2236221990461458</v>
      </c>
      <c r="L25" s="22">
        <f t="shared" si="11"/>
        <v>85889.722288346224</v>
      </c>
      <c r="M25" s="5">
        <f>scrimecost*Meta!O22</f>
        <v>3102.1</v>
      </c>
      <c r="N25" s="5">
        <f>L25-Grade17!L25</f>
        <v>1104.3371033739095</v>
      </c>
      <c r="O25" s="5">
        <f>Grade17!M25-M25</f>
        <v>0</v>
      </c>
      <c r="P25" s="22">
        <f t="shared" si="12"/>
        <v>0</v>
      </c>
      <c r="Q25" s="22"/>
      <c r="R25" s="22"/>
      <c r="S25" s="22">
        <f t="shared" si="6"/>
        <v>490.78176512170927</v>
      </c>
      <c r="T25" s="22">
        <f t="shared" si="7"/>
        <v>698.94481095283322</v>
      </c>
    </row>
    <row r="26" spans="1:20" x14ac:dyDescent="0.2">
      <c r="A26" s="5">
        <v>35</v>
      </c>
      <c r="B26" s="1">
        <f t="shared" si="8"/>
        <v>1.312086657801266</v>
      </c>
      <c r="C26" s="5">
        <f t="shared" si="9"/>
        <v>72235.532771495869</v>
      </c>
      <c r="D26" s="5">
        <f t="shared" si="0"/>
        <v>70479.831255579498</v>
      </c>
      <c r="E26" s="5">
        <f t="shared" si="1"/>
        <v>60979.831255579498</v>
      </c>
      <c r="F26" s="5">
        <f t="shared" si="2"/>
        <v>22859.648030504657</v>
      </c>
      <c r="G26" s="5">
        <f t="shared" si="3"/>
        <v>47620.183225074841</v>
      </c>
      <c r="H26" s="22">
        <f t="shared" si="10"/>
        <v>30164.778926594456</v>
      </c>
      <c r="I26" s="5">
        <f t="shared" si="4"/>
        <v>76849.854004944864</v>
      </c>
      <c r="J26" s="26">
        <f t="shared" si="5"/>
        <v>0.22550611857890265</v>
      </c>
      <c r="L26" s="22">
        <f t="shared" si="11"/>
        <v>88036.965345554869</v>
      </c>
      <c r="M26" s="5">
        <f>scrimecost*Meta!O23</f>
        <v>2344.6320000000001</v>
      </c>
      <c r="N26" s="5">
        <f>L26-Grade17!L26</f>
        <v>1131.9455309582554</v>
      </c>
      <c r="O26" s="5">
        <f>Grade17!M26-M26</f>
        <v>0</v>
      </c>
      <c r="P26" s="22">
        <f t="shared" si="12"/>
        <v>0</v>
      </c>
      <c r="Q26" s="22"/>
      <c r="R26" s="22"/>
      <c r="S26" s="22">
        <f t="shared" si="6"/>
        <v>503.05130924975117</v>
      </c>
      <c r="T26" s="22">
        <f t="shared" si="7"/>
        <v>739.82030605969226</v>
      </c>
    </row>
    <row r="27" spans="1:20" x14ac:dyDescent="0.2">
      <c r="A27" s="5">
        <v>36</v>
      </c>
      <c r="B27" s="1">
        <f t="shared" si="8"/>
        <v>1.3448888242462975</v>
      </c>
      <c r="C27" s="5">
        <f t="shared" si="9"/>
        <v>74041.42109078326</v>
      </c>
      <c r="D27" s="5">
        <f t="shared" si="0"/>
        <v>72229.737036968989</v>
      </c>
      <c r="E27" s="5">
        <f t="shared" si="1"/>
        <v>62729.737036968989</v>
      </c>
      <c r="F27" s="5">
        <f t="shared" si="2"/>
        <v>23605.982846267274</v>
      </c>
      <c r="G27" s="5">
        <f t="shared" si="3"/>
        <v>48623.754190701715</v>
      </c>
      <c r="H27" s="22">
        <f t="shared" si="10"/>
        <v>30918.898399759313</v>
      </c>
      <c r="I27" s="5">
        <f t="shared" si="4"/>
        <v>78584.166740068496</v>
      </c>
      <c r="J27" s="26">
        <f t="shared" si="5"/>
        <v>0.22734408885476301</v>
      </c>
      <c r="L27" s="22">
        <f t="shared" si="11"/>
        <v>90237.889479193735</v>
      </c>
      <c r="M27" s="5">
        <f>scrimecost*Meta!O24</f>
        <v>2344.6320000000001</v>
      </c>
      <c r="N27" s="5">
        <f>L27-Grade17!L27</f>
        <v>1160.2441692322027</v>
      </c>
      <c r="O27" s="5">
        <f>Grade17!M27-M27</f>
        <v>0</v>
      </c>
      <c r="P27" s="22">
        <f t="shared" si="12"/>
        <v>0</v>
      </c>
      <c r="Q27" s="22"/>
      <c r="R27" s="22"/>
      <c r="S27" s="22">
        <f t="shared" si="6"/>
        <v>515.62759198099093</v>
      </c>
      <c r="T27" s="22">
        <f t="shared" si="7"/>
        <v>783.08627044831019</v>
      </c>
    </row>
    <row r="28" spans="1:20" x14ac:dyDescent="0.2">
      <c r="A28" s="5">
        <v>37</v>
      </c>
      <c r="B28" s="1">
        <f t="shared" si="8"/>
        <v>1.3785110448524549</v>
      </c>
      <c r="C28" s="5">
        <f t="shared" si="9"/>
        <v>75892.456618052835</v>
      </c>
      <c r="D28" s="5">
        <f t="shared" si="0"/>
        <v>74023.390462893207</v>
      </c>
      <c r="E28" s="5">
        <f t="shared" si="1"/>
        <v>64523.390462893207</v>
      </c>
      <c r="F28" s="5">
        <f t="shared" si="2"/>
        <v>24370.976032423954</v>
      </c>
      <c r="G28" s="5">
        <f t="shared" si="3"/>
        <v>49652.414430469253</v>
      </c>
      <c r="H28" s="22">
        <f t="shared" si="10"/>
        <v>31691.870859753293</v>
      </c>
      <c r="I28" s="5">
        <f t="shared" si="4"/>
        <v>80361.837293570192</v>
      </c>
      <c r="J28" s="26">
        <f t="shared" si="5"/>
        <v>0.2291372305873097</v>
      </c>
      <c r="L28" s="22">
        <f t="shared" si="11"/>
        <v>92493.836716173566</v>
      </c>
      <c r="M28" s="5">
        <f>scrimecost*Meta!O25</f>
        <v>2344.6320000000001</v>
      </c>
      <c r="N28" s="5">
        <f>L28-Grade17!L28</f>
        <v>1189.2502734630107</v>
      </c>
      <c r="O28" s="5">
        <f>Grade17!M28-M28</f>
        <v>0</v>
      </c>
      <c r="P28" s="22">
        <f t="shared" si="12"/>
        <v>0</v>
      </c>
      <c r="Q28" s="22"/>
      <c r="R28" s="22"/>
      <c r="S28" s="22">
        <f t="shared" si="6"/>
        <v>528.51828178051699</v>
      </c>
      <c r="T28" s="22">
        <f t="shared" si="7"/>
        <v>828.88250287519463</v>
      </c>
    </row>
    <row r="29" spans="1:20" x14ac:dyDescent="0.2">
      <c r="A29" s="5">
        <v>38</v>
      </c>
      <c r="B29" s="1">
        <f t="shared" si="8"/>
        <v>1.4129738209737661</v>
      </c>
      <c r="C29" s="5">
        <f t="shared" si="9"/>
        <v>77789.768033504166</v>
      </c>
      <c r="D29" s="5">
        <f t="shared" si="0"/>
        <v>75861.885224465543</v>
      </c>
      <c r="E29" s="5">
        <f t="shared" si="1"/>
        <v>66361.885224465543</v>
      </c>
      <c r="F29" s="5">
        <f t="shared" si="2"/>
        <v>25155.094048234554</v>
      </c>
      <c r="G29" s="5">
        <f t="shared" si="3"/>
        <v>50706.791176230989</v>
      </c>
      <c r="H29" s="22">
        <f t="shared" si="10"/>
        <v>32484.167631247125</v>
      </c>
      <c r="I29" s="5">
        <f t="shared" si="4"/>
        <v>82183.949610909447</v>
      </c>
      <c r="J29" s="26">
        <f t="shared" si="5"/>
        <v>0.23088663715564786</v>
      </c>
      <c r="L29" s="22">
        <f t="shared" si="11"/>
        <v>94806.182634077908</v>
      </c>
      <c r="M29" s="5">
        <f>scrimecost*Meta!O26</f>
        <v>2344.6320000000001</v>
      </c>
      <c r="N29" s="5">
        <f>L29-Grade17!L29</f>
        <v>1218.9815302995848</v>
      </c>
      <c r="O29" s="5">
        <f>Grade17!M29-M29</f>
        <v>0</v>
      </c>
      <c r="P29" s="22">
        <f t="shared" si="12"/>
        <v>0</v>
      </c>
      <c r="Q29" s="22"/>
      <c r="R29" s="22"/>
      <c r="S29" s="22">
        <f t="shared" si="6"/>
        <v>541.73123882502944</v>
      </c>
      <c r="T29" s="22">
        <f t="shared" si="7"/>
        <v>877.35697776863913</v>
      </c>
    </row>
    <row r="30" spans="1:20" x14ac:dyDescent="0.2">
      <c r="A30" s="5">
        <v>39</v>
      </c>
      <c r="B30" s="1">
        <f t="shared" si="8"/>
        <v>1.4482981664981105</v>
      </c>
      <c r="C30" s="5">
        <f t="shared" si="9"/>
        <v>79734.512234341761</v>
      </c>
      <c r="D30" s="5">
        <f t="shared" si="0"/>
        <v>77746.342355077169</v>
      </c>
      <c r="E30" s="5">
        <f t="shared" si="1"/>
        <v>68246.342355077169</v>
      </c>
      <c r="F30" s="5">
        <f t="shared" si="2"/>
        <v>25958.815014440414</v>
      </c>
      <c r="G30" s="5">
        <f t="shared" si="3"/>
        <v>51787.527340636756</v>
      </c>
      <c r="H30" s="22">
        <f t="shared" si="10"/>
        <v>33296.271822028306</v>
      </c>
      <c r="I30" s="5">
        <f t="shared" si="4"/>
        <v>84051.614736182179</v>
      </c>
      <c r="J30" s="26">
        <f t="shared" si="5"/>
        <v>0.2325933752710998</v>
      </c>
      <c r="L30" s="22">
        <f t="shared" si="11"/>
        <v>97176.337199929869</v>
      </c>
      <c r="M30" s="5">
        <f>scrimecost*Meta!O27</f>
        <v>2344.6320000000001</v>
      </c>
      <c r="N30" s="5">
        <f>L30-Grade17!L30</f>
        <v>1249.4560685570905</v>
      </c>
      <c r="O30" s="5">
        <f>Grade17!M30-M30</f>
        <v>0</v>
      </c>
      <c r="P30" s="22">
        <f t="shared" si="12"/>
        <v>0</v>
      </c>
      <c r="Q30" s="22"/>
      <c r="R30" s="22"/>
      <c r="S30" s="22">
        <f t="shared" si="6"/>
        <v>555.27451979566229</v>
      </c>
      <c r="T30" s="22">
        <f t="shared" si="7"/>
        <v>928.66632335612667</v>
      </c>
    </row>
    <row r="31" spans="1:20" x14ac:dyDescent="0.2">
      <c r="A31" s="5">
        <v>40</v>
      </c>
      <c r="B31" s="1">
        <f t="shared" si="8"/>
        <v>1.4845056206605631</v>
      </c>
      <c r="C31" s="5">
        <f t="shared" si="9"/>
        <v>81727.875040200306</v>
      </c>
      <c r="D31" s="5">
        <f t="shared" si="0"/>
        <v>79677.910913954096</v>
      </c>
      <c r="E31" s="5">
        <f t="shared" si="1"/>
        <v>70177.910913954096</v>
      </c>
      <c r="F31" s="5">
        <f t="shared" si="2"/>
        <v>26782.629004801423</v>
      </c>
      <c r="G31" s="5">
        <f t="shared" si="3"/>
        <v>52895.281909152676</v>
      </c>
      <c r="H31" s="22">
        <f t="shared" si="10"/>
        <v>34128.678617579011</v>
      </c>
      <c r="I31" s="5">
        <f t="shared" si="4"/>
        <v>85965.971489586736</v>
      </c>
      <c r="J31" s="26">
        <f t="shared" si="5"/>
        <v>0.23425848562763821</v>
      </c>
      <c r="L31" s="22">
        <f t="shared" si="11"/>
        <v>99605.745629928104</v>
      </c>
      <c r="M31" s="5">
        <f>scrimecost*Meta!O28</f>
        <v>2094.6120000000001</v>
      </c>
      <c r="N31" s="5">
        <f>L31-Grade17!L31</f>
        <v>1280.6924702710094</v>
      </c>
      <c r="O31" s="5">
        <f>Grade17!M31-M31</f>
        <v>0</v>
      </c>
      <c r="P31" s="22">
        <f t="shared" si="12"/>
        <v>0</v>
      </c>
      <c r="Q31" s="22"/>
      <c r="R31" s="22"/>
      <c r="S31" s="22">
        <f t="shared" si="6"/>
        <v>569.15638279055008</v>
      </c>
      <c r="T31" s="22">
        <f t="shared" si="7"/>
        <v>982.97632775332124</v>
      </c>
    </row>
    <row r="32" spans="1:20" x14ac:dyDescent="0.2">
      <c r="A32" s="5">
        <v>41</v>
      </c>
      <c r="B32" s="1">
        <f t="shared" si="8"/>
        <v>1.521618261177077</v>
      </c>
      <c r="C32" s="5">
        <f t="shared" si="9"/>
        <v>83771.071916205314</v>
      </c>
      <c r="D32" s="5">
        <f t="shared" si="0"/>
        <v>81657.768686802956</v>
      </c>
      <c r="E32" s="5">
        <f t="shared" si="1"/>
        <v>72157.768686802956</v>
      </c>
      <c r="F32" s="5">
        <f t="shared" si="2"/>
        <v>27627.038344921461</v>
      </c>
      <c r="G32" s="5">
        <f t="shared" si="3"/>
        <v>54030.730341881499</v>
      </c>
      <c r="H32" s="22">
        <f t="shared" si="10"/>
        <v>34981.895583018479</v>
      </c>
      <c r="I32" s="5">
        <f t="shared" si="4"/>
        <v>87928.187161826412</v>
      </c>
      <c r="J32" s="26">
        <f t="shared" si="5"/>
        <v>0.23588298353645623</v>
      </c>
      <c r="L32" s="22">
        <f t="shared" si="11"/>
        <v>102095.8892706763</v>
      </c>
      <c r="M32" s="5">
        <f>scrimecost*Meta!O29</f>
        <v>2094.6120000000001</v>
      </c>
      <c r="N32" s="5">
        <f>L32-Grade17!L32</f>
        <v>1312.709782027785</v>
      </c>
      <c r="O32" s="5">
        <f>Grade17!M32-M32</f>
        <v>0</v>
      </c>
      <c r="P32" s="22">
        <f t="shared" si="12"/>
        <v>0</v>
      </c>
      <c r="Q32" s="22"/>
      <c r="R32" s="22"/>
      <c r="S32" s="22">
        <f t="shared" si="6"/>
        <v>583.385292360314</v>
      </c>
      <c r="T32" s="22">
        <f t="shared" si="7"/>
        <v>1040.4624746501925</v>
      </c>
    </row>
    <row r="33" spans="1:20" x14ac:dyDescent="0.2">
      <c r="A33" s="5">
        <v>42</v>
      </c>
      <c r="B33" s="1">
        <f t="shared" si="8"/>
        <v>1.559658717706504</v>
      </c>
      <c r="C33" s="5">
        <f t="shared" si="9"/>
        <v>85865.348714110442</v>
      </c>
      <c r="D33" s="5">
        <f t="shared" si="0"/>
        <v>83687.122903973024</v>
      </c>
      <c r="E33" s="5">
        <f t="shared" si="1"/>
        <v>74187.122903973024</v>
      </c>
      <c r="F33" s="5">
        <f t="shared" si="2"/>
        <v>28492.557918544495</v>
      </c>
      <c r="G33" s="5">
        <f t="shared" si="3"/>
        <v>55194.564985428529</v>
      </c>
      <c r="H33" s="22">
        <f t="shared" si="10"/>
        <v>35856.442972593948</v>
      </c>
      <c r="I33" s="5">
        <f t="shared" si="4"/>
        <v>89939.458225872062</v>
      </c>
      <c r="J33" s="26">
        <f t="shared" si="5"/>
        <v>0.23746785954505917</v>
      </c>
      <c r="L33" s="22">
        <f t="shared" si="11"/>
        <v>104648.2865024432</v>
      </c>
      <c r="M33" s="5">
        <f>scrimecost*Meta!O30</f>
        <v>2094.6120000000001</v>
      </c>
      <c r="N33" s="5">
        <f>L33-Grade17!L33</f>
        <v>1345.5275265784585</v>
      </c>
      <c r="O33" s="5">
        <f>Grade17!M33-M33</f>
        <v>0</v>
      </c>
      <c r="P33" s="22">
        <f t="shared" si="12"/>
        <v>0</v>
      </c>
      <c r="Q33" s="22"/>
      <c r="R33" s="22"/>
      <c r="S33" s="22">
        <f t="shared" si="6"/>
        <v>597.96992466931249</v>
      </c>
      <c r="T33" s="22">
        <f t="shared" si="7"/>
        <v>1101.3105103247767</v>
      </c>
    </row>
    <row r="34" spans="1:20" x14ac:dyDescent="0.2">
      <c r="A34" s="5">
        <v>43</v>
      </c>
      <c r="B34" s="1">
        <f t="shared" si="8"/>
        <v>1.5986501856491666</v>
      </c>
      <c r="C34" s="5">
        <f t="shared" si="9"/>
        <v>88011.982431963203</v>
      </c>
      <c r="D34" s="5">
        <f t="shared" si="0"/>
        <v>85767.210976572343</v>
      </c>
      <c r="E34" s="5">
        <f t="shared" si="1"/>
        <v>76267.210976572343</v>
      </c>
      <c r="F34" s="5">
        <f t="shared" si="2"/>
        <v>29379.715481508105</v>
      </c>
      <c r="G34" s="5">
        <f t="shared" si="3"/>
        <v>56387.495495064242</v>
      </c>
      <c r="H34" s="22">
        <f t="shared" si="10"/>
        <v>36752.854046908797</v>
      </c>
      <c r="I34" s="5">
        <f t="shared" si="4"/>
        <v>92001.011066518869</v>
      </c>
      <c r="J34" s="26">
        <f t="shared" si="5"/>
        <v>0.23901408004125713</v>
      </c>
      <c r="L34" s="22">
        <f t="shared" si="11"/>
        <v>107264.49366500428</v>
      </c>
      <c r="M34" s="5">
        <f>scrimecost*Meta!O31</f>
        <v>2094.6120000000001</v>
      </c>
      <c r="N34" s="5">
        <f>L34-Grade17!L34</f>
        <v>1379.165714742936</v>
      </c>
      <c r="O34" s="5">
        <f>Grade17!M34-M34</f>
        <v>0</v>
      </c>
      <c r="P34" s="22">
        <f t="shared" si="12"/>
        <v>0</v>
      </c>
      <c r="Q34" s="22"/>
      <c r="R34" s="22"/>
      <c r="S34" s="22">
        <f t="shared" si="6"/>
        <v>612.91917278605251</v>
      </c>
      <c r="T34" s="22">
        <f t="shared" si="7"/>
        <v>1165.7170438171065</v>
      </c>
    </row>
    <row r="35" spans="1:20" x14ac:dyDescent="0.2">
      <c r="A35" s="5">
        <v>44</v>
      </c>
      <c r="B35" s="1">
        <f t="shared" si="8"/>
        <v>1.6386164402903955</v>
      </c>
      <c r="C35" s="5">
        <f t="shared" si="9"/>
        <v>90212.281992762262</v>
      </c>
      <c r="D35" s="5">
        <f t="shared" si="0"/>
        <v>87899.301250986638</v>
      </c>
      <c r="E35" s="5">
        <f t="shared" si="1"/>
        <v>78399.301250986638</v>
      </c>
      <c r="F35" s="5">
        <f t="shared" si="2"/>
        <v>30289.051983545804</v>
      </c>
      <c r="G35" s="5">
        <f t="shared" si="3"/>
        <v>57610.249267440835</v>
      </c>
      <c r="H35" s="22">
        <f t="shared" si="10"/>
        <v>37671.675398081512</v>
      </c>
      <c r="I35" s="5">
        <f t="shared" si="4"/>
        <v>94114.10272818181</v>
      </c>
      <c r="J35" s="26">
        <f t="shared" si="5"/>
        <v>0.24052258784242589</v>
      </c>
      <c r="L35" s="22">
        <f t="shared" si="11"/>
        <v>109946.10600662939</v>
      </c>
      <c r="M35" s="5">
        <f>scrimecost*Meta!O32</f>
        <v>2094.6120000000001</v>
      </c>
      <c r="N35" s="5">
        <f>L35-Grade17!L35</f>
        <v>1413.6448576115363</v>
      </c>
      <c r="O35" s="5">
        <f>Grade17!M35-M35</f>
        <v>0</v>
      </c>
      <c r="P35" s="22">
        <f t="shared" si="12"/>
        <v>0</v>
      </c>
      <c r="Q35" s="22"/>
      <c r="R35" s="22"/>
      <c r="S35" s="22">
        <f t="shared" si="6"/>
        <v>628.2421521057156</v>
      </c>
      <c r="T35" s="22">
        <f t="shared" si="7"/>
        <v>1233.8901822020789</v>
      </c>
    </row>
    <row r="36" spans="1:20" x14ac:dyDescent="0.2">
      <c r="A36" s="5">
        <v>45</v>
      </c>
      <c r="B36" s="1">
        <f t="shared" si="8"/>
        <v>1.6795818512976552</v>
      </c>
      <c r="C36" s="5">
        <f t="shared" si="9"/>
        <v>92467.589042581312</v>
      </c>
      <c r="D36" s="5">
        <f t="shared" si="0"/>
        <v>90084.693782261296</v>
      </c>
      <c r="E36" s="5">
        <f t="shared" si="1"/>
        <v>80584.693782261296</v>
      </c>
      <c r="F36" s="5">
        <f t="shared" si="2"/>
        <v>31221.121898134443</v>
      </c>
      <c r="G36" s="5">
        <f t="shared" si="3"/>
        <v>58863.571884126854</v>
      </c>
      <c r="H36" s="22">
        <f t="shared" si="10"/>
        <v>38613.46728303354</v>
      </c>
      <c r="I36" s="5">
        <f t="shared" si="4"/>
        <v>96280.021681386352</v>
      </c>
      <c r="J36" s="26">
        <f t="shared" si="5"/>
        <v>0.24199430277039538</v>
      </c>
      <c r="L36" s="22">
        <f t="shared" si="11"/>
        <v>112694.75865679509</v>
      </c>
      <c r="M36" s="5">
        <f>scrimecost*Meta!O33</f>
        <v>1776.068</v>
      </c>
      <c r="N36" s="5">
        <f>L36-Grade17!L36</f>
        <v>1448.9859790517949</v>
      </c>
      <c r="O36" s="5">
        <f>Grade17!M36-M36</f>
        <v>0</v>
      </c>
      <c r="P36" s="22">
        <f t="shared" si="12"/>
        <v>0</v>
      </c>
      <c r="Q36" s="22"/>
      <c r="R36" s="22"/>
      <c r="S36" s="22">
        <f t="shared" si="6"/>
        <v>643.94820590834536</v>
      </c>
      <c r="T36" s="22">
        <f t="shared" si="7"/>
        <v>1306.05020301435</v>
      </c>
    </row>
    <row r="37" spans="1:20" x14ac:dyDescent="0.2">
      <c r="A37" s="5">
        <v>46</v>
      </c>
      <c r="B37" s="1">
        <f t="shared" ref="B37:B56" si="13">(1+experiencepremium)^(A37-startage)</f>
        <v>1.7215713975800966</v>
      </c>
      <c r="C37" s="5">
        <f t="shared" ref="C37:C56" si="14">pretaxincome*B37/expnorm</f>
        <v>94779.278768645847</v>
      </c>
      <c r="D37" s="5">
        <f t="shared" ref="D37:D56" si="15">IF(A37&lt;startage,1,0)*(C37*(1-initialunempprob))+IF(A37=startage,1,0)*(C37*(1-unempprob))+IF(A37&gt;startage,1,0)*(C37*(1-unempprob)+unempprob*300*52)</f>
        <v>92324.721126817822</v>
      </c>
      <c r="E37" s="5">
        <f t="shared" si="1"/>
        <v>82824.721126817822</v>
      </c>
      <c r="F37" s="5">
        <f t="shared" si="2"/>
        <v>32176.493560587802</v>
      </c>
      <c r="G37" s="5">
        <f t="shared" si="3"/>
        <v>60148.227566230024</v>
      </c>
      <c r="H37" s="22">
        <f t="shared" ref="H37:H56" si="16">benefits*B37/expnorm</f>
        <v>39578.803965109386</v>
      </c>
      <c r="I37" s="5">
        <f t="shared" ref="I37:I56" si="17">G37+IF(A37&lt;startage,1,0)*(H37*(1-initialunempprob))+IF(A37&gt;=startage,1,0)*(H37*(1-unempprob))</f>
        <v>98500.088608421007</v>
      </c>
      <c r="J37" s="26">
        <f t="shared" si="5"/>
        <v>0.24343012221231686</v>
      </c>
      <c r="L37" s="22">
        <f t="shared" ref="L37:L56" si="18">(sincome+sbenefits)*(1-sunemp)*B37/expnorm</f>
        <v>115512.12762321497</v>
      </c>
      <c r="M37" s="5">
        <f>scrimecost*Meta!O34</f>
        <v>1776.068</v>
      </c>
      <c r="N37" s="5">
        <f>L37-Grade17!L37</f>
        <v>1485.2106285280752</v>
      </c>
      <c r="O37" s="5">
        <f>Grade17!M37-M37</f>
        <v>0</v>
      </c>
      <c r="P37" s="22">
        <f t="shared" si="12"/>
        <v>0</v>
      </c>
      <c r="Q37" s="22"/>
      <c r="R37" s="22"/>
      <c r="S37" s="22">
        <f t="shared" si="6"/>
        <v>660.04691105604741</v>
      </c>
      <c r="T37" s="22">
        <f t="shared" si="7"/>
        <v>1382.4302659979203</v>
      </c>
    </row>
    <row r="38" spans="1:20" x14ac:dyDescent="0.2">
      <c r="A38" s="5">
        <v>47</v>
      </c>
      <c r="B38" s="1">
        <f t="shared" si="13"/>
        <v>1.7646106825195991</v>
      </c>
      <c r="C38" s="5">
        <f t="shared" si="14"/>
        <v>97148.760737862001</v>
      </c>
      <c r="D38" s="5">
        <f t="shared" si="15"/>
        <v>94620.749154988283</v>
      </c>
      <c r="E38" s="5">
        <f t="shared" si="1"/>
        <v>85120.749154988283</v>
      </c>
      <c r="F38" s="5">
        <f t="shared" si="2"/>
        <v>33201.371989252155</v>
      </c>
      <c r="G38" s="5">
        <f t="shared" si="3"/>
        <v>61419.377165736129</v>
      </c>
      <c r="H38" s="22">
        <f t="shared" si="16"/>
        <v>40568.274064237121</v>
      </c>
      <c r="I38" s="5">
        <f t="shared" si="17"/>
        <v>100730.0347339819</v>
      </c>
      <c r="J38" s="26">
        <f t="shared" si="5"/>
        <v>0.24517279671075928</v>
      </c>
      <c r="L38" s="22">
        <f t="shared" si="18"/>
        <v>118399.93081379535</v>
      </c>
      <c r="M38" s="5">
        <f>scrimecost*Meta!O35</f>
        <v>1776.068</v>
      </c>
      <c r="N38" s="5">
        <f>L38-Grade17!L38</f>
        <v>1522.3408942412934</v>
      </c>
      <c r="O38" s="5">
        <f>Grade17!M38-M38</f>
        <v>0</v>
      </c>
      <c r="P38" s="22">
        <f t="shared" si="12"/>
        <v>0</v>
      </c>
      <c r="Q38" s="22"/>
      <c r="R38" s="22"/>
      <c r="S38" s="22">
        <f t="shared" si="6"/>
        <v>676.54808383245597</v>
      </c>
      <c r="T38" s="22">
        <f t="shared" si="7"/>
        <v>1463.2771664797353</v>
      </c>
    </row>
    <row r="39" spans="1:20" x14ac:dyDescent="0.2">
      <c r="A39" s="5">
        <v>48</v>
      </c>
      <c r="B39" s="1">
        <f t="shared" si="13"/>
        <v>1.8087259495825889</v>
      </c>
      <c r="C39" s="5">
        <f t="shared" si="14"/>
        <v>99577.47975630853</v>
      </c>
      <c r="D39" s="5">
        <f t="shared" si="15"/>
        <v>96974.177883862969</v>
      </c>
      <c r="E39" s="5">
        <f t="shared" si="1"/>
        <v>87474.177883862969</v>
      </c>
      <c r="F39" s="5">
        <f t="shared" si="2"/>
        <v>34275.71220398345</v>
      </c>
      <c r="G39" s="5">
        <f t="shared" si="3"/>
        <v>62698.465679879519</v>
      </c>
      <c r="H39" s="22">
        <f t="shared" si="16"/>
        <v>41582.480915843043</v>
      </c>
      <c r="I39" s="5">
        <f t="shared" si="17"/>
        <v>102991.88968733142</v>
      </c>
      <c r="J39" s="26">
        <f t="shared" si="5"/>
        <v>0.24704725506447608</v>
      </c>
      <c r="L39" s="22">
        <f t="shared" si="18"/>
        <v>121359.92908414023</v>
      </c>
      <c r="M39" s="5">
        <f>scrimecost*Meta!O36</f>
        <v>1776.068</v>
      </c>
      <c r="N39" s="5">
        <f>L39-Grade17!L39</f>
        <v>1560.3994165973272</v>
      </c>
      <c r="O39" s="5">
        <f>Grade17!M39-M39</f>
        <v>0</v>
      </c>
      <c r="P39" s="22">
        <f t="shared" si="12"/>
        <v>0</v>
      </c>
      <c r="Q39" s="22"/>
      <c r="R39" s="22"/>
      <c r="S39" s="22">
        <f t="shared" si="6"/>
        <v>693.461785928268</v>
      </c>
      <c r="T39" s="22">
        <f t="shared" si="7"/>
        <v>1548.8521328020192</v>
      </c>
    </row>
    <row r="40" spans="1:20" x14ac:dyDescent="0.2">
      <c r="A40" s="5">
        <v>49</v>
      </c>
      <c r="B40" s="1">
        <f t="shared" si="13"/>
        <v>1.8539440983221533</v>
      </c>
      <c r="C40" s="5">
        <f t="shared" si="14"/>
        <v>102066.91675021625</v>
      </c>
      <c r="D40" s="5">
        <f t="shared" si="15"/>
        <v>99386.442330959544</v>
      </c>
      <c r="E40" s="5">
        <f t="shared" si="1"/>
        <v>89886.442330959544</v>
      </c>
      <c r="F40" s="5">
        <f t="shared" si="2"/>
        <v>35376.910924083029</v>
      </c>
      <c r="G40" s="5">
        <f t="shared" si="3"/>
        <v>64009.531406876515</v>
      </c>
      <c r="H40" s="22">
        <f t="shared" si="16"/>
        <v>42622.042938739112</v>
      </c>
      <c r="I40" s="5">
        <f t="shared" si="17"/>
        <v>105310.29101451472</v>
      </c>
      <c r="J40" s="26">
        <f t="shared" si="5"/>
        <v>0.24887599492176085</v>
      </c>
      <c r="L40" s="22">
        <f t="shared" si="18"/>
        <v>124393.92731124372</v>
      </c>
      <c r="M40" s="5">
        <f>scrimecost*Meta!O37</f>
        <v>1776.068</v>
      </c>
      <c r="N40" s="5">
        <f>L40-Grade17!L40</f>
        <v>1599.409402012272</v>
      </c>
      <c r="O40" s="5">
        <f>Grade17!M40-M40</f>
        <v>0</v>
      </c>
      <c r="P40" s="22">
        <f t="shared" si="12"/>
        <v>0</v>
      </c>
      <c r="Q40" s="22"/>
      <c r="R40" s="22"/>
      <c r="S40" s="22">
        <f t="shared" si="6"/>
        <v>710.79833057647988</v>
      </c>
      <c r="T40" s="22">
        <f t="shared" si="7"/>
        <v>1639.4316703899729</v>
      </c>
    </row>
    <row r="41" spans="1:20" x14ac:dyDescent="0.2">
      <c r="A41" s="5">
        <v>50</v>
      </c>
      <c r="B41" s="1">
        <f t="shared" si="13"/>
        <v>1.9002927007802071</v>
      </c>
      <c r="C41" s="5">
        <f t="shared" si="14"/>
        <v>104618.58966897163</v>
      </c>
      <c r="D41" s="5">
        <f t="shared" si="15"/>
        <v>101859.01338923351</v>
      </c>
      <c r="E41" s="5">
        <f t="shared" si="1"/>
        <v>92359.013389233514</v>
      </c>
      <c r="F41" s="5">
        <f t="shared" si="2"/>
        <v>36505.639612185099</v>
      </c>
      <c r="G41" s="5">
        <f t="shared" si="3"/>
        <v>65353.373777048415</v>
      </c>
      <c r="H41" s="22">
        <f t="shared" si="16"/>
        <v>43687.594012207592</v>
      </c>
      <c r="I41" s="5">
        <f t="shared" si="17"/>
        <v>107686.65237487757</v>
      </c>
      <c r="J41" s="26">
        <f t="shared" si="5"/>
        <v>0.25066013136789234</v>
      </c>
      <c r="L41" s="22">
        <f t="shared" si="18"/>
        <v>127503.7754940248</v>
      </c>
      <c r="M41" s="5">
        <f>scrimecost*Meta!O38</f>
        <v>1285.288</v>
      </c>
      <c r="N41" s="5">
        <f>L41-Grade17!L41</f>
        <v>1639.3946370625636</v>
      </c>
      <c r="O41" s="5">
        <f>Grade17!M41-M41</f>
        <v>0</v>
      </c>
      <c r="P41" s="22">
        <f t="shared" si="12"/>
        <v>0</v>
      </c>
      <c r="Q41" s="22"/>
      <c r="R41" s="22"/>
      <c r="S41" s="22">
        <f t="shared" si="6"/>
        <v>728.56828884088509</v>
      </c>
      <c r="T41" s="22">
        <f t="shared" si="7"/>
        <v>1735.3084551817378</v>
      </c>
    </row>
    <row r="42" spans="1:20" x14ac:dyDescent="0.2">
      <c r="A42" s="5">
        <v>51</v>
      </c>
      <c r="B42" s="1">
        <f t="shared" si="13"/>
        <v>1.9478000182997122</v>
      </c>
      <c r="C42" s="5">
        <f t="shared" si="14"/>
        <v>107234.05441069591</v>
      </c>
      <c r="D42" s="5">
        <f t="shared" si="15"/>
        <v>104393.39872396435</v>
      </c>
      <c r="E42" s="5">
        <f t="shared" si="1"/>
        <v>94893.398723964347</v>
      </c>
      <c r="F42" s="5">
        <f t="shared" si="2"/>
        <v>37662.586517489726</v>
      </c>
      <c r="G42" s="5">
        <f t="shared" si="3"/>
        <v>66730.812206474628</v>
      </c>
      <c r="H42" s="22">
        <f t="shared" si="16"/>
        <v>44779.78386251277</v>
      </c>
      <c r="I42" s="5">
        <f t="shared" si="17"/>
        <v>110122.4227692495</v>
      </c>
      <c r="J42" s="26">
        <f t="shared" si="5"/>
        <v>0.25240075229094749</v>
      </c>
      <c r="L42" s="22">
        <f t="shared" si="18"/>
        <v>130691.3698813754</v>
      </c>
      <c r="M42" s="5">
        <f>scrimecost*Meta!O39</f>
        <v>1285.288</v>
      </c>
      <c r="N42" s="5">
        <f>L42-Grade17!L42</f>
        <v>1680.3795029891189</v>
      </c>
      <c r="O42" s="5">
        <f>Grade17!M42-M42</f>
        <v>0</v>
      </c>
      <c r="P42" s="22">
        <f t="shared" si="12"/>
        <v>0</v>
      </c>
      <c r="Q42" s="22"/>
      <c r="R42" s="22"/>
      <c r="S42" s="22">
        <f t="shared" si="6"/>
        <v>746.78249606190332</v>
      </c>
      <c r="T42" s="22">
        <f t="shared" si="7"/>
        <v>1836.7922793079524</v>
      </c>
    </row>
    <row r="43" spans="1:20" x14ac:dyDescent="0.2">
      <c r="A43" s="5">
        <v>52</v>
      </c>
      <c r="B43" s="1">
        <f t="shared" si="13"/>
        <v>1.9964950187572048</v>
      </c>
      <c r="C43" s="5">
        <f t="shared" si="14"/>
        <v>109914.90577096332</v>
      </c>
      <c r="D43" s="5">
        <f t="shared" si="15"/>
        <v>106991.14369206346</v>
      </c>
      <c r="E43" s="5">
        <f t="shared" si="1"/>
        <v>97491.143692063459</v>
      </c>
      <c r="F43" s="5">
        <f t="shared" si="2"/>
        <v>38836.606186519035</v>
      </c>
      <c r="G43" s="5">
        <f t="shared" si="3"/>
        <v>68154.537505544431</v>
      </c>
      <c r="H43" s="22">
        <f t="shared" si="16"/>
        <v>45899.278459075584</v>
      </c>
      <c r="I43" s="5">
        <f t="shared" si="17"/>
        <v>112630.93833238867</v>
      </c>
      <c r="J43" s="26">
        <f t="shared" si="5"/>
        <v>0.25402042785891116</v>
      </c>
      <c r="L43" s="22">
        <f t="shared" si="18"/>
        <v>133958.65412840978</v>
      </c>
      <c r="M43" s="5">
        <f>scrimecost*Meta!O40</f>
        <v>1285.288</v>
      </c>
      <c r="N43" s="5">
        <f>L43-Grade17!L43</f>
        <v>1722.3889905638353</v>
      </c>
      <c r="O43" s="5">
        <f>Grade17!M43-M43</f>
        <v>0</v>
      </c>
      <c r="P43" s="22">
        <f t="shared" si="12"/>
        <v>0</v>
      </c>
      <c r="Q43" s="22"/>
      <c r="R43" s="22"/>
      <c r="S43" s="22">
        <f t="shared" si="6"/>
        <v>765.45205846344572</v>
      </c>
      <c r="T43" s="22">
        <f t="shared" si="7"/>
        <v>1944.2110520760191</v>
      </c>
    </row>
    <row r="44" spans="1:20" x14ac:dyDescent="0.2">
      <c r="A44" s="5">
        <v>53</v>
      </c>
      <c r="B44" s="1">
        <f t="shared" si="13"/>
        <v>2.0464073942261352</v>
      </c>
      <c r="C44" s="5">
        <f t="shared" si="14"/>
        <v>112662.77841523741</v>
      </c>
      <c r="D44" s="5">
        <f t="shared" si="15"/>
        <v>109653.83228436505</v>
      </c>
      <c r="E44" s="5">
        <f t="shared" si="1"/>
        <v>100153.83228436505</v>
      </c>
      <c r="F44" s="5">
        <f t="shared" si="2"/>
        <v>39887.036836182007</v>
      </c>
      <c r="G44" s="5">
        <f t="shared" si="3"/>
        <v>69766.795448183053</v>
      </c>
      <c r="H44" s="22">
        <f t="shared" si="16"/>
        <v>47046.760420552484</v>
      </c>
      <c r="I44" s="5">
        <f t="shared" si="17"/>
        <v>115355.10629569841</v>
      </c>
      <c r="J44" s="26">
        <f t="shared" si="5"/>
        <v>0.2546123531455296</v>
      </c>
      <c r="L44" s="22">
        <f t="shared" si="18"/>
        <v>137307.62048162005</v>
      </c>
      <c r="M44" s="5">
        <f>scrimecost*Meta!O41</f>
        <v>1285.288</v>
      </c>
      <c r="N44" s="5">
        <f>L44-Grade17!L44</f>
        <v>1765.448715327977</v>
      </c>
      <c r="O44" s="5">
        <f>Grade17!M44-M44</f>
        <v>0</v>
      </c>
      <c r="P44" s="22">
        <f t="shared" si="12"/>
        <v>0</v>
      </c>
      <c r="Q44" s="22"/>
      <c r="R44" s="22"/>
      <c r="S44" s="22">
        <f t="shared" si="6"/>
        <v>784.58835992505215</v>
      </c>
      <c r="T44" s="22">
        <f t="shared" si="7"/>
        <v>2057.9118594938982</v>
      </c>
    </row>
    <row r="45" spans="1:20" x14ac:dyDescent="0.2">
      <c r="A45" s="5">
        <v>54</v>
      </c>
      <c r="B45" s="1">
        <f t="shared" si="13"/>
        <v>2.097567579081788</v>
      </c>
      <c r="C45" s="5">
        <f t="shared" si="14"/>
        <v>115479.34787561832</v>
      </c>
      <c r="D45" s="5">
        <f t="shared" si="15"/>
        <v>112383.08809147416</v>
      </c>
      <c r="E45" s="5">
        <f t="shared" si="1"/>
        <v>102883.08809147416</v>
      </c>
      <c r="F45" s="5">
        <f t="shared" si="2"/>
        <v>40963.728252086556</v>
      </c>
      <c r="G45" s="5">
        <f t="shared" si="3"/>
        <v>71419.359839387602</v>
      </c>
      <c r="H45" s="22">
        <f t="shared" si="16"/>
        <v>48222.929431066288</v>
      </c>
      <c r="I45" s="5">
        <f t="shared" si="17"/>
        <v>118147.37845809083</v>
      </c>
      <c r="J45" s="26">
        <f t="shared" si="5"/>
        <v>0.25518984123003552</v>
      </c>
      <c r="L45" s="22">
        <f t="shared" si="18"/>
        <v>140740.3109936605</v>
      </c>
      <c r="M45" s="5">
        <f>scrimecost*Meta!O42</f>
        <v>1285.288</v>
      </c>
      <c r="N45" s="5">
        <f>L45-Grade17!L45</f>
        <v>1809.5849332110956</v>
      </c>
      <c r="O45" s="5">
        <f>Grade17!M45-M45</f>
        <v>0</v>
      </c>
      <c r="P45" s="22">
        <f t="shared" si="12"/>
        <v>0</v>
      </c>
      <c r="Q45" s="22"/>
      <c r="R45" s="22"/>
      <c r="S45" s="22">
        <f t="shared" si="6"/>
        <v>804.20306892314272</v>
      </c>
      <c r="T45" s="22">
        <f t="shared" si="7"/>
        <v>2178.2620857561851</v>
      </c>
    </row>
    <row r="46" spans="1:20" x14ac:dyDescent="0.2">
      <c r="A46" s="5">
        <v>55</v>
      </c>
      <c r="B46" s="1">
        <f t="shared" si="13"/>
        <v>2.1500067685588333</v>
      </c>
      <c r="C46" s="5">
        <f t="shared" si="14"/>
        <v>118366.3315725088</v>
      </c>
      <c r="D46" s="5">
        <f t="shared" si="15"/>
        <v>115180.57529376104</v>
      </c>
      <c r="E46" s="5">
        <f t="shared" si="1"/>
        <v>105680.57529376104</v>
      </c>
      <c r="F46" s="5">
        <f t="shared" si="2"/>
        <v>42067.336953388723</v>
      </c>
      <c r="G46" s="5">
        <f t="shared" si="3"/>
        <v>73113.238340372307</v>
      </c>
      <c r="H46" s="22">
        <f t="shared" si="16"/>
        <v>49428.502666842956</v>
      </c>
      <c r="I46" s="5">
        <f t="shared" si="17"/>
        <v>121009.45742454313</v>
      </c>
      <c r="J46" s="26">
        <f t="shared" si="5"/>
        <v>0.25575324423930945</v>
      </c>
      <c r="L46" s="22">
        <f t="shared" si="18"/>
        <v>144258.81876850207</v>
      </c>
      <c r="M46" s="5">
        <f>scrimecost*Meta!O43</f>
        <v>768.57999999999993</v>
      </c>
      <c r="N46" s="5">
        <f>L46-Grade17!L46</f>
        <v>1854.8245565414545</v>
      </c>
      <c r="O46" s="5">
        <f>Grade17!M46-M46</f>
        <v>0</v>
      </c>
      <c r="P46" s="22">
        <f t="shared" si="12"/>
        <v>0</v>
      </c>
      <c r="Q46" s="22"/>
      <c r="R46" s="22"/>
      <c r="S46" s="22">
        <f t="shared" ref="S46:S69" si="19">IF(A46&lt;startage,1,0)*(N46-Q46-R46)+IF(A46&gt;=startage,1,0)*completionprob*(N46*spart+O46+P46)</f>
        <v>824.30814564625746</v>
      </c>
      <c r="T46" s="22">
        <f t="shared" ref="T46:T69" si="20">S46/sreturn^(A46-startage+1)</f>
        <v>2305.6506003178379</v>
      </c>
    </row>
    <row r="47" spans="1:20" x14ac:dyDescent="0.2">
      <c r="A47" s="5">
        <v>56</v>
      </c>
      <c r="B47" s="1">
        <f t="shared" si="13"/>
        <v>2.2037569377728037</v>
      </c>
      <c r="C47" s="5">
        <f t="shared" si="14"/>
        <v>121325.48986182149</v>
      </c>
      <c r="D47" s="5">
        <f t="shared" si="15"/>
        <v>118047.99967610503</v>
      </c>
      <c r="E47" s="5">
        <f t="shared" si="1"/>
        <v>108547.99967610503</v>
      </c>
      <c r="F47" s="5">
        <f t="shared" si="2"/>
        <v>43198.53587222343</v>
      </c>
      <c r="G47" s="5">
        <f t="shared" si="3"/>
        <v>74849.463803881605</v>
      </c>
      <c r="H47" s="22">
        <f t="shared" si="16"/>
        <v>50664.215233514013</v>
      </c>
      <c r="I47" s="5">
        <f t="shared" si="17"/>
        <v>123943.08836515668</v>
      </c>
      <c r="J47" s="26">
        <f t="shared" si="5"/>
        <v>0.25630290571177194</v>
      </c>
      <c r="L47" s="22">
        <f t="shared" si="18"/>
        <v>147865.28923771458</v>
      </c>
      <c r="M47" s="5">
        <f>scrimecost*Meta!O44</f>
        <v>768.57999999999993</v>
      </c>
      <c r="N47" s="5">
        <f>L47-Grade17!L47</f>
        <v>1901.195170454972</v>
      </c>
      <c r="O47" s="5">
        <f>Grade17!M47-M47</f>
        <v>0</v>
      </c>
      <c r="P47" s="22">
        <f t="shared" si="12"/>
        <v>0</v>
      </c>
      <c r="Q47" s="22"/>
      <c r="R47" s="22"/>
      <c r="S47" s="22">
        <f t="shared" si="19"/>
        <v>844.91584928740542</v>
      </c>
      <c r="T47" s="22">
        <f t="shared" si="20"/>
        <v>2440.4890143879352</v>
      </c>
    </row>
    <row r="48" spans="1:20" x14ac:dyDescent="0.2">
      <c r="A48" s="5">
        <v>57</v>
      </c>
      <c r="B48" s="1">
        <f t="shared" si="13"/>
        <v>2.2588508612171236</v>
      </c>
      <c r="C48" s="5">
        <f t="shared" si="14"/>
        <v>124358.62710836704</v>
      </c>
      <c r="D48" s="5">
        <f t="shared" si="15"/>
        <v>120987.10966800767</v>
      </c>
      <c r="E48" s="5">
        <f t="shared" si="1"/>
        <v>111487.10966800767</v>
      </c>
      <c r="F48" s="5">
        <f t="shared" si="2"/>
        <v>44358.014764029023</v>
      </c>
      <c r="G48" s="5">
        <f t="shared" si="3"/>
        <v>76629.09490397865</v>
      </c>
      <c r="H48" s="22">
        <f t="shared" si="16"/>
        <v>51930.820614351869</v>
      </c>
      <c r="I48" s="5">
        <f t="shared" si="17"/>
        <v>126950.06007928561</v>
      </c>
      <c r="J48" s="26">
        <f t="shared" si="5"/>
        <v>0.25683916080685726</v>
      </c>
      <c r="L48" s="22">
        <f t="shared" si="18"/>
        <v>151561.92146865744</v>
      </c>
      <c r="M48" s="5">
        <f>scrimecost*Meta!O45</f>
        <v>768.57999999999993</v>
      </c>
      <c r="N48" s="5">
        <f>L48-Grade17!L48</f>
        <v>1948.7250497163332</v>
      </c>
      <c r="O48" s="5">
        <f>Grade17!M48-M48</f>
        <v>0</v>
      </c>
      <c r="P48" s="22">
        <f t="shared" si="12"/>
        <v>0</v>
      </c>
      <c r="Q48" s="22"/>
      <c r="R48" s="22"/>
      <c r="S48" s="22">
        <f t="shared" si="19"/>
        <v>866.03874551958472</v>
      </c>
      <c r="T48" s="22">
        <f t="shared" si="20"/>
        <v>2583.2130109077116</v>
      </c>
    </row>
    <row r="49" spans="1:20" x14ac:dyDescent="0.2">
      <c r="A49" s="5">
        <v>58</v>
      </c>
      <c r="B49" s="1">
        <f t="shared" si="13"/>
        <v>2.3153221327475517</v>
      </c>
      <c r="C49" s="5">
        <f t="shared" si="14"/>
        <v>127467.5927860762</v>
      </c>
      <c r="D49" s="5">
        <f t="shared" si="15"/>
        <v>123999.69740970785</v>
      </c>
      <c r="E49" s="5">
        <f t="shared" si="1"/>
        <v>114499.69740970785</v>
      </c>
      <c r="F49" s="5">
        <f t="shared" si="2"/>
        <v>45546.480628129742</v>
      </c>
      <c r="G49" s="5">
        <f t="shared" si="3"/>
        <v>78453.216781578114</v>
      </c>
      <c r="H49" s="22">
        <f t="shared" si="16"/>
        <v>53229.091129710665</v>
      </c>
      <c r="I49" s="5">
        <f t="shared" si="17"/>
        <v>130032.20608626775</v>
      </c>
      <c r="J49" s="26">
        <f t="shared" si="5"/>
        <v>0.25736233650937951</v>
      </c>
      <c r="L49" s="22">
        <f t="shared" si="18"/>
        <v>155350.96950537388</v>
      </c>
      <c r="M49" s="5">
        <f>scrimecost*Meta!O46</f>
        <v>768.57999999999993</v>
      </c>
      <c r="N49" s="5">
        <f>L49-Grade17!L49</f>
        <v>1997.4431759592844</v>
      </c>
      <c r="O49" s="5">
        <f>Grade17!M49-M49</f>
        <v>0</v>
      </c>
      <c r="P49" s="22">
        <f t="shared" si="12"/>
        <v>0</v>
      </c>
      <c r="Q49" s="22"/>
      <c r="R49" s="22"/>
      <c r="S49" s="22">
        <f t="shared" si="19"/>
        <v>887.68971415759347</v>
      </c>
      <c r="T49" s="22">
        <f t="shared" si="20"/>
        <v>2734.2837523063517</v>
      </c>
    </row>
    <row r="50" spans="1:20" x14ac:dyDescent="0.2">
      <c r="A50" s="5">
        <v>59</v>
      </c>
      <c r="B50" s="1">
        <f t="shared" si="13"/>
        <v>2.3732051860662402</v>
      </c>
      <c r="C50" s="5">
        <f t="shared" si="14"/>
        <v>130654.28260572811</v>
      </c>
      <c r="D50" s="5">
        <f t="shared" si="15"/>
        <v>127087.59984495054</v>
      </c>
      <c r="E50" s="5">
        <f t="shared" si="1"/>
        <v>117587.59984495054</v>
      </c>
      <c r="F50" s="5">
        <f t="shared" si="2"/>
        <v>46764.658138832987</v>
      </c>
      <c r="G50" s="5">
        <f t="shared" si="3"/>
        <v>80322.941706117563</v>
      </c>
      <c r="H50" s="22">
        <f t="shared" si="16"/>
        <v>54559.818407953419</v>
      </c>
      <c r="I50" s="5">
        <f t="shared" si="17"/>
        <v>133191.40574342443</v>
      </c>
      <c r="J50" s="26">
        <f t="shared" si="5"/>
        <v>0.25787275182891339</v>
      </c>
      <c r="L50" s="22">
        <f t="shared" si="18"/>
        <v>159234.74374300821</v>
      </c>
      <c r="M50" s="5">
        <f>scrimecost*Meta!O47</f>
        <v>768.57999999999993</v>
      </c>
      <c r="N50" s="5">
        <f>L50-Grade17!L50</f>
        <v>2047.3792553582171</v>
      </c>
      <c r="O50" s="5">
        <f>Grade17!M50-M50</f>
        <v>0</v>
      </c>
      <c r="P50" s="22">
        <f t="shared" si="12"/>
        <v>0</v>
      </c>
      <c r="Q50" s="22"/>
      <c r="R50" s="22"/>
      <c r="S50" s="22">
        <f t="shared" si="19"/>
        <v>909.8819570115113</v>
      </c>
      <c r="T50" s="22">
        <f t="shared" si="20"/>
        <v>2894.1893705850734</v>
      </c>
    </row>
    <row r="51" spans="1:20" x14ac:dyDescent="0.2">
      <c r="A51" s="5">
        <v>60</v>
      </c>
      <c r="B51" s="1">
        <f t="shared" si="13"/>
        <v>2.4325353157178964</v>
      </c>
      <c r="C51" s="5">
        <f t="shared" si="14"/>
        <v>133920.63967087131</v>
      </c>
      <c r="D51" s="5">
        <f t="shared" si="15"/>
        <v>130252.69984107431</v>
      </c>
      <c r="E51" s="5">
        <f t="shared" si="1"/>
        <v>120752.69984107431</v>
      </c>
      <c r="F51" s="5">
        <f t="shared" si="2"/>
        <v>48013.290087303816</v>
      </c>
      <c r="G51" s="5">
        <f t="shared" si="3"/>
        <v>82239.409753770495</v>
      </c>
      <c r="H51" s="22">
        <f t="shared" si="16"/>
        <v>55923.813868152261</v>
      </c>
      <c r="I51" s="5">
        <f t="shared" si="17"/>
        <v>136429.58539201005</v>
      </c>
      <c r="J51" s="26">
        <f t="shared" si="5"/>
        <v>0.25837071799431233</v>
      </c>
      <c r="L51" s="22">
        <f t="shared" si="18"/>
        <v>163215.61233658344</v>
      </c>
      <c r="M51" s="5">
        <f>scrimecost*Meta!O48</f>
        <v>422.25600000000003</v>
      </c>
      <c r="N51" s="5">
        <f>L51-Grade17!L51</f>
        <v>2098.5637367422169</v>
      </c>
      <c r="O51" s="5">
        <f>Grade17!M51-M51</f>
        <v>0</v>
      </c>
      <c r="P51" s="22">
        <f t="shared" si="12"/>
        <v>0</v>
      </c>
      <c r="Q51" s="22"/>
      <c r="R51" s="22"/>
      <c r="S51" s="22">
        <f t="shared" si="19"/>
        <v>932.62900593681877</v>
      </c>
      <c r="T51" s="22">
        <f t="shared" si="20"/>
        <v>3063.4465445448432</v>
      </c>
    </row>
    <row r="52" spans="1:20" x14ac:dyDescent="0.2">
      <c r="A52" s="5">
        <v>61</v>
      </c>
      <c r="B52" s="1">
        <f t="shared" si="13"/>
        <v>2.4933486986108435</v>
      </c>
      <c r="C52" s="5">
        <f t="shared" si="14"/>
        <v>137268.65566264308</v>
      </c>
      <c r="D52" s="5">
        <f t="shared" si="15"/>
        <v>133496.92733710114</v>
      </c>
      <c r="E52" s="5">
        <f t="shared" si="1"/>
        <v>123996.92733710114</v>
      </c>
      <c r="F52" s="5">
        <f t="shared" si="2"/>
        <v>49293.137834486406</v>
      </c>
      <c r="G52" s="5">
        <f t="shared" si="3"/>
        <v>84203.789502614731</v>
      </c>
      <c r="H52" s="22">
        <f t="shared" si="16"/>
        <v>57321.909214856059</v>
      </c>
      <c r="I52" s="5">
        <f t="shared" si="17"/>
        <v>139748.71953181026</v>
      </c>
      <c r="J52" s="26">
        <f t="shared" si="5"/>
        <v>0.25885653864348207</v>
      </c>
      <c r="L52" s="22">
        <f t="shared" si="18"/>
        <v>167296.00264499799</v>
      </c>
      <c r="M52" s="5">
        <f>scrimecost*Meta!O49</f>
        <v>422.25600000000003</v>
      </c>
      <c r="N52" s="5">
        <f>L52-Grade17!L52</f>
        <v>2151.027830160805</v>
      </c>
      <c r="O52" s="5">
        <f>Grade17!M52-M52</f>
        <v>0</v>
      </c>
      <c r="P52" s="22">
        <f t="shared" si="12"/>
        <v>0</v>
      </c>
      <c r="Q52" s="22"/>
      <c r="R52" s="22"/>
      <c r="S52" s="22">
        <f t="shared" si="19"/>
        <v>955.94473108525381</v>
      </c>
      <c r="T52" s="22">
        <f t="shared" si="20"/>
        <v>3242.6021692514632</v>
      </c>
    </row>
    <row r="53" spans="1:20" x14ac:dyDescent="0.2">
      <c r="A53" s="5">
        <v>62</v>
      </c>
      <c r="B53" s="1">
        <f t="shared" si="13"/>
        <v>2.555682416076114</v>
      </c>
      <c r="C53" s="5">
        <f t="shared" si="14"/>
        <v>140700.37205420912</v>
      </c>
      <c r="D53" s="5">
        <f t="shared" si="15"/>
        <v>136822.26052052862</v>
      </c>
      <c r="E53" s="5">
        <f t="shared" si="1"/>
        <v>127322.26052052862</v>
      </c>
      <c r="F53" s="5">
        <f t="shared" si="2"/>
        <v>50604.98177534854</v>
      </c>
      <c r="G53" s="5">
        <f t="shared" si="3"/>
        <v>86217.278745180083</v>
      </c>
      <c r="H53" s="22">
        <f t="shared" si="16"/>
        <v>58754.956945227452</v>
      </c>
      <c r="I53" s="5">
        <f t="shared" si="17"/>
        <v>143150.83202510548</v>
      </c>
      <c r="J53" s="26">
        <f t="shared" si="5"/>
        <v>0.25933051000852558</v>
      </c>
      <c r="L53" s="22">
        <f t="shared" si="18"/>
        <v>171478.40271112291</v>
      </c>
      <c r="M53" s="5">
        <f>scrimecost*Meta!O50</f>
        <v>422.25600000000003</v>
      </c>
      <c r="N53" s="5">
        <f>L53-Grade17!L53</f>
        <v>2204.8035259147582</v>
      </c>
      <c r="O53" s="5">
        <f>Grade17!M53-M53</f>
        <v>0</v>
      </c>
      <c r="P53" s="22">
        <f t="shared" si="12"/>
        <v>0</v>
      </c>
      <c r="Q53" s="22"/>
      <c r="R53" s="22"/>
      <c r="S53" s="22">
        <f t="shared" si="19"/>
        <v>979.84334936235541</v>
      </c>
      <c r="T53" s="22">
        <f t="shared" si="20"/>
        <v>3432.2351231351481</v>
      </c>
    </row>
    <row r="54" spans="1:20" x14ac:dyDescent="0.2">
      <c r="A54" s="5">
        <v>63</v>
      </c>
      <c r="B54" s="1">
        <f t="shared" si="13"/>
        <v>2.6195744764780171</v>
      </c>
      <c r="C54" s="5">
        <f t="shared" si="14"/>
        <v>144217.88135556434</v>
      </c>
      <c r="D54" s="5">
        <f t="shared" si="15"/>
        <v>140230.72703354186</v>
      </c>
      <c r="E54" s="5">
        <f t="shared" si="1"/>
        <v>130730.72703354186</v>
      </c>
      <c r="F54" s="5">
        <f t="shared" si="2"/>
        <v>51949.621814732258</v>
      </c>
      <c r="G54" s="5">
        <f t="shared" si="3"/>
        <v>88281.105218809593</v>
      </c>
      <c r="H54" s="22">
        <f t="shared" si="16"/>
        <v>60223.830868858146</v>
      </c>
      <c r="I54" s="5">
        <f t="shared" si="17"/>
        <v>146637.99733073314</v>
      </c>
      <c r="J54" s="26">
        <f t="shared" si="5"/>
        <v>0.25979292109637303</v>
      </c>
      <c r="L54" s="22">
        <f t="shared" si="18"/>
        <v>175765.36277890098</v>
      </c>
      <c r="M54" s="5">
        <f>scrimecost*Meta!O51</f>
        <v>422.25600000000003</v>
      </c>
      <c r="N54" s="5">
        <f>L54-Grade17!L54</f>
        <v>2259.9236140626308</v>
      </c>
      <c r="O54" s="5">
        <f>Grade17!M54-M54</f>
        <v>0</v>
      </c>
      <c r="P54" s="22">
        <f t="shared" si="12"/>
        <v>0</v>
      </c>
      <c r="Q54" s="22"/>
      <c r="R54" s="22"/>
      <c r="S54" s="22">
        <f t="shared" si="19"/>
        <v>1004.3394330964159</v>
      </c>
      <c r="T54" s="22">
        <f t="shared" si="20"/>
        <v>3632.9581384330986</v>
      </c>
    </row>
    <row r="55" spans="1:20" x14ac:dyDescent="0.2">
      <c r="A55" s="5">
        <v>64</v>
      </c>
      <c r="B55" s="1">
        <f t="shared" si="13"/>
        <v>2.6850638383899672</v>
      </c>
      <c r="C55" s="5">
        <f t="shared" si="14"/>
        <v>147823.32838945344</v>
      </c>
      <c r="D55" s="5">
        <f t="shared" si="15"/>
        <v>143724.40520938038</v>
      </c>
      <c r="E55" s="5">
        <f t="shared" si="1"/>
        <v>134224.40520938038</v>
      </c>
      <c r="F55" s="5">
        <f t="shared" si="2"/>
        <v>53327.87785510056</v>
      </c>
      <c r="G55" s="5">
        <f t="shared" si="3"/>
        <v>90396.527354279824</v>
      </c>
      <c r="H55" s="22">
        <f t="shared" si="16"/>
        <v>61729.426640579593</v>
      </c>
      <c r="I55" s="5">
        <f t="shared" si="17"/>
        <v>150212.34176900145</v>
      </c>
      <c r="J55" s="26">
        <f t="shared" si="5"/>
        <v>0.26024405386500465</v>
      </c>
      <c r="L55" s="22">
        <f t="shared" si="18"/>
        <v>180159.49684837347</v>
      </c>
      <c r="M55" s="5">
        <f>scrimecost*Meta!O52</f>
        <v>422.25600000000003</v>
      </c>
      <c r="N55" s="5">
        <f>L55-Grade17!L55</f>
        <v>2316.4217044141842</v>
      </c>
      <c r="O55" s="5">
        <f>Grade17!M55-M55</f>
        <v>0</v>
      </c>
      <c r="P55" s="22">
        <f t="shared" si="12"/>
        <v>0</v>
      </c>
      <c r="Q55" s="22"/>
      <c r="R55" s="22"/>
      <c r="S55" s="22">
        <f t="shared" si="19"/>
        <v>1029.4479189238209</v>
      </c>
      <c r="T55" s="22">
        <f t="shared" si="20"/>
        <v>3845.4197810175765</v>
      </c>
    </row>
    <row r="56" spans="1:20" x14ac:dyDescent="0.2">
      <c r="A56" s="5">
        <v>65</v>
      </c>
      <c r="B56" s="1">
        <f t="shared" si="13"/>
        <v>2.7521904343497163</v>
      </c>
      <c r="C56" s="5">
        <f t="shared" si="14"/>
        <v>151518.91159918977</v>
      </c>
      <c r="D56" s="5">
        <f t="shared" si="15"/>
        <v>147305.42533961489</v>
      </c>
      <c r="E56" s="5">
        <f t="shared" si="1"/>
        <v>137805.42533961489</v>
      </c>
      <c r="F56" s="5">
        <f t="shared" si="2"/>
        <v>54740.590296478069</v>
      </c>
      <c r="G56" s="5">
        <f t="shared" si="3"/>
        <v>92564.835043136816</v>
      </c>
      <c r="H56" s="22">
        <f t="shared" si="16"/>
        <v>63272.662306594073</v>
      </c>
      <c r="I56" s="5">
        <f t="shared" si="17"/>
        <v>153876.04481822648</v>
      </c>
      <c r="J56" s="26">
        <f t="shared" si="5"/>
        <v>0.26068418339537697</v>
      </c>
      <c r="L56" s="22">
        <f t="shared" si="18"/>
        <v>184663.48426958281</v>
      </c>
      <c r="M56" s="5">
        <f>scrimecost*Meta!O53</f>
        <v>133.34399999999999</v>
      </c>
      <c r="N56" s="5">
        <f>L56-Grade17!L56</f>
        <v>2374.3322470245184</v>
      </c>
      <c r="O56" s="5">
        <f>Grade17!M56-M56</f>
        <v>0</v>
      </c>
      <c r="P56" s="22">
        <f t="shared" si="12"/>
        <v>0</v>
      </c>
      <c r="Q56" s="22"/>
      <c r="R56" s="22"/>
      <c r="S56" s="22">
        <f t="shared" si="19"/>
        <v>1055.1841168969074</v>
      </c>
      <c r="T56" s="22">
        <f t="shared" si="20"/>
        <v>4070.3065460090834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133.34399999999999</v>
      </c>
      <c r="N57" s="5">
        <f>L57-Grade17!L57</f>
        <v>0</v>
      </c>
      <c r="O57" s="5">
        <f>Grade17!M57-M57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133.34399999999999</v>
      </c>
      <c r="N58" s="5">
        <f>L58-Grade17!L58</f>
        <v>0</v>
      </c>
      <c r="O58" s="5">
        <f>Grade17!M58-M58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133.34399999999999</v>
      </c>
      <c r="N59" s="5">
        <f>L59-Grade17!L59</f>
        <v>0</v>
      </c>
      <c r="O59" s="5">
        <f>Grade17!M59-M59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133.34399999999999</v>
      </c>
      <c r="N60" s="5">
        <f>L60-Grade17!L60</f>
        <v>0</v>
      </c>
      <c r="O60" s="5">
        <f>Grade17!M60-M60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133.34399999999999</v>
      </c>
      <c r="N61" s="5">
        <f>L61-Grade17!L61</f>
        <v>0</v>
      </c>
      <c r="O61" s="5">
        <f>Grade17!M61-M61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133.34399999999999</v>
      </c>
      <c r="N62" s="5">
        <f>L62-Grade17!L62</f>
        <v>0</v>
      </c>
      <c r="O62" s="5">
        <f>Grade17!M62-M62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133.34399999999999</v>
      </c>
      <c r="N63" s="5">
        <f>L63-Grade17!L63</f>
        <v>0</v>
      </c>
      <c r="O63" s="5">
        <f>Grade17!M63-M63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133.34399999999999</v>
      </c>
      <c r="N64" s="5">
        <f>L64-Grade17!L64</f>
        <v>0</v>
      </c>
      <c r="O64" s="5">
        <f>Grade17!M64-M64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133.34399999999999</v>
      </c>
      <c r="N65" s="5">
        <f>L65-Grade17!L65</f>
        <v>0</v>
      </c>
      <c r="O65" s="5">
        <f>Grade17!M65-M65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133.34399999999999</v>
      </c>
      <c r="N66" s="5">
        <f>L66-Grade17!L66</f>
        <v>0</v>
      </c>
      <c r="O66" s="5">
        <f>Grade17!M66-M66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133.34399999999999</v>
      </c>
      <c r="N67" s="5">
        <f>L67-Grade17!L67</f>
        <v>0</v>
      </c>
      <c r="O67" s="5">
        <f>Grade17!M67-M67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133.34399999999999</v>
      </c>
      <c r="N68" s="5">
        <f>L68-Grade17!L68</f>
        <v>0</v>
      </c>
      <c r="O68" s="5">
        <f>Grade17!M68-M68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133.34399999999999</v>
      </c>
      <c r="N69" s="5">
        <f>L69-Grade17!L69</f>
        <v>0</v>
      </c>
      <c r="O69" s="5">
        <f>Grade17!M69-M69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4.2323335947003216E-9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workbookViewId="0">
      <selection activeCell="G2" sqref="G2:G12"/>
    </sheetView>
  </sheetViews>
  <sheetFormatPr defaultRowHeight="12.75" x14ac:dyDescent="0.2"/>
  <cols>
    <col min="1" max="16384" width="9.140625" style="8"/>
  </cols>
  <sheetData>
    <row r="1" spans="1:22" x14ac:dyDescent="0.2">
      <c r="A1" s="18" t="s">
        <v>5</v>
      </c>
      <c r="B1" s="8" t="s">
        <v>8</v>
      </c>
      <c r="D1" s="8" t="s">
        <v>13</v>
      </c>
      <c r="F1" s="8" t="s">
        <v>21</v>
      </c>
      <c r="G1" s="8" t="s">
        <v>34</v>
      </c>
      <c r="K1" s="8" t="s">
        <v>22</v>
      </c>
      <c r="L1" s="8" t="s">
        <v>26</v>
      </c>
      <c r="M1" s="8" t="s">
        <v>30</v>
      </c>
      <c r="N1" s="8" t="s">
        <v>23</v>
      </c>
      <c r="O1" s="8" t="s">
        <v>27</v>
      </c>
      <c r="P1" s="8" t="s">
        <v>31</v>
      </c>
      <c r="Q1" s="8" t="s">
        <v>24</v>
      </c>
      <c r="R1" s="8" t="s">
        <v>28</v>
      </c>
      <c r="S1" s="8" t="s">
        <v>32</v>
      </c>
      <c r="T1" s="8" t="s">
        <v>25</v>
      </c>
      <c r="U1" s="8" t="s">
        <v>29</v>
      </c>
      <c r="V1" s="8" t="s">
        <v>33</v>
      </c>
    </row>
    <row r="2" spans="1:22" x14ac:dyDescent="0.2">
      <c r="A2" s="18">
        <v>8</v>
      </c>
      <c r="B2" s="11">
        <f>Meta!E2</f>
        <v>1</v>
      </c>
    </row>
    <row r="3" spans="1:22" x14ac:dyDescent="0.2">
      <c r="A3" s="18">
        <v>9</v>
      </c>
      <c r="B3" s="11">
        <f>Meta!E3</f>
        <v>0.97099999999999997</v>
      </c>
      <c r="D3" s="8">
        <f>Grade9!T2</f>
        <v>1.0302778015329759</v>
      </c>
      <c r="F3" s="15">
        <f t="shared" ref="F3:F12" si="0">(D3-1)*100</f>
        <v>3.0277801532975879</v>
      </c>
      <c r="G3" s="15">
        <f>K3*M3+K4*M4+K5*M5+K6*M6</f>
        <v>3.1070087175183239</v>
      </c>
      <c r="H3" s="15"/>
      <c r="I3" s="15"/>
      <c r="K3" s="8">
        <f>1-B3</f>
        <v>2.9000000000000026E-2</v>
      </c>
      <c r="L3" s="8">
        <f>D3</f>
        <v>1.0302778015329759</v>
      </c>
      <c r="M3" s="8">
        <f t="shared" ref="M3:M12" si="1">(L3-1)*100</f>
        <v>3.0277801532975879</v>
      </c>
    </row>
    <row r="4" spans="1:22" x14ac:dyDescent="0.2">
      <c r="A4" s="18">
        <v>10</v>
      </c>
      <c r="B4" s="11">
        <f>Meta!E4</f>
        <v>0.97099999999999997</v>
      </c>
      <c r="D4" s="8">
        <f>Grade10!T2</f>
        <v>1.0319044292546429</v>
      </c>
      <c r="F4" s="15">
        <f t="shared" si="0"/>
        <v>3.1904429254642874</v>
      </c>
      <c r="G4" s="15">
        <f>N4*P4+N5*P5+N6*P6</f>
        <v>3.1384377496828235</v>
      </c>
      <c r="H4" s="15"/>
      <c r="I4" s="15"/>
      <c r="K4" s="8">
        <f>B3*(1-B4)</f>
        <v>2.8159000000000024E-2</v>
      </c>
      <c r="L4" s="8">
        <f>(D3*D4)^0.5</f>
        <v>1.0310907946270367</v>
      </c>
      <c r="M4" s="8">
        <f t="shared" si="1"/>
        <v>3.1090794627036678</v>
      </c>
      <c r="N4" s="8">
        <f>1-B4</f>
        <v>2.9000000000000026E-2</v>
      </c>
      <c r="O4" s="8">
        <f>D4</f>
        <v>1.0319044292546429</v>
      </c>
      <c r="P4" s="8">
        <f>(O4-1)*100</f>
        <v>3.1904429254642874</v>
      </c>
    </row>
    <row r="5" spans="1:22" x14ac:dyDescent="0.2">
      <c r="A5" s="18">
        <v>11</v>
      </c>
      <c r="B5" s="11">
        <f>Meta!E5</f>
        <v>0.97099999999999997</v>
      </c>
      <c r="D5" s="8">
        <f>Grade11!T2</f>
        <v>1.030420975354891</v>
      </c>
      <c r="F5" s="15">
        <f t="shared" si="0"/>
        <v>3.0420975354890967</v>
      </c>
      <c r="G5" s="15">
        <f>Q5*S5+Q6*S6</f>
        <v>3.1090409202801847</v>
      </c>
      <c r="H5" s="15"/>
      <c r="I5" s="15"/>
      <c r="K5" s="8">
        <f>B3*B4*(1-B5)</f>
        <v>2.7342389000000022E-2</v>
      </c>
      <c r="L5" s="8">
        <f>(D3*D4*D5)^(1/3)</f>
        <v>1.0308674731711607</v>
      </c>
      <c r="M5" s="8">
        <f t="shared" si="1"/>
        <v>3.0867473171160675</v>
      </c>
      <c r="N5" s="8">
        <f>B4*(1-B5)</f>
        <v>2.8159000000000024E-2</v>
      </c>
      <c r="O5" s="8">
        <f>(D4*D5)^0.5</f>
        <v>1.0311624355384563</v>
      </c>
      <c r="P5" s="8">
        <f>(O5-1)*100</f>
        <v>3.1162435538456323</v>
      </c>
      <c r="Q5" s="8">
        <f>1-B5</f>
        <v>2.9000000000000026E-2</v>
      </c>
      <c r="R5" s="8">
        <f>D5</f>
        <v>1.030420975354891</v>
      </c>
      <c r="S5" s="8">
        <f>(R5-1)*100</f>
        <v>3.0420975354890967</v>
      </c>
    </row>
    <row r="6" spans="1:22" x14ac:dyDescent="0.2">
      <c r="A6" s="18">
        <v>12</v>
      </c>
      <c r="B6" s="11">
        <f>Meta!E6</f>
        <v>0.97099999999999997</v>
      </c>
      <c r="D6" s="8">
        <f>Grade12!T2</f>
        <v>1.0318002911079129</v>
      </c>
      <c r="F6" s="15">
        <f t="shared" si="0"/>
        <v>3.1800291107912937</v>
      </c>
      <c r="G6" s="15">
        <f>T6*V6</f>
        <v>3.1800291107912937</v>
      </c>
      <c r="H6" s="15"/>
      <c r="I6" s="15"/>
      <c r="K6" s="8">
        <f>B3*B4*B5</f>
        <v>0.91549861099999996</v>
      </c>
      <c r="L6" s="8">
        <f>(D3*D4*D5*D6)^0.25</f>
        <v>1.031100598563258</v>
      </c>
      <c r="M6" s="8">
        <f t="shared" si="1"/>
        <v>3.1100598563257975</v>
      </c>
      <c r="N6" s="8">
        <f>B4*B5</f>
        <v>0.94284099999999993</v>
      </c>
      <c r="O6" s="8">
        <f>(D4*D5*D6)^(1/3)</f>
        <v>1.0313750102362076</v>
      </c>
      <c r="P6" s="8">
        <f>(O6-1)*100</f>
        <v>3.137501023620759</v>
      </c>
      <c r="Q6" s="8">
        <f>B5</f>
        <v>0.97099999999999997</v>
      </c>
      <c r="R6" s="8">
        <f>(D5*D6)^0.5</f>
        <v>1.0311104025926983</v>
      </c>
      <c r="S6" s="8">
        <f>(R6-1)*100</f>
        <v>3.1110402592698261</v>
      </c>
      <c r="T6" s="8">
        <v>1</v>
      </c>
      <c r="U6" s="8">
        <f>D6</f>
        <v>1.0318002911079129</v>
      </c>
      <c r="V6" s="8">
        <f>(U6-1)*100</f>
        <v>3.1800291107912937</v>
      </c>
    </row>
    <row r="7" spans="1:22" x14ac:dyDescent="0.2">
      <c r="A7" s="18">
        <v>13</v>
      </c>
      <c r="B7" s="11">
        <f>Meta!E7</f>
        <v>0.77500000000000002</v>
      </c>
      <c r="D7" s="8">
        <f>Grade13!T2</f>
        <v>1.0193486154560123</v>
      </c>
      <c r="F7" s="15">
        <f t="shared" si="0"/>
        <v>1.9348615456012297</v>
      </c>
      <c r="G7" s="15">
        <f>K7*M7+K8*M8+K9*M9+K10*M10</f>
        <v>1.8877175222272404</v>
      </c>
      <c r="H7" s="15"/>
      <c r="I7" s="15"/>
      <c r="K7" s="8">
        <f>1-B7</f>
        <v>0.22499999999999998</v>
      </c>
      <c r="L7" s="8">
        <f>D7</f>
        <v>1.0193486154560123</v>
      </c>
      <c r="M7" s="8">
        <f t="shared" si="1"/>
        <v>1.9348615456012297</v>
      </c>
    </row>
    <row r="8" spans="1:22" x14ac:dyDescent="0.2">
      <c r="A8" s="18">
        <v>14</v>
      </c>
      <c r="B8" s="11">
        <f>Meta!E8</f>
        <v>0.77500000000000002</v>
      </c>
      <c r="D8" s="8">
        <f>Grade14!T2</f>
        <v>1.0188296834317603</v>
      </c>
      <c r="F8" s="15">
        <f t="shared" si="0"/>
        <v>1.882968343176028</v>
      </c>
      <c r="G8" s="15">
        <f>N8*P8+N9*P9+N10*P10</f>
        <v>1.8483546105863646</v>
      </c>
      <c r="H8" s="15"/>
      <c r="I8" s="15"/>
      <c r="K8" s="8">
        <f>B7*(1-B8)</f>
        <v>0.17437499999999997</v>
      </c>
      <c r="L8" s="8">
        <f>(D7*D8)^0.5</f>
        <v>1.0190891164131095</v>
      </c>
      <c r="M8" s="8">
        <f t="shared" si="1"/>
        <v>1.9089116413109508</v>
      </c>
      <c r="N8" s="8">
        <f>1-B8</f>
        <v>0.22499999999999998</v>
      </c>
      <c r="O8" s="8">
        <f>D8</f>
        <v>1.0188296834317603</v>
      </c>
      <c r="P8" s="8">
        <f>(O8-1)*100</f>
        <v>1.882968343176028</v>
      </c>
    </row>
    <row r="9" spans="1:22" x14ac:dyDescent="0.2">
      <c r="A9" s="18">
        <v>15</v>
      </c>
      <c r="B9" s="11">
        <f>Meta!E9</f>
        <v>0.77500000000000002</v>
      </c>
      <c r="D9" s="8">
        <f>Grade15!T2</f>
        <v>1.0183015387514285</v>
      </c>
      <c r="F9" s="15">
        <f t="shared" si="0"/>
        <v>1.8301538751428481</v>
      </c>
      <c r="G9" s="15">
        <f>Q9*S9+Q10*S10</f>
        <v>1.8130114845893031</v>
      </c>
      <c r="H9" s="15"/>
      <c r="I9" s="15"/>
      <c r="K9" s="8">
        <f>B7*B8*(1-B9)</f>
        <v>0.13514062500000001</v>
      </c>
      <c r="L9" s="8">
        <f>(D7*D8*D9)^(1/3)</f>
        <v>1.0188265228679652</v>
      </c>
      <c r="M9" s="8">
        <f t="shared" si="1"/>
        <v>1.8826522867965156</v>
      </c>
      <c r="N9" s="8">
        <f>B8*(1-B9)</f>
        <v>0.17437499999999997</v>
      </c>
      <c r="O9" s="8">
        <f>(D8*D9)^0.5</f>
        <v>1.0185655768600235</v>
      </c>
      <c r="P9" s="8">
        <f>(O9-1)*100</f>
        <v>1.8565576860023469</v>
      </c>
      <c r="Q9" s="8">
        <f>1-B9</f>
        <v>0.22499999999999998</v>
      </c>
      <c r="R9" s="8">
        <f>D9</f>
        <v>1.0183015387514285</v>
      </c>
      <c r="S9" s="8">
        <f>(R9-1)*100</f>
        <v>1.8301538751428481</v>
      </c>
    </row>
    <row r="10" spans="1:22" x14ac:dyDescent="0.2">
      <c r="A10" s="18">
        <v>16</v>
      </c>
      <c r="B10" s="11">
        <f>Meta!E10</f>
        <v>0.77500000000000002</v>
      </c>
      <c r="D10" s="8">
        <f>Grade16!T2</f>
        <v>1.0178592025257125</v>
      </c>
      <c r="F10" s="15">
        <f t="shared" si="0"/>
        <v>1.7859202525712492</v>
      </c>
      <c r="G10" s="15">
        <f>T10*V10</f>
        <v>1.7859202525712492</v>
      </c>
      <c r="H10" s="15"/>
      <c r="I10" s="15"/>
      <c r="K10" s="8">
        <f>B7*B8*B9</f>
        <v>0.46548437500000006</v>
      </c>
      <c r="L10" s="8">
        <f>(D7*D8*D9*D10)^0.25</f>
        <v>1.018584606632994</v>
      </c>
      <c r="M10" s="8">
        <f t="shared" si="1"/>
        <v>1.8584606632993994</v>
      </c>
      <c r="N10" s="8">
        <f>B8*B9</f>
        <v>0.60062500000000008</v>
      </c>
      <c r="O10" s="8">
        <f>(D8*D9*D10)^(1/3)</f>
        <v>1.0183300642976083</v>
      </c>
      <c r="P10" s="8">
        <f>(O10-1)*100</f>
        <v>1.8330064297608306</v>
      </c>
      <c r="Q10" s="8">
        <f>B9</f>
        <v>0.77500000000000002</v>
      </c>
      <c r="R10" s="8">
        <f>(D9*D10)^0.5</f>
        <v>1.0180803466152537</v>
      </c>
      <c r="S10" s="8">
        <f>(R10-1)*100</f>
        <v>1.8080346615253706</v>
      </c>
      <c r="T10" s="8">
        <v>1</v>
      </c>
      <c r="U10" s="8">
        <f>D10</f>
        <v>1.0178592025257125</v>
      </c>
      <c r="V10" s="8">
        <f>(U10-1)*100</f>
        <v>1.7859202525712492</v>
      </c>
    </row>
    <row r="11" spans="1:22" x14ac:dyDescent="0.2">
      <c r="A11" s="18">
        <v>17</v>
      </c>
      <c r="B11" s="11">
        <f>Meta!E11</f>
        <v>0.52100000000000002</v>
      </c>
      <c r="D11" s="8">
        <f>Grade17!T2</f>
        <v>0.96764989434238147</v>
      </c>
      <c r="F11" s="15">
        <f t="shared" si="0"/>
        <v>-3.2350105657618533</v>
      </c>
      <c r="G11" s="15">
        <f>K11*M11+K12*M12</f>
        <v>-3.2163031206192869</v>
      </c>
      <c r="H11" s="15"/>
      <c r="I11" s="15"/>
      <c r="K11" s="8">
        <f>1-B11</f>
        <v>0.47899999999999998</v>
      </c>
      <c r="L11" s="8">
        <f>D11</f>
        <v>0.96764989434238147</v>
      </c>
      <c r="M11" s="8">
        <f t="shared" si="1"/>
        <v>-3.2350105657618533</v>
      </c>
    </row>
    <row r="12" spans="1:22" x14ac:dyDescent="0.2">
      <c r="A12" s="18">
        <v>18</v>
      </c>
      <c r="B12" s="11">
        <f>Meta!E12</f>
        <v>0.52100000000000002</v>
      </c>
      <c r="D12" s="8">
        <f>Grade18!T2</f>
        <v>0.96836816367250245</v>
      </c>
      <c r="F12" s="15">
        <f t="shared" si="0"/>
        <v>-3.1631836327497553</v>
      </c>
      <c r="G12" s="15">
        <f>N12*P12</f>
        <v>-3.1631836327497553</v>
      </c>
      <c r="H12" s="15"/>
      <c r="I12" s="15"/>
      <c r="K12" s="8">
        <f>B11</f>
        <v>0.52100000000000002</v>
      </c>
      <c r="L12" s="8">
        <f>(D11*D12)^0.5</f>
        <v>0.96800896238734435</v>
      </c>
      <c r="M12" s="8">
        <f t="shared" si="1"/>
        <v>-3.1991037612655648</v>
      </c>
      <c r="N12" s="8">
        <v>1</v>
      </c>
      <c r="O12" s="8">
        <f>D12</f>
        <v>0.96836816367250245</v>
      </c>
      <c r="P12" s="8">
        <f>(O12-1)*100</f>
        <v>-3.1631836327497553</v>
      </c>
    </row>
    <row r="14" spans="1:22" x14ac:dyDescent="0.2">
      <c r="B14" s="16"/>
    </row>
    <row r="15" spans="1:22" x14ac:dyDescent="0.2">
      <c r="B15" s="16"/>
    </row>
    <row r="16" spans="1:22" x14ac:dyDescent="0.2">
      <c r="B16" s="16"/>
    </row>
    <row r="17" spans="2:4" x14ac:dyDescent="0.2">
      <c r="B17" s="16"/>
    </row>
    <row r="18" spans="2:4" x14ac:dyDescent="0.2">
      <c r="B18" s="16"/>
    </row>
    <row r="19" spans="2:4" x14ac:dyDescent="0.2">
      <c r="B19" s="16"/>
      <c r="D19" s="30"/>
    </row>
    <row r="20" spans="2:4" x14ac:dyDescent="0.2">
      <c r="B20" s="16"/>
    </row>
    <row r="21" spans="2:4" x14ac:dyDescent="0.2">
      <c r="B21" s="16"/>
    </row>
    <row r="22" spans="2:4" x14ac:dyDescent="0.2">
      <c r="B22" s="16"/>
    </row>
    <row r="23" spans="2:4" x14ac:dyDescent="0.2">
      <c r="B23" s="16"/>
    </row>
    <row r="24" spans="2:4" x14ac:dyDescent="0.2">
      <c r="B24" s="16"/>
    </row>
    <row r="25" spans="2:4" x14ac:dyDescent="0.2">
      <c r="B25" s="16"/>
    </row>
    <row r="26" spans="2:4" x14ac:dyDescent="0.2">
      <c r="B26" s="16"/>
    </row>
    <row r="27" spans="2:4" x14ac:dyDescent="0.2">
      <c r="B27" s="2"/>
    </row>
    <row r="28" spans="2:4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>
      <selection activeCell="R2" sqref="R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8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</row>
    <row r="2" spans="1:18" x14ac:dyDescent="0.2">
      <c r="B2" s="5">
        <f>Meta!A2+6</f>
        <v>14</v>
      </c>
      <c r="C2" s="7">
        <f>Meta!B2</f>
        <v>45691</v>
      </c>
      <c r="D2" s="7">
        <f>Meta!C2</f>
        <v>20561</v>
      </c>
      <c r="E2" s="1">
        <f>Meta!D2</f>
        <v>5.8999999999999997E-2</v>
      </c>
      <c r="F2" s="1">
        <f>Meta!F2</f>
        <v>0.71199999999999997</v>
      </c>
      <c r="G2" s="1">
        <f>Meta!I2</f>
        <v>2.0085479604911836</v>
      </c>
      <c r="H2" s="1">
        <f>Meta!E2</f>
        <v>1</v>
      </c>
      <c r="I2" s="13"/>
      <c r="K2" s="1">
        <f>Meta!D2</f>
        <v>5.8999999999999997E-2</v>
      </c>
      <c r="L2" s="13"/>
      <c r="N2" s="22">
        <f>Meta!T2</f>
        <v>60028</v>
      </c>
      <c r="O2" s="22">
        <f>Meta!U2</f>
        <v>26364</v>
      </c>
      <c r="P2" s="1">
        <f>Meta!V2</f>
        <v>4.3999999999999997E-2</v>
      </c>
      <c r="Q2" s="1">
        <f>Meta!X2</f>
        <v>0.77400000000000002</v>
      </c>
      <c r="R2" s="22">
        <f>Meta!W2</f>
        <v>2405</v>
      </c>
    </row>
    <row r="3" spans="1:18" ht="14.25" x14ac:dyDescent="0.2">
      <c r="C3" s="3"/>
      <c r="G3" s="4"/>
      <c r="L3" s="1" t="s">
        <v>10</v>
      </c>
    </row>
    <row r="4" spans="1:18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</row>
    <row r="5" spans="1:18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22748.274324914015</v>
      </c>
      <c r="D5" s="5">
        <f>IF(A5&lt;startage,1,0)*(C5*(1-initialunempprob))+IF(A5=startage,1,0)*(C5*(1-unempprob))+IF(A5&gt;startage,1,0)*(C5*(1-unempprob)+unempprob*300*52)</f>
        <v>21406.12613974409</v>
      </c>
      <c r="E5" s="5">
        <f>IF(D5-9500&gt;0,1,0)*(D5-9500)</f>
        <v>11906.12613974409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4189.1001846264453</v>
      </c>
      <c r="G5" s="5">
        <f>D5-F5</f>
        <v>17217.025955117646</v>
      </c>
      <c r="H5" s="22">
        <f t="shared" ref="H5:H36" si="1">benefits*B5/expnorm</f>
        <v>10236.74833981653</v>
      </c>
      <c r="I5" s="5">
        <f>G5+IF(A5&lt;startage,1,0)*(H5*(1-initialunempprob))+IF(A5&gt;=startage,1,0)*(H5*(1-unempprob))</f>
        <v>26849.806142885001</v>
      </c>
      <c r="J5" s="26">
        <f t="shared" ref="J5:J36" si="2">(F5-(IF(A5&gt;startage,1,0)*(unempprob*300*52)))/(IF(A5&lt;startage,1,0)*((C5+H5)*(1-initialunempprob))+IF(A5&gt;=startage,1,0)*((C5+H5)*(1-unempprob)))</f>
        <v>0.134962879826517</v>
      </c>
      <c r="L5" s="22">
        <f t="shared" ref="L5:L36" si="3">(sincome+sbenefits)*(1-sunemp)*B5/expnorm</f>
        <v>41119.631507232072</v>
      </c>
      <c r="M5" s="5">
        <f>scrimecost*Meta!O2</f>
        <v>2082.73</v>
      </c>
      <c r="N5" s="22"/>
    </row>
    <row r="6" spans="1:18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23316.981183036864</v>
      </c>
      <c r="D6" s="5">
        <f t="shared" ref="D6:D36" si="5">IF(A6&lt;startage,1,0)*(C6*(1-initialunempprob))+IF(A6=startage,1,0)*(C6*(1-unempprob))+IF(A6&gt;startage,1,0)*(C6*(1-unempprob)+unempprob*300*52)</f>
        <v>22861.679293237692</v>
      </c>
      <c r="E6" s="5">
        <f t="shared" ref="E6:E56" si="6">IF(D6-9500&gt;0,1,0)*(D6-9500)</f>
        <v>13361.679293237692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4664.3382892421068</v>
      </c>
      <c r="G6" s="5">
        <f t="shared" ref="G6:G56" si="8">D6-F6</f>
        <v>18197.341003995585</v>
      </c>
      <c r="H6" s="22">
        <f t="shared" si="1"/>
        <v>10492.667048311941</v>
      </c>
      <c r="I6" s="5">
        <f t="shared" ref="I6:I36" si="9">G6+IF(A6&lt;startage,1,0)*(H6*(1-initialunempprob))+IF(A6&gt;=startage,1,0)*(H6*(1-unempprob))</f>
        <v>28070.940696457124</v>
      </c>
      <c r="J6" s="26">
        <f t="shared" si="2"/>
        <v>0.11767884740108567</v>
      </c>
      <c r="L6" s="22">
        <f t="shared" si="3"/>
        <v>42147.622294912871</v>
      </c>
      <c r="M6" s="5">
        <f>scrimecost*Meta!O3</f>
        <v>3703.7000000000003</v>
      </c>
      <c r="N6" s="22"/>
    </row>
    <row r="7" spans="1:18" x14ac:dyDescent="0.2">
      <c r="A7" s="5">
        <v>16</v>
      </c>
      <c r="B7" s="1">
        <f t="shared" si="0"/>
        <v>1.0506249999999999</v>
      </c>
      <c r="C7" s="5">
        <f t="shared" si="4"/>
        <v>23899.905712612785</v>
      </c>
      <c r="D7" s="5">
        <f t="shared" si="5"/>
        <v>23410.211275568632</v>
      </c>
      <c r="E7" s="5">
        <f t="shared" si="6"/>
        <v>13910.211275568632</v>
      </c>
      <c r="F7" s="5">
        <f t="shared" si="7"/>
        <v>4843.4339814731584</v>
      </c>
      <c r="G7" s="5">
        <f t="shared" si="8"/>
        <v>18566.777294095475</v>
      </c>
      <c r="H7" s="22">
        <f t="shared" si="1"/>
        <v>10754.983724519741</v>
      </c>
      <c r="I7" s="5">
        <f t="shared" si="9"/>
        <v>28687.21697886855</v>
      </c>
      <c r="J7" s="26">
        <f t="shared" si="2"/>
        <v>0.12030063755854181</v>
      </c>
      <c r="L7" s="22">
        <f t="shared" si="3"/>
        <v>43201.312852285693</v>
      </c>
      <c r="M7" s="5">
        <f>scrimecost*Meta!O4</f>
        <v>4961.5150000000003</v>
      </c>
      <c r="N7" s="22"/>
    </row>
    <row r="8" spans="1:18" x14ac:dyDescent="0.2">
      <c r="A8" s="5">
        <v>17</v>
      </c>
      <c r="B8" s="1">
        <f t="shared" si="0"/>
        <v>1.0768906249999999</v>
      </c>
      <c r="C8" s="5">
        <f t="shared" si="4"/>
        <v>24497.403355428105</v>
      </c>
      <c r="D8" s="5">
        <f t="shared" si="5"/>
        <v>23972.456557457848</v>
      </c>
      <c r="E8" s="5">
        <f t="shared" si="6"/>
        <v>14472.456557457848</v>
      </c>
      <c r="F8" s="5">
        <f t="shared" si="7"/>
        <v>5027.0070660099873</v>
      </c>
      <c r="G8" s="5">
        <f t="shared" si="8"/>
        <v>18945.44949144786</v>
      </c>
      <c r="H8" s="22">
        <f t="shared" si="1"/>
        <v>11023.858317632734</v>
      </c>
      <c r="I8" s="5">
        <f t="shared" si="9"/>
        <v>29318.900168340264</v>
      </c>
      <c r="J8" s="26">
        <f t="shared" si="2"/>
        <v>0.12285848161459664</v>
      </c>
      <c r="L8" s="22">
        <f t="shared" si="3"/>
        <v>44281.345673592834</v>
      </c>
      <c r="M8" s="5">
        <f>scrimecost*Meta!O5</f>
        <v>6091.8649999999998</v>
      </c>
      <c r="N8" s="22"/>
    </row>
    <row r="9" spans="1:18" x14ac:dyDescent="0.2">
      <c r="A9" s="5">
        <v>18</v>
      </c>
      <c r="B9" s="1">
        <f t="shared" si="0"/>
        <v>1.1038128906249998</v>
      </c>
      <c r="C9" s="5">
        <f t="shared" si="4"/>
        <v>25109.838439313804</v>
      </c>
      <c r="D9" s="5">
        <f t="shared" si="5"/>
        <v>24548.757971394294</v>
      </c>
      <c r="E9" s="5">
        <f t="shared" si="6"/>
        <v>15048.757971394294</v>
      </c>
      <c r="F9" s="5">
        <f t="shared" si="7"/>
        <v>5215.1694776602371</v>
      </c>
      <c r="G9" s="5">
        <f t="shared" si="8"/>
        <v>19333.588493734056</v>
      </c>
      <c r="H9" s="22">
        <f t="shared" si="1"/>
        <v>11299.454775573551</v>
      </c>
      <c r="I9" s="5">
        <f t="shared" si="9"/>
        <v>29966.37543754877</v>
      </c>
      <c r="J9" s="26">
        <f t="shared" si="2"/>
        <v>0.12535393923025992</v>
      </c>
      <c r="L9" s="22">
        <f t="shared" si="3"/>
        <v>45388.379315432649</v>
      </c>
      <c r="M9" s="5">
        <f>scrimecost*Meta!O6</f>
        <v>7717.6450000000004</v>
      </c>
      <c r="N9" s="22"/>
    </row>
    <row r="10" spans="1:18" x14ac:dyDescent="0.2">
      <c r="A10" s="5">
        <v>19</v>
      </c>
      <c r="B10" s="1">
        <f t="shared" si="0"/>
        <v>1.1314082128906247</v>
      </c>
      <c r="C10" s="5">
        <f t="shared" si="4"/>
        <v>25737.584400296648</v>
      </c>
      <c r="D10" s="5">
        <f t="shared" si="5"/>
        <v>25139.466920679148</v>
      </c>
      <c r="E10" s="5">
        <f t="shared" si="6"/>
        <v>15639.466920679148</v>
      </c>
      <c r="F10" s="5">
        <f t="shared" si="7"/>
        <v>5408.0359496017418</v>
      </c>
      <c r="G10" s="5">
        <f t="shared" si="8"/>
        <v>19731.430971077407</v>
      </c>
      <c r="H10" s="22">
        <f t="shared" si="1"/>
        <v>11581.94114496289</v>
      </c>
      <c r="I10" s="5">
        <f t="shared" si="9"/>
        <v>30630.037588487488</v>
      </c>
      <c r="J10" s="26">
        <f t="shared" si="2"/>
        <v>0.12778853202602888</v>
      </c>
      <c r="L10" s="22">
        <f t="shared" si="3"/>
        <v>46523.088798318466</v>
      </c>
      <c r="M10" s="5">
        <f>scrimecost*Meta!O7</f>
        <v>8189.0249999999996</v>
      </c>
      <c r="N10" s="22"/>
    </row>
    <row r="11" spans="1:18" x14ac:dyDescent="0.2">
      <c r="A11" s="5">
        <v>20</v>
      </c>
      <c r="B11" s="1">
        <f t="shared" si="0"/>
        <v>1.1596934182128902</v>
      </c>
      <c r="C11" s="5">
        <f t="shared" si="4"/>
        <v>26381.024010304063</v>
      </c>
      <c r="D11" s="5">
        <f t="shared" si="5"/>
        <v>25744.943593696127</v>
      </c>
      <c r="E11" s="5">
        <f t="shared" si="6"/>
        <v>16244.943593696127</v>
      </c>
      <c r="F11" s="5">
        <f t="shared" si="7"/>
        <v>5605.7240833417854</v>
      </c>
      <c r="G11" s="5">
        <f t="shared" si="8"/>
        <v>20139.219510354342</v>
      </c>
      <c r="H11" s="22">
        <f t="shared" si="1"/>
        <v>11871.489673586961</v>
      </c>
      <c r="I11" s="5">
        <f t="shared" si="9"/>
        <v>31310.291293199673</v>
      </c>
      <c r="J11" s="26">
        <f t="shared" si="2"/>
        <v>0.13016374450970597</v>
      </c>
      <c r="L11" s="22">
        <f t="shared" si="3"/>
        <v>47686.166018276424</v>
      </c>
      <c r="M11" s="5">
        <f>scrimecost*Meta!O8</f>
        <v>7859.5399999999991</v>
      </c>
      <c r="N11" s="22"/>
    </row>
    <row r="12" spans="1:18" x14ac:dyDescent="0.2">
      <c r="A12" s="5">
        <v>21</v>
      </c>
      <c r="B12" s="1">
        <f t="shared" si="0"/>
        <v>1.1886857536682125</v>
      </c>
      <c r="C12" s="5">
        <f t="shared" si="4"/>
        <v>27040.549610561662</v>
      </c>
      <c r="D12" s="5">
        <f t="shared" si="5"/>
        <v>26365.557183538527</v>
      </c>
      <c r="E12" s="5">
        <f t="shared" si="6"/>
        <v>16865.557183538527</v>
      </c>
      <c r="F12" s="5">
        <f t="shared" si="7"/>
        <v>5808.3544204253294</v>
      </c>
      <c r="G12" s="5">
        <f t="shared" si="8"/>
        <v>20557.202763113197</v>
      </c>
      <c r="H12" s="22">
        <f t="shared" si="1"/>
        <v>12168.276915426635</v>
      </c>
      <c r="I12" s="5">
        <f t="shared" si="9"/>
        <v>32007.551340529659</v>
      </c>
      <c r="J12" s="26">
        <f t="shared" si="2"/>
        <v>0.13248102498158604</v>
      </c>
      <c r="L12" s="22">
        <f t="shared" si="3"/>
        <v>48878.320168733335</v>
      </c>
      <c r="M12" s="5">
        <f>scrimecost*Meta!O9</f>
        <v>7241.4549999999999</v>
      </c>
      <c r="N12" s="22"/>
    </row>
    <row r="13" spans="1:18" x14ac:dyDescent="0.2">
      <c r="A13" s="5">
        <v>22</v>
      </c>
      <c r="B13" s="1">
        <f t="shared" si="0"/>
        <v>1.2184028975099177</v>
      </c>
      <c r="C13" s="5">
        <f t="shared" si="4"/>
        <v>27716.563350825701</v>
      </c>
      <c r="D13" s="5">
        <f t="shared" si="5"/>
        <v>27001.686113126987</v>
      </c>
      <c r="E13" s="5">
        <f t="shared" si="6"/>
        <v>17501.686113126987</v>
      </c>
      <c r="F13" s="5">
        <f t="shared" si="7"/>
        <v>6016.0505159359618</v>
      </c>
      <c r="G13" s="5">
        <f t="shared" si="8"/>
        <v>20985.635597191023</v>
      </c>
      <c r="H13" s="22">
        <f t="shared" si="1"/>
        <v>12472.483838312299</v>
      </c>
      <c r="I13" s="5">
        <f t="shared" si="9"/>
        <v>32722.242889042896</v>
      </c>
      <c r="J13" s="26">
        <f t="shared" si="2"/>
        <v>0.13474178641756659</v>
      </c>
      <c r="L13" s="22">
        <f t="shared" si="3"/>
        <v>50100.278172951665</v>
      </c>
      <c r="M13" s="5">
        <f>scrimecost*Meta!O10</f>
        <v>6604.13</v>
      </c>
      <c r="N13" s="22"/>
    </row>
    <row r="14" spans="1:18" x14ac:dyDescent="0.2">
      <c r="A14" s="5">
        <v>23</v>
      </c>
      <c r="B14" s="1">
        <f t="shared" si="0"/>
        <v>1.2488629699476654</v>
      </c>
      <c r="C14" s="5">
        <f t="shared" si="4"/>
        <v>28409.477434596338</v>
      </c>
      <c r="D14" s="5">
        <f t="shared" si="5"/>
        <v>27653.718265955158</v>
      </c>
      <c r="E14" s="5">
        <f t="shared" si="6"/>
        <v>18153.718265955158</v>
      </c>
      <c r="F14" s="5">
        <f t="shared" si="7"/>
        <v>6228.9390138343588</v>
      </c>
      <c r="G14" s="5">
        <f t="shared" si="8"/>
        <v>21424.779252120799</v>
      </c>
      <c r="H14" s="22">
        <f t="shared" si="1"/>
        <v>12784.295934270105</v>
      </c>
      <c r="I14" s="5">
        <f t="shared" si="9"/>
        <v>33454.801726268968</v>
      </c>
      <c r="J14" s="26">
        <f t="shared" si="2"/>
        <v>0.13694740733071833</v>
      </c>
      <c r="L14" s="22">
        <f t="shared" si="3"/>
        <v>51352.785127275449</v>
      </c>
      <c r="M14" s="5">
        <f>scrimecost*Meta!O11</f>
        <v>6156.8</v>
      </c>
      <c r="N14" s="22"/>
    </row>
    <row r="15" spans="1:18" x14ac:dyDescent="0.2">
      <c r="A15" s="5">
        <v>24</v>
      </c>
      <c r="B15" s="1">
        <f t="shared" si="0"/>
        <v>1.2800845441963571</v>
      </c>
      <c r="C15" s="5">
        <f t="shared" si="4"/>
        <v>29119.71437046125</v>
      </c>
      <c r="D15" s="5">
        <f t="shared" si="5"/>
        <v>28322.051222604041</v>
      </c>
      <c r="E15" s="5">
        <f t="shared" si="6"/>
        <v>18822.051222604041</v>
      </c>
      <c r="F15" s="5">
        <f t="shared" si="7"/>
        <v>6447.149724180219</v>
      </c>
      <c r="G15" s="5">
        <f t="shared" si="8"/>
        <v>21874.901498423824</v>
      </c>
      <c r="H15" s="22">
        <f t="shared" si="1"/>
        <v>13103.903332626858</v>
      </c>
      <c r="I15" s="5">
        <f t="shared" si="9"/>
        <v>34205.6745344257</v>
      </c>
      <c r="J15" s="26">
        <f t="shared" si="2"/>
        <v>0.13909923261184204</v>
      </c>
      <c r="L15" s="22">
        <f t="shared" si="3"/>
        <v>52636.604755457331</v>
      </c>
      <c r="M15" s="5">
        <f>scrimecost*Meta!O12</f>
        <v>5873.01</v>
      </c>
      <c r="N15" s="22"/>
    </row>
    <row r="16" spans="1:18" x14ac:dyDescent="0.2">
      <c r="A16" s="5">
        <v>25</v>
      </c>
      <c r="B16" s="1">
        <f t="shared" si="0"/>
        <v>1.312086657801266</v>
      </c>
      <c r="C16" s="5">
        <f t="shared" si="4"/>
        <v>29847.707229722779</v>
      </c>
      <c r="D16" s="5">
        <f t="shared" si="5"/>
        <v>29007.092503169137</v>
      </c>
      <c r="E16" s="5">
        <f t="shared" si="6"/>
        <v>19507.092503169137</v>
      </c>
      <c r="F16" s="5">
        <f t="shared" si="7"/>
        <v>6670.8157022847226</v>
      </c>
      <c r="G16" s="5">
        <f t="shared" si="8"/>
        <v>22336.276800884414</v>
      </c>
      <c r="H16" s="22">
        <f t="shared" si="1"/>
        <v>13431.50091594253</v>
      </c>
      <c r="I16" s="5">
        <f t="shared" si="9"/>
        <v>34975.319162786334</v>
      </c>
      <c r="J16" s="26">
        <f t="shared" si="2"/>
        <v>0.14119857434952363</v>
      </c>
      <c r="L16" s="22">
        <f t="shared" si="3"/>
        <v>53952.519874343765</v>
      </c>
      <c r="M16" s="5">
        <f>scrimecost*Meta!O13</f>
        <v>4889.3649999999998</v>
      </c>
      <c r="N16" s="22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30593.899910465847</v>
      </c>
      <c r="D17" s="5">
        <f t="shared" si="5"/>
        <v>29709.259815748366</v>
      </c>
      <c r="E17" s="5">
        <f t="shared" si="6"/>
        <v>20209.259815748366</v>
      </c>
      <c r="F17" s="5">
        <f t="shared" si="7"/>
        <v>6900.0733298418418</v>
      </c>
      <c r="G17" s="5">
        <f t="shared" si="8"/>
        <v>22809.186485906524</v>
      </c>
      <c r="H17" s="22">
        <f t="shared" si="1"/>
        <v>13767.288438841091</v>
      </c>
      <c r="I17" s="5">
        <f t="shared" si="9"/>
        <v>35764.204906855994</v>
      </c>
      <c r="J17" s="26">
        <f t="shared" si="2"/>
        <v>0.14324671263018868</v>
      </c>
      <c r="L17" s="22">
        <f t="shared" si="3"/>
        <v>55301.33287120235</v>
      </c>
      <c r="M17" s="5">
        <f>scrimecost*Meta!O14</f>
        <v>4889.3649999999998</v>
      </c>
      <c r="N17" s="22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31358.747408227493</v>
      </c>
      <c r="D18" s="5">
        <f t="shared" si="5"/>
        <v>30428.981311142074</v>
      </c>
      <c r="E18" s="5">
        <f t="shared" si="6"/>
        <v>20928.981311142074</v>
      </c>
      <c r="F18" s="5">
        <f t="shared" si="7"/>
        <v>7135.0623980878863</v>
      </c>
      <c r="G18" s="5">
        <f t="shared" si="8"/>
        <v>23293.918913054185</v>
      </c>
      <c r="H18" s="22">
        <f t="shared" si="1"/>
        <v>14111.470649812118</v>
      </c>
      <c r="I18" s="5">
        <f t="shared" si="9"/>
        <v>36572.812794527388</v>
      </c>
      <c r="J18" s="26">
        <f t="shared" si="2"/>
        <v>0.14524489631864235</v>
      </c>
      <c r="L18" s="22">
        <f t="shared" si="3"/>
        <v>56683.866192982408</v>
      </c>
      <c r="M18" s="5">
        <f>scrimecost*Meta!O15</f>
        <v>4889.3649999999998</v>
      </c>
      <c r="N18" s="22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32142.716093433177</v>
      </c>
      <c r="D19" s="5">
        <f t="shared" si="5"/>
        <v>31166.695843920621</v>
      </c>
      <c r="E19" s="5">
        <f t="shared" si="6"/>
        <v>21666.695843920621</v>
      </c>
      <c r="F19" s="5">
        <f t="shared" si="7"/>
        <v>7375.9261930400826</v>
      </c>
      <c r="G19" s="5">
        <f t="shared" si="8"/>
        <v>23790.769650880538</v>
      </c>
      <c r="H19" s="22">
        <f t="shared" si="1"/>
        <v>14464.257416057419</v>
      </c>
      <c r="I19" s="5">
        <f t="shared" si="9"/>
        <v>37401.635879390567</v>
      </c>
      <c r="J19" s="26">
        <f t="shared" si="2"/>
        <v>0.14719434381957275</v>
      </c>
      <c r="L19" s="22">
        <f t="shared" si="3"/>
        <v>58100.962847806964</v>
      </c>
      <c r="M19" s="5">
        <f>scrimecost*Meta!O16</f>
        <v>4889.3649999999998</v>
      </c>
      <c r="N19" s="22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32946.283995769008</v>
      </c>
      <c r="D20" s="5">
        <f t="shared" si="5"/>
        <v>31922.853240018641</v>
      </c>
      <c r="E20" s="5">
        <f t="shared" si="6"/>
        <v>22422.853240018641</v>
      </c>
      <c r="F20" s="5">
        <f t="shared" si="7"/>
        <v>7622.8115828660866</v>
      </c>
      <c r="G20" s="5">
        <f t="shared" si="8"/>
        <v>24300.041657152557</v>
      </c>
      <c r="H20" s="22">
        <f t="shared" si="1"/>
        <v>14825.863851458857</v>
      </c>
      <c r="I20" s="5">
        <f t="shared" si="9"/>
        <v>38251.179541375343</v>
      </c>
      <c r="J20" s="26">
        <f t="shared" si="2"/>
        <v>0.14909624382048048</v>
      </c>
      <c r="L20" s="22">
        <f t="shared" si="3"/>
        <v>59553.486919002149</v>
      </c>
      <c r="M20" s="5">
        <f>scrimecost*Meta!O17</f>
        <v>4889.3649999999998</v>
      </c>
      <c r="N20" s="22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33769.941095663235</v>
      </c>
      <c r="D21" s="5">
        <f t="shared" si="5"/>
        <v>32697.914571019108</v>
      </c>
      <c r="E21" s="5">
        <f t="shared" si="6"/>
        <v>23197.914571019108</v>
      </c>
      <c r="F21" s="5">
        <f t="shared" si="7"/>
        <v>7875.8691074377384</v>
      </c>
      <c r="G21" s="5">
        <f t="shared" si="8"/>
        <v>24822.045463581369</v>
      </c>
      <c r="H21" s="22">
        <f t="shared" si="1"/>
        <v>15196.510447745326</v>
      </c>
      <c r="I21" s="5">
        <f t="shared" si="9"/>
        <v>39121.961794909723</v>
      </c>
      <c r="J21" s="26">
        <f t="shared" si="2"/>
        <v>0.150951756016488</v>
      </c>
      <c r="L21" s="22">
        <f t="shared" si="3"/>
        <v>61042.3240919772</v>
      </c>
      <c r="M21" s="5">
        <f>scrimecost*Meta!O18</f>
        <v>4028.375</v>
      </c>
      <c r="N21" s="22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34614.189623054808</v>
      </c>
      <c r="D22" s="5">
        <f t="shared" si="5"/>
        <v>33492.352435294575</v>
      </c>
      <c r="E22" s="5">
        <f t="shared" si="6"/>
        <v>23992.352435294575</v>
      </c>
      <c r="F22" s="5">
        <f t="shared" si="7"/>
        <v>8135.2530701236792</v>
      </c>
      <c r="G22" s="5">
        <f t="shared" si="8"/>
        <v>25357.099365170896</v>
      </c>
      <c r="H22" s="22">
        <f t="shared" si="1"/>
        <v>15576.423208938959</v>
      </c>
      <c r="I22" s="5">
        <f t="shared" si="9"/>
        <v>40014.513604782456</v>
      </c>
      <c r="J22" s="26">
        <f t="shared" si="2"/>
        <v>0.15276201181747093</v>
      </c>
      <c r="L22" s="22">
        <f t="shared" si="3"/>
        <v>62568.382194276615</v>
      </c>
      <c r="M22" s="5">
        <f>scrimecost*Meta!O19</f>
        <v>4028.375</v>
      </c>
      <c r="N22" s="22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35479.544363631183</v>
      </c>
      <c r="D23" s="5">
        <f t="shared" si="5"/>
        <v>34306.651246176945</v>
      </c>
      <c r="E23" s="5">
        <f t="shared" si="6"/>
        <v>24806.651246176945</v>
      </c>
      <c r="F23" s="5">
        <f t="shared" si="7"/>
        <v>8401.1216318767729</v>
      </c>
      <c r="G23" s="5">
        <f t="shared" si="8"/>
        <v>25905.529614300172</v>
      </c>
      <c r="H23" s="22">
        <f t="shared" si="1"/>
        <v>15965.833789162432</v>
      </c>
      <c r="I23" s="5">
        <f t="shared" si="9"/>
        <v>40929.379209902021</v>
      </c>
      <c r="J23" s="26">
        <f t="shared" si="2"/>
        <v>0.15452811503794214</v>
      </c>
      <c r="L23" s="22">
        <f t="shared" si="3"/>
        <v>64132.591749133535</v>
      </c>
      <c r="M23" s="5">
        <f>scrimecost*Meta!O20</f>
        <v>4028.375</v>
      </c>
      <c r="N23" s="22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36366.532972721958</v>
      </c>
      <c r="D24" s="5">
        <f t="shared" si="5"/>
        <v>35141.307527331366</v>
      </c>
      <c r="E24" s="5">
        <f t="shared" si="6"/>
        <v>25641.307527331366</v>
      </c>
      <c r="F24" s="5">
        <f t="shared" si="7"/>
        <v>8673.6369076736919</v>
      </c>
      <c r="G24" s="5">
        <f t="shared" si="8"/>
        <v>26467.670619657674</v>
      </c>
      <c r="H24" s="22">
        <f t="shared" si="1"/>
        <v>16364.979633891493</v>
      </c>
      <c r="I24" s="5">
        <f t="shared" si="9"/>
        <v>41867.116455149568</v>
      </c>
      <c r="J24" s="26">
        <f t="shared" si="2"/>
        <v>0.15625114257010914</v>
      </c>
      <c r="L24" s="22">
        <f t="shared" si="3"/>
        <v>65735.906542861863</v>
      </c>
      <c r="M24" s="5">
        <f>scrimecost*Meta!O21</f>
        <v>4028.375</v>
      </c>
      <c r="N24" s="22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37275.696297040005</v>
      </c>
      <c r="D25" s="5">
        <f t="shared" si="5"/>
        <v>35996.830215514652</v>
      </c>
      <c r="E25" s="5">
        <f t="shared" si="6"/>
        <v>26496.830215514652</v>
      </c>
      <c r="F25" s="5">
        <f t="shared" si="7"/>
        <v>8952.9650653655335</v>
      </c>
      <c r="G25" s="5">
        <f t="shared" si="8"/>
        <v>27043.865150149119</v>
      </c>
      <c r="H25" s="22">
        <f t="shared" si="1"/>
        <v>16774.10412473878</v>
      </c>
      <c r="I25" s="5">
        <f t="shared" si="9"/>
        <v>42828.297131528314</v>
      </c>
      <c r="J25" s="26">
        <f t="shared" si="2"/>
        <v>0.15793214504051598</v>
      </c>
      <c r="L25" s="22">
        <f t="shared" si="3"/>
        <v>67379.304206433415</v>
      </c>
      <c r="M25" s="5">
        <f>scrimecost*Meta!O22</f>
        <v>4028.375</v>
      </c>
      <c r="N25" s="22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38207.588704465998</v>
      </c>
      <c r="D26" s="5">
        <f t="shared" si="5"/>
        <v>36873.740970902509</v>
      </c>
      <c r="E26" s="5">
        <f t="shared" si="6"/>
        <v>27373.740970902509</v>
      </c>
      <c r="F26" s="5">
        <f t="shared" si="7"/>
        <v>9239.2764269996696</v>
      </c>
      <c r="G26" s="5">
        <f t="shared" si="8"/>
        <v>27634.464543902839</v>
      </c>
      <c r="H26" s="22">
        <f t="shared" si="1"/>
        <v>17193.456727857247</v>
      </c>
      <c r="I26" s="5">
        <f t="shared" si="9"/>
        <v>43813.507324816514</v>
      </c>
      <c r="J26" s="26">
        <f t="shared" si="2"/>
        <v>0.15957214745066897</v>
      </c>
      <c r="L26" s="22">
        <f t="shared" si="3"/>
        <v>69063.78681159424</v>
      </c>
      <c r="M26" s="5">
        <f>scrimecost*Meta!O23</f>
        <v>3044.73</v>
      </c>
      <c r="N26" s="22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39162.778422077652</v>
      </c>
      <c r="D27" s="5">
        <f t="shared" si="5"/>
        <v>37772.574495175075</v>
      </c>
      <c r="E27" s="5">
        <f t="shared" si="6"/>
        <v>28272.574495175075</v>
      </c>
      <c r="F27" s="5">
        <f t="shared" si="7"/>
        <v>9532.745572674663</v>
      </c>
      <c r="G27" s="5">
        <f t="shared" si="8"/>
        <v>28239.828922500412</v>
      </c>
      <c r="H27" s="22">
        <f t="shared" si="1"/>
        <v>17623.293146053678</v>
      </c>
      <c r="I27" s="5">
        <f t="shared" si="9"/>
        <v>44823.347772936926</v>
      </c>
      <c r="J27" s="26">
        <f t="shared" si="2"/>
        <v>0.16117214980203776</v>
      </c>
      <c r="L27" s="22">
        <f t="shared" si="3"/>
        <v>70790.381481884106</v>
      </c>
      <c r="M27" s="5">
        <f>scrimecost*Meta!O24</f>
        <v>3044.73</v>
      </c>
      <c r="N27" s="22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40141.847882629598</v>
      </c>
      <c r="D28" s="5">
        <f t="shared" si="5"/>
        <v>38693.878857554453</v>
      </c>
      <c r="E28" s="5">
        <f t="shared" si="6"/>
        <v>29193.878857554453</v>
      </c>
      <c r="F28" s="5">
        <f t="shared" si="7"/>
        <v>9833.5514469915288</v>
      </c>
      <c r="G28" s="5">
        <f t="shared" si="8"/>
        <v>28860.327410562924</v>
      </c>
      <c r="H28" s="22">
        <f t="shared" si="1"/>
        <v>18063.875474705019</v>
      </c>
      <c r="I28" s="5">
        <f t="shared" si="9"/>
        <v>45858.434232260348</v>
      </c>
      <c r="J28" s="26">
        <f t="shared" si="2"/>
        <v>0.16273312770581219</v>
      </c>
      <c r="L28" s="22">
        <f t="shared" si="3"/>
        <v>72560.141018931201</v>
      </c>
      <c r="M28" s="5">
        <f>scrimecost*Meta!O25</f>
        <v>3044.73</v>
      </c>
      <c r="N28" s="22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41145.394079695325</v>
      </c>
      <c r="D29" s="5">
        <f t="shared" si="5"/>
        <v>39638.215828993307</v>
      </c>
      <c r="E29" s="5">
        <f t="shared" si="6"/>
        <v>30138.215828993307</v>
      </c>
      <c r="F29" s="5">
        <f t="shared" si="7"/>
        <v>10141.877468166314</v>
      </c>
      <c r="G29" s="5">
        <f t="shared" si="8"/>
        <v>29496.338360826994</v>
      </c>
      <c r="H29" s="22">
        <f t="shared" si="1"/>
        <v>18515.472361572643</v>
      </c>
      <c r="I29" s="5">
        <f t="shared" si="9"/>
        <v>46919.397853066854</v>
      </c>
      <c r="J29" s="26">
        <f t="shared" si="2"/>
        <v>0.16425603297778724</v>
      </c>
      <c r="L29" s="22">
        <f t="shared" si="3"/>
        <v>74374.144544404466</v>
      </c>
      <c r="M29" s="5">
        <f>scrimecost*Meta!O26</f>
        <v>3044.73</v>
      </c>
      <c r="N29" s="22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42174.028931687702</v>
      </c>
      <c r="D30" s="5">
        <f t="shared" si="5"/>
        <v>40606.161224718133</v>
      </c>
      <c r="E30" s="5">
        <f t="shared" si="6"/>
        <v>31106.161224718133</v>
      </c>
      <c r="F30" s="5">
        <f t="shared" si="7"/>
        <v>10457.91163987047</v>
      </c>
      <c r="G30" s="5">
        <f t="shared" si="8"/>
        <v>30148.249584847661</v>
      </c>
      <c r="H30" s="22">
        <f t="shared" si="1"/>
        <v>18978.359170611955</v>
      </c>
      <c r="I30" s="5">
        <f t="shared" si="9"/>
        <v>48006.885564393509</v>
      </c>
      <c r="J30" s="26">
        <f t="shared" si="2"/>
        <v>0.16574179421873847</v>
      </c>
      <c r="L30" s="22">
        <f t="shared" si="3"/>
        <v>76233.498158014569</v>
      </c>
      <c r="M30" s="5">
        <f>scrimecost*Meta!O27</f>
        <v>3044.73</v>
      </c>
      <c r="N30" s="22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43228.379654979894</v>
      </c>
      <c r="D31" s="5">
        <f t="shared" si="5"/>
        <v>41598.305255336083</v>
      </c>
      <c r="E31" s="5">
        <f t="shared" si="6"/>
        <v>32098.305255336083</v>
      </c>
      <c r="F31" s="5">
        <f t="shared" si="7"/>
        <v>10781.846665867231</v>
      </c>
      <c r="G31" s="5">
        <f t="shared" si="8"/>
        <v>30816.45858946885</v>
      </c>
      <c r="H31" s="22">
        <f t="shared" si="1"/>
        <v>19452.818149877254</v>
      </c>
      <c r="I31" s="5">
        <f t="shared" si="9"/>
        <v>49121.560468503347</v>
      </c>
      <c r="J31" s="26">
        <f t="shared" si="2"/>
        <v>0.16719131738064216</v>
      </c>
      <c r="L31" s="22">
        <f t="shared" si="3"/>
        <v>78139.335611964925</v>
      </c>
      <c r="M31" s="5">
        <f>scrimecost*Meta!O28</f>
        <v>2720.0549999999998</v>
      </c>
      <c r="N31" s="22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44309.089146354389</v>
      </c>
      <c r="D32" s="5">
        <f t="shared" si="5"/>
        <v>42615.252886719485</v>
      </c>
      <c r="E32" s="5">
        <f t="shared" si="6"/>
        <v>33115.252886719485</v>
      </c>
      <c r="F32" s="5">
        <f t="shared" si="7"/>
        <v>11113.880067513912</v>
      </c>
      <c r="G32" s="5">
        <f t="shared" si="8"/>
        <v>31501.372819205571</v>
      </c>
      <c r="H32" s="22">
        <f t="shared" si="1"/>
        <v>19939.138603624182</v>
      </c>
      <c r="I32" s="5">
        <f t="shared" si="9"/>
        <v>50264.102245215923</v>
      </c>
      <c r="J32" s="26">
        <f t="shared" si="2"/>
        <v>0.16860548631908479</v>
      </c>
      <c r="L32" s="22">
        <f t="shared" si="3"/>
        <v>80092.819002264048</v>
      </c>
      <c r="M32" s="5">
        <f>scrimecost*Meta!O29</f>
        <v>2720.0549999999998</v>
      </c>
      <c r="N32" s="22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45416.816375013252</v>
      </c>
      <c r="D33" s="5">
        <f t="shared" si="5"/>
        <v>43657.624208887471</v>
      </c>
      <c r="E33" s="5">
        <f t="shared" si="6"/>
        <v>34157.624208887471</v>
      </c>
      <c r="F33" s="5">
        <f t="shared" si="7"/>
        <v>11454.21430420176</v>
      </c>
      <c r="G33" s="5">
        <f t="shared" si="8"/>
        <v>32203.409904685712</v>
      </c>
      <c r="H33" s="22">
        <f t="shared" si="1"/>
        <v>20437.61706871479</v>
      </c>
      <c r="I33" s="5">
        <f t="shared" si="9"/>
        <v>51435.207566346333</v>
      </c>
      <c r="J33" s="26">
        <f t="shared" si="2"/>
        <v>0.16998516333219948</v>
      </c>
      <c r="L33" s="22">
        <f t="shared" si="3"/>
        <v>82095.139477320656</v>
      </c>
      <c r="M33" s="5">
        <f>scrimecost*Meta!O30</f>
        <v>2720.0549999999998</v>
      </c>
      <c r="N33" s="22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46552.23678438858</v>
      </c>
      <c r="D34" s="5">
        <f t="shared" si="5"/>
        <v>44726.054814109659</v>
      </c>
      <c r="E34" s="5">
        <f t="shared" si="6"/>
        <v>35226.054814109659</v>
      </c>
      <c r="F34" s="5">
        <f t="shared" si="7"/>
        <v>11875.66237821777</v>
      </c>
      <c r="G34" s="5">
        <f t="shared" si="8"/>
        <v>32850.392435891888</v>
      </c>
      <c r="H34" s="22">
        <f t="shared" si="1"/>
        <v>20948.557495432658</v>
      </c>
      <c r="I34" s="5">
        <f t="shared" si="9"/>
        <v>52562.985039094026</v>
      </c>
      <c r="J34" s="26">
        <f t="shared" si="2"/>
        <v>0.17247425462233285</v>
      </c>
      <c r="L34" s="22">
        <f t="shared" si="3"/>
        <v>84147.517964253668</v>
      </c>
      <c r="M34" s="5">
        <f>scrimecost*Meta!O31</f>
        <v>2720.0549999999998</v>
      </c>
      <c r="N34" s="22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47716.04270399829</v>
      </c>
      <c r="D35" s="5">
        <f t="shared" si="5"/>
        <v>45821.196184462395</v>
      </c>
      <c r="E35" s="5">
        <f t="shared" si="6"/>
        <v>36321.196184462395</v>
      </c>
      <c r="F35" s="5">
        <f t="shared" si="7"/>
        <v>12342.740172673213</v>
      </c>
      <c r="G35" s="5">
        <f t="shared" si="8"/>
        <v>33478.456011789182</v>
      </c>
      <c r="H35" s="22">
        <f t="shared" si="1"/>
        <v>21472.27143281847</v>
      </c>
      <c r="I35" s="5">
        <f t="shared" si="9"/>
        <v>53683.86343007136</v>
      </c>
      <c r="J35" s="26">
        <f t="shared" si="2"/>
        <v>0.17544165594984409</v>
      </c>
      <c r="L35" s="22">
        <f t="shared" si="3"/>
        <v>86251.205913359998</v>
      </c>
      <c r="M35" s="5">
        <f>scrimecost*Meta!O32</f>
        <v>2720.0549999999998</v>
      </c>
      <c r="N35" s="22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48908.943771598257</v>
      </c>
      <c r="D36" s="5">
        <f t="shared" si="5"/>
        <v>46943.716089073961</v>
      </c>
      <c r="E36" s="5">
        <f t="shared" si="6"/>
        <v>37443.716089073961</v>
      </c>
      <c r="F36" s="5">
        <f t="shared" si="7"/>
        <v>12821.494911990045</v>
      </c>
      <c r="G36" s="5">
        <f t="shared" si="8"/>
        <v>34122.22117708392</v>
      </c>
      <c r="H36" s="22">
        <f t="shared" si="1"/>
        <v>22009.078218638941</v>
      </c>
      <c r="I36" s="5">
        <f t="shared" si="9"/>
        <v>54832.763780823167</v>
      </c>
      <c r="J36" s="26">
        <f t="shared" si="2"/>
        <v>0.17833668163522085</v>
      </c>
      <c r="L36" s="22">
        <f t="shared" si="3"/>
        <v>88407.486061194009</v>
      </c>
      <c r="M36" s="5">
        <f>scrimecost*Meta!O33</f>
        <v>2306.395</v>
      </c>
      <c r="N36" s="22"/>
    </row>
    <row r="37" spans="1:14" x14ac:dyDescent="0.2">
      <c r="A37" s="5">
        <v>46</v>
      </c>
      <c r="B37" s="1">
        <f t="shared" ref="B37:B56" si="10">(1+experiencepremium)^(A37-startage)</f>
        <v>2.2037569377728037</v>
      </c>
      <c r="C37" s="5">
        <f t="shared" ref="C37:C56" si="11">pretaxincome*B37/expnorm</f>
        <v>50131.667365888199</v>
      </c>
      <c r="D37" s="5">
        <f t="shared" ref="D37:D56" si="12">IF(A37&lt;startage,1,0)*(C37*(1-initialunempprob))+IF(A37=startage,1,0)*(C37*(1-unempprob))+IF(A37&gt;startage,1,0)*(C37*(1-unempprob)+unempprob*300*52)</f>
        <v>48094.298991300799</v>
      </c>
      <c r="E37" s="5">
        <f t="shared" si="6"/>
        <v>38594.298991300799</v>
      </c>
      <c r="F37" s="5">
        <f t="shared" si="7"/>
        <v>13312.218519789791</v>
      </c>
      <c r="G37" s="5">
        <f t="shared" si="8"/>
        <v>34782.080471511006</v>
      </c>
      <c r="H37" s="22">
        <f t="shared" ref="H37:H56" si="13">benefits*B37/expnorm</f>
        <v>22559.305174104906</v>
      </c>
      <c r="I37" s="5">
        <f t="shared" ref="I37:I56" si="14">G37+IF(A37&lt;startage,1,0)*(H37*(1-initialunempprob))+IF(A37&gt;=startage,1,0)*(H37*(1-unempprob))</f>
        <v>56010.386640343728</v>
      </c>
      <c r="J37" s="26">
        <f t="shared" ref="J37:J56" si="15">(F37-(IF(A37&gt;startage,1,0)*(unempprob*300*52)))/(IF(A37&lt;startage,1,0)*((C37+H37)*(1-initialunempprob))+IF(A37&gt;=startage,1,0)*((C37+H37)*(1-unempprob)))</f>
        <v>0.18116109693802748</v>
      </c>
      <c r="L37" s="22">
        <f t="shared" ref="L37:L56" si="16">(sincome+sbenefits)*(1-sunemp)*B37/expnorm</f>
        <v>90617.67321272385</v>
      </c>
      <c r="M37" s="5">
        <f>scrimecost*Meta!O34</f>
        <v>2306.395</v>
      </c>
      <c r="N37" s="22"/>
    </row>
    <row r="38" spans="1:14" x14ac:dyDescent="0.2">
      <c r="A38" s="5">
        <v>47</v>
      </c>
      <c r="B38" s="1">
        <f t="shared" si="10"/>
        <v>2.2588508612171236</v>
      </c>
      <c r="C38" s="5">
        <f t="shared" si="11"/>
        <v>51384.959050035402</v>
      </c>
      <c r="D38" s="5">
        <f t="shared" si="12"/>
        <v>49273.646466083315</v>
      </c>
      <c r="E38" s="5">
        <f t="shared" si="6"/>
        <v>39773.646466083315</v>
      </c>
      <c r="F38" s="5">
        <f t="shared" si="7"/>
        <v>13815.210217784534</v>
      </c>
      <c r="G38" s="5">
        <f t="shared" si="8"/>
        <v>35458.436248298778</v>
      </c>
      <c r="H38" s="22">
        <f t="shared" si="13"/>
        <v>23123.28780345753</v>
      </c>
      <c r="I38" s="5">
        <f t="shared" si="14"/>
        <v>57217.450071352316</v>
      </c>
      <c r="J38" s="26">
        <f t="shared" si="15"/>
        <v>0.18391662406271683</v>
      </c>
      <c r="L38" s="22">
        <f t="shared" si="16"/>
        <v>92883.115043041937</v>
      </c>
      <c r="M38" s="5">
        <f>scrimecost*Meta!O35</f>
        <v>2306.395</v>
      </c>
      <c r="N38" s="22"/>
    </row>
    <row r="39" spans="1:14" x14ac:dyDescent="0.2">
      <c r="A39" s="5">
        <v>48</v>
      </c>
      <c r="B39" s="1">
        <f t="shared" si="10"/>
        <v>2.3153221327475517</v>
      </c>
      <c r="C39" s="5">
        <f t="shared" si="11"/>
        <v>52669.583026286287</v>
      </c>
      <c r="D39" s="5">
        <f t="shared" si="12"/>
        <v>50482.477627735403</v>
      </c>
      <c r="E39" s="5">
        <f t="shared" si="6"/>
        <v>40982.477627735403</v>
      </c>
      <c r="F39" s="5">
        <f t="shared" si="7"/>
        <v>14330.77670822915</v>
      </c>
      <c r="G39" s="5">
        <f t="shared" si="8"/>
        <v>36151.700919506256</v>
      </c>
      <c r="H39" s="22">
        <f t="shared" si="13"/>
        <v>23701.369998543967</v>
      </c>
      <c r="I39" s="5">
        <f t="shared" si="14"/>
        <v>58454.690088136136</v>
      </c>
      <c r="J39" s="26">
        <f t="shared" si="15"/>
        <v>0.18660494320875531</v>
      </c>
      <c r="L39" s="22">
        <f t="shared" si="16"/>
        <v>95205.192919117995</v>
      </c>
      <c r="M39" s="5">
        <f>scrimecost*Meta!O36</f>
        <v>2306.395</v>
      </c>
      <c r="N39" s="22"/>
    </row>
    <row r="40" spans="1:14" x14ac:dyDescent="0.2">
      <c r="A40" s="5">
        <v>49</v>
      </c>
      <c r="B40" s="1">
        <f t="shared" si="10"/>
        <v>2.3732051860662402</v>
      </c>
      <c r="C40" s="5">
        <f t="shared" si="11"/>
        <v>53986.322601943437</v>
      </c>
      <c r="D40" s="5">
        <f t="shared" si="12"/>
        <v>51721.529568428778</v>
      </c>
      <c r="E40" s="5">
        <f t="shared" si="6"/>
        <v>42221.529568428778</v>
      </c>
      <c r="F40" s="5">
        <f t="shared" si="7"/>
        <v>14859.232360934873</v>
      </c>
      <c r="G40" s="5">
        <f t="shared" si="8"/>
        <v>36862.297207493903</v>
      </c>
      <c r="H40" s="22">
        <f t="shared" si="13"/>
        <v>24293.904248507562</v>
      </c>
      <c r="I40" s="5">
        <f t="shared" si="14"/>
        <v>59722.861105339522</v>
      </c>
      <c r="J40" s="26">
        <f t="shared" si="15"/>
        <v>0.18922769359513428</v>
      </c>
      <c r="L40" s="22">
        <f t="shared" si="16"/>
        <v>97585.322742095916</v>
      </c>
      <c r="M40" s="5">
        <f>scrimecost*Meta!O37</f>
        <v>2306.395</v>
      </c>
      <c r="N40" s="22"/>
    </row>
    <row r="41" spans="1:14" x14ac:dyDescent="0.2">
      <c r="A41" s="5">
        <v>50</v>
      </c>
      <c r="B41" s="1">
        <f t="shared" si="10"/>
        <v>2.4325353157178964</v>
      </c>
      <c r="C41" s="5">
        <f t="shared" si="11"/>
        <v>55335.980666992029</v>
      </c>
      <c r="D41" s="5">
        <f t="shared" si="12"/>
        <v>52991.557807639503</v>
      </c>
      <c r="E41" s="5">
        <f t="shared" si="6"/>
        <v>43491.557807639503</v>
      </c>
      <c r="F41" s="5">
        <f t="shared" si="7"/>
        <v>15400.899404958249</v>
      </c>
      <c r="G41" s="5">
        <f t="shared" si="8"/>
        <v>37590.658402681256</v>
      </c>
      <c r="H41" s="22">
        <f t="shared" si="13"/>
        <v>24901.251854720253</v>
      </c>
      <c r="I41" s="5">
        <f t="shared" si="14"/>
        <v>61022.736397973014</v>
      </c>
      <c r="J41" s="26">
        <f t="shared" si="15"/>
        <v>0.19178647445989425</v>
      </c>
      <c r="L41" s="22">
        <f t="shared" si="16"/>
        <v>100024.95581064833</v>
      </c>
      <c r="M41" s="5">
        <f>scrimecost*Meta!O38</f>
        <v>1669.07</v>
      </c>
      <c r="N41" s="22"/>
    </row>
    <row r="42" spans="1:14" x14ac:dyDescent="0.2">
      <c r="A42" s="5">
        <v>51</v>
      </c>
      <c r="B42" s="1">
        <f t="shared" si="10"/>
        <v>2.4933486986108435</v>
      </c>
      <c r="C42" s="5">
        <f t="shared" si="11"/>
        <v>56719.380183666821</v>
      </c>
      <c r="D42" s="5">
        <f t="shared" si="12"/>
        <v>54293.336752830481</v>
      </c>
      <c r="E42" s="5">
        <f t="shared" si="6"/>
        <v>44793.336752830481</v>
      </c>
      <c r="F42" s="5">
        <f t="shared" si="7"/>
        <v>15956.108125082199</v>
      </c>
      <c r="G42" s="5">
        <f t="shared" si="8"/>
        <v>38337.228627748278</v>
      </c>
      <c r="H42" s="22">
        <f t="shared" si="13"/>
        <v>25523.783151088257</v>
      </c>
      <c r="I42" s="5">
        <f t="shared" si="14"/>
        <v>62355.108572922327</v>
      </c>
      <c r="J42" s="26">
        <f t="shared" si="15"/>
        <v>0.19428284603526977</v>
      </c>
      <c r="L42" s="22">
        <f t="shared" si="16"/>
        <v>102525.57970591453</v>
      </c>
      <c r="M42" s="5">
        <f>scrimecost*Meta!O39</f>
        <v>1669.07</v>
      </c>
      <c r="N42" s="22"/>
    </row>
    <row r="43" spans="1:14" x14ac:dyDescent="0.2">
      <c r="A43" s="5">
        <v>52</v>
      </c>
      <c r="B43" s="1">
        <f t="shared" si="10"/>
        <v>2.555682416076114</v>
      </c>
      <c r="C43" s="5">
        <f t="shared" si="11"/>
        <v>58137.36468825848</v>
      </c>
      <c r="D43" s="5">
        <f t="shared" si="12"/>
        <v>55627.660171651238</v>
      </c>
      <c r="E43" s="5">
        <f t="shared" si="6"/>
        <v>46127.660171651238</v>
      </c>
      <c r="F43" s="5">
        <f t="shared" si="7"/>
        <v>16525.197063209253</v>
      </c>
      <c r="G43" s="5">
        <f t="shared" si="8"/>
        <v>39102.463108441982</v>
      </c>
      <c r="H43" s="22">
        <f t="shared" si="13"/>
        <v>26161.877729865457</v>
      </c>
      <c r="I43" s="5">
        <f t="shared" si="14"/>
        <v>63720.790052245378</v>
      </c>
      <c r="J43" s="26">
        <f t="shared" si="15"/>
        <v>0.19671833049905083</v>
      </c>
      <c r="L43" s="22">
        <f t="shared" si="16"/>
        <v>105088.71919856236</v>
      </c>
      <c r="M43" s="5">
        <f>scrimecost*Meta!O40</f>
        <v>1669.07</v>
      </c>
      <c r="N43" s="22"/>
    </row>
    <row r="44" spans="1:14" x14ac:dyDescent="0.2">
      <c r="A44" s="5">
        <v>53</v>
      </c>
      <c r="B44" s="1">
        <f t="shared" si="10"/>
        <v>2.6195744764780171</v>
      </c>
      <c r="C44" s="5">
        <f t="shared" si="11"/>
        <v>59590.798805464947</v>
      </c>
      <c r="D44" s="5">
        <f t="shared" si="12"/>
        <v>56995.341675942516</v>
      </c>
      <c r="E44" s="5">
        <f t="shared" si="6"/>
        <v>47495.341675942516</v>
      </c>
      <c r="F44" s="5">
        <f t="shared" si="7"/>
        <v>17108.513224789484</v>
      </c>
      <c r="G44" s="5">
        <f t="shared" si="8"/>
        <v>39886.828451153036</v>
      </c>
      <c r="H44" s="22">
        <f t="shared" si="13"/>
        <v>26815.924673112098</v>
      </c>
      <c r="I44" s="5">
        <f t="shared" si="14"/>
        <v>65120.613568551518</v>
      </c>
      <c r="J44" s="26">
        <f t="shared" si="15"/>
        <v>0.19909441290273963</v>
      </c>
      <c r="L44" s="22">
        <f t="shared" si="16"/>
        <v>107715.93717852644</v>
      </c>
      <c r="M44" s="5">
        <f>scrimecost*Meta!O41</f>
        <v>1669.07</v>
      </c>
      <c r="N44" s="22"/>
    </row>
    <row r="45" spans="1:14" x14ac:dyDescent="0.2">
      <c r="A45" s="5">
        <v>54</v>
      </c>
      <c r="B45" s="1">
        <f t="shared" si="10"/>
        <v>2.6850638383899672</v>
      </c>
      <c r="C45" s="5">
        <f t="shared" si="11"/>
        <v>61080.568775601561</v>
      </c>
      <c r="D45" s="5">
        <f t="shared" si="12"/>
        <v>58397.215217841076</v>
      </c>
      <c r="E45" s="5">
        <f t="shared" si="6"/>
        <v>48897.215217841076</v>
      </c>
      <c r="F45" s="5">
        <f t="shared" si="7"/>
        <v>17706.412290409218</v>
      </c>
      <c r="G45" s="5">
        <f t="shared" si="8"/>
        <v>40690.802927431854</v>
      </c>
      <c r="H45" s="22">
        <f t="shared" si="13"/>
        <v>27486.322789939895</v>
      </c>
      <c r="I45" s="5">
        <f t="shared" si="14"/>
        <v>66555.432672765295</v>
      </c>
      <c r="J45" s="26">
        <f t="shared" si="15"/>
        <v>0.20141254207707018</v>
      </c>
      <c r="L45" s="22">
        <f t="shared" si="16"/>
        <v>110408.83560798957</v>
      </c>
      <c r="M45" s="5">
        <f>scrimecost*Meta!O42</f>
        <v>1669.07</v>
      </c>
      <c r="N45" s="22"/>
    </row>
    <row r="46" spans="1:14" x14ac:dyDescent="0.2">
      <c r="A46" s="5">
        <v>55</v>
      </c>
      <c r="B46" s="1">
        <f t="shared" si="10"/>
        <v>2.7521904343497163</v>
      </c>
      <c r="C46" s="5">
        <f t="shared" si="11"/>
        <v>62607.582994991601</v>
      </c>
      <c r="D46" s="5">
        <f t="shared" si="12"/>
        <v>59834.135598287103</v>
      </c>
      <c r="E46" s="5">
        <f t="shared" si="6"/>
        <v>50334.135598287103</v>
      </c>
      <c r="F46" s="5">
        <f t="shared" si="7"/>
        <v>18319.258832669449</v>
      </c>
      <c r="G46" s="5">
        <f t="shared" si="8"/>
        <v>41514.87676561765</v>
      </c>
      <c r="H46" s="22">
        <f t="shared" si="13"/>
        <v>28173.480859688392</v>
      </c>
      <c r="I46" s="5">
        <f t="shared" si="14"/>
        <v>68026.122254584421</v>
      </c>
      <c r="J46" s="26">
        <f t="shared" si="15"/>
        <v>0.20367413151544148</v>
      </c>
      <c r="L46" s="22">
        <f t="shared" si="16"/>
        <v>113169.05649818931</v>
      </c>
      <c r="M46" s="5">
        <f>scrimecost*Meta!O43</f>
        <v>998.07499999999993</v>
      </c>
      <c r="N46" s="22"/>
    </row>
    <row r="47" spans="1:14" x14ac:dyDescent="0.2">
      <c r="A47" s="5">
        <v>56</v>
      </c>
      <c r="B47" s="1">
        <f t="shared" si="10"/>
        <v>2.8209951952084591</v>
      </c>
      <c r="C47" s="5">
        <f t="shared" si="11"/>
        <v>64172.772569866385</v>
      </c>
      <c r="D47" s="5">
        <f t="shared" si="12"/>
        <v>61306.978988244271</v>
      </c>
      <c r="E47" s="5">
        <f t="shared" si="6"/>
        <v>51806.978988244271</v>
      </c>
      <c r="F47" s="5">
        <f t="shared" si="7"/>
        <v>18947.426538486179</v>
      </c>
      <c r="G47" s="5">
        <f t="shared" si="8"/>
        <v>42359.552449758092</v>
      </c>
      <c r="H47" s="22">
        <f t="shared" si="13"/>
        <v>28877.817881180599</v>
      </c>
      <c r="I47" s="5">
        <f t="shared" si="14"/>
        <v>69533.579075949034</v>
      </c>
      <c r="J47" s="26">
        <f t="shared" si="15"/>
        <v>0.20588056023580364</v>
      </c>
      <c r="L47" s="22">
        <f t="shared" si="16"/>
        <v>115998.28291064405</v>
      </c>
      <c r="M47" s="5">
        <f>scrimecost*Meta!O44</f>
        <v>998.07499999999993</v>
      </c>
      <c r="N47" s="22"/>
    </row>
    <row r="48" spans="1:14" x14ac:dyDescent="0.2">
      <c r="A48" s="5">
        <v>57</v>
      </c>
      <c r="B48" s="1">
        <f t="shared" si="10"/>
        <v>2.8915200750886707</v>
      </c>
      <c r="C48" s="5">
        <f t="shared" si="11"/>
        <v>65777.091884113062</v>
      </c>
      <c r="D48" s="5">
        <f t="shared" si="12"/>
        <v>62816.6434629504</v>
      </c>
      <c r="E48" s="5">
        <f t="shared" si="6"/>
        <v>53316.6434629504</v>
      </c>
      <c r="F48" s="5">
        <f t="shared" si="7"/>
        <v>19591.298436948346</v>
      </c>
      <c r="G48" s="5">
        <f t="shared" si="8"/>
        <v>43225.345026002055</v>
      </c>
      <c r="H48" s="22">
        <f t="shared" si="13"/>
        <v>29599.763328210116</v>
      </c>
      <c r="I48" s="5">
        <f t="shared" si="14"/>
        <v>71078.722317847773</v>
      </c>
      <c r="J48" s="26">
        <f t="shared" si="15"/>
        <v>0.20803317362152302</v>
      </c>
      <c r="L48" s="22">
        <f t="shared" si="16"/>
        <v>118898.23998341017</v>
      </c>
      <c r="M48" s="5">
        <f>scrimecost*Meta!O45</f>
        <v>998.07499999999993</v>
      </c>
      <c r="N48" s="22"/>
    </row>
    <row r="49" spans="1:14" x14ac:dyDescent="0.2">
      <c r="A49" s="5">
        <v>58</v>
      </c>
      <c r="B49" s="1">
        <f t="shared" si="10"/>
        <v>2.9638080769658868</v>
      </c>
      <c r="C49" s="5">
        <f t="shared" si="11"/>
        <v>67421.519181215859</v>
      </c>
      <c r="D49" s="5">
        <f t="shared" si="12"/>
        <v>64364.049549524127</v>
      </c>
      <c r="E49" s="5">
        <f t="shared" si="6"/>
        <v>54864.049549524127</v>
      </c>
      <c r="F49" s="5">
        <f t="shared" si="7"/>
        <v>20251.267132872039</v>
      </c>
      <c r="G49" s="5">
        <f t="shared" si="8"/>
        <v>44112.782416652088</v>
      </c>
      <c r="H49" s="22">
        <f t="shared" si="13"/>
        <v>30339.757411415361</v>
      </c>
      <c r="I49" s="5">
        <f t="shared" si="14"/>
        <v>72662.494140793948</v>
      </c>
      <c r="J49" s="26">
        <f t="shared" si="15"/>
        <v>0.21013328424173683</v>
      </c>
      <c r="L49" s="22">
        <f t="shared" si="16"/>
        <v>121870.69598299538</v>
      </c>
      <c r="M49" s="5">
        <f>scrimecost*Meta!O46</f>
        <v>998.07499999999993</v>
      </c>
      <c r="N49" s="22"/>
    </row>
    <row r="50" spans="1:14" x14ac:dyDescent="0.2">
      <c r="A50" s="5">
        <v>59</v>
      </c>
      <c r="B50" s="1">
        <f t="shared" si="10"/>
        <v>3.0379032788900342</v>
      </c>
      <c r="C50" s="5">
        <f t="shared" si="11"/>
        <v>69107.057160746263</v>
      </c>
      <c r="D50" s="5">
        <f t="shared" si="12"/>
        <v>65950.14078826223</v>
      </c>
      <c r="E50" s="5">
        <f t="shared" si="6"/>
        <v>56450.14078826223</v>
      </c>
      <c r="F50" s="5">
        <f t="shared" si="7"/>
        <v>20927.73504619384</v>
      </c>
      <c r="G50" s="5">
        <f t="shared" si="8"/>
        <v>45022.405742068389</v>
      </c>
      <c r="H50" s="22">
        <f t="shared" si="13"/>
        <v>31098.251346700748</v>
      </c>
      <c r="I50" s="5">
        <f t="shared" si="14"/>
        <v>74285.860259313791</v>
      </c>
      <c r="J50" s="26">
        <f t="shared" si="15"/>
        <v>0.21218217265170156</v>
      </c>
      <c r="L50" s="22">
        <f t="shared" si="16"/>
        <v>124917.46338257028</v>
      </c>
      <c r="M50" s="5">
        <f>scrimecost*Meta!O47</f>
        <v>998.07499999999993</v>
      </c>
      <c r="N50" s="22"/>
    </row>
    <row r="51" spans="1:14" x14ac:dyDescent="0.2">
      <c r="A51" s="5">
        <v>60</v>
      </c>
      <c r="B51" s="1">
        <f t="shared" si="10"/>
        <v>3.1138508608622844</v>
      </c>
      <c r="C51" s="5">
        <f t="shared" si="11"/>
        <v>70834.733589764903</v>
      </c>
      <c r="D51" s="5">
        <f t="shared" si="12"/>
        <v>67575.884307968765</v>
      </c>
      <c r="E51" s="5">
        <f t="shared" si="6"/>
        <v>58075.884307968765</v>
      </c>
      <c r="F51" s="5">
        <f t="shared" si="7"/>
        <v>21621.114657348677</v>
      </c>
      <c r="G51" s="5">
        <f t="shared" si="8"/>
        <v>45954.769650620088</v>
      </c>
      <c r="H51" s="22">
        <f t="shared" si="13"/>
        <v>31875.707630368262</v>
      </c>
      <c r="I51" s="5">
        <f t="shared" si="14"/>
        <v>75949.810530796618</v>
      </c>
      <c r="J51" s="26">
        <f t="shared" si="15"/>
        <v>0.21418108817361842</v>
      </c>
      <c r="L51" s="22">
        <f t="shared" si="16"/>
        <v>128040.39996713449</v>
      </c>
      <c r="M51" s="5">
        <f>scrimecost*Meta!O48</f>
        <v>548.34</v>
      </c>
      <c r="N51" s="22"/>
    </row>
    <row r="52" spans="1:14" x14ac:dyDescent="0.2">
      <c r="A52" s="5">
        <v>61</v>
      </c>
      <c r="B52" s="1">
        <f t="shared" si="10"/>
        <v>3.1916971323838421</v>
      </c>
      <c r="C52" s="5">
        <f t="shared" si="11"/>
        <v>72605.601929509037</v>
      </c>
      <c r="D52" s="5">
        <f t="shared" si="12"/>
        <v>69242.271415668001</v>
      </c>
      <c r="E52" s="5">
        <f t="shared" si="6"/>
        <v>59742.271415668001</v>
      </c>
      <c r="F52" s="5">
        <f t="shared" si="7"/>
        <v>22331.828758782402</v>
      </c>
      <c r="G52" s="5">
        <f t="shared" si="8"/>
        <v>46910.4426568856</v>
      </c>
      <c r="H52" s="22">
        <f t="shared" si="13"/>
        <v>32672.600321127473</v>
      </c>
      <c r="I52" s="5">
        <f t="shared" si="14"/>
        <v>77655.35955906655</v>
      </c>
      <c r="J52" s="26">
        <f t="shared" si="15"/>
        <v>0.21613124965841538</v>
      </c>
      <c r="L52" s="22">
        <f t="shared" si="16"/>
        <v>131241.4099663129</v>
      </c>
      <c r="M52" s="5">
        <f>scrimecost*Meta!O49</f>
        <v>548.34</v>
      </c>
      <c r="N52" s="22"/>
    </row>
    <row r="53" spans="1:14" x14ac:dyDescent="0.2">
      <c r="A53" s="5">
        <v>62</v>
      </c>
      <c r="B53" s="1">
        <f t="shared" si="10"/>
        <v>3.2714895606934378</v>
      </c>
      <c r="C53" s="5">
        <f t="shared" si="11"/>
        <v>74420.741977746758</v>
      </c>
      <c r="D53" s="5">
        <f t="shared" si="12"/>
        <v>70950.318201059694</v>
      </c>
      <c r="E53" s="5">
        <f t="shared" si="6"/>
        <v>61450.318201059694</v>
      </c>
      <c r="F53" s="5">
        <f t="shared" si="7"/>
        <v>23060.310712751962</v>
      </c>
      <c r="G53" s="5">
        <f t="shared" si="8"/>
        <v>47890.007488307732</v>
      </c>
      <c r="H53" s="22">
        <f t="shared" si="13"/>
        <v>33489.415329155658</v>
      </c>
      <c r="I53" s="5">
        <f t="shared" si="14"/>
        <v>79403.547313043207</v>
      </c>
      <c r="J53" s="26">
        <f t="shared" si="15"/>
        <v>0.21803384622894897</v>
      </c>
      <c r="L53" s="22">
        <f t="shared" si="16"/>
        <v>134522.44521547071</v>
      </c>
      <c r="M53" s="5">
        <f>scrimecost*Meta!O50</f>
        <v>548.34</v>
      </c>
      <c r="N53" s="22"/>
    </row>
    <row r="54" spans="1:14" x14ac:dyDescent="0.2">
      <c r="A54" s="5">
        <v>63</v>
      </c>
      <c r="B54" s="1">
        <f t="shared" si="10"/>
        <v>3.3532767997107733</v>
      </c>
      <c r="C54" s="5">
        <f t="shared" si="11"/>
        <v>76281.260527190432</v>
      </c>
      <c r="D54" s="5">
        <f t="shared" si="12"/>
        <v>72701.066156086192</v>
      </c>
      <c r="E54" s="5">
        <f t="shared" si="6"/>
        <v>63201.066156086192</v>
      </c>
      <c r="F54" s="5">
        <f t="shared" si="7"/>
        <v>23807.004715570762</v>
      </c>
      <c r="G54" s="5">
        <f t="shared" si="8"/>
        <v>48894.061440515434</v>
      </c>
      <c r="H54" s="22">
        <f t="shared" si="13"/>
        <v>34326.650712384551</v>
      </c>
      <c r="I54" s="5">
        <f t="shared" si="14"/>
        <v>81195.439760869296</v>
      </c>
      <c r="J54" s="26">
        <f t="shared" si="15"/>
        <v>0.21989003800507931</v>
      </c>
      <c r="L54" s="22">
        <f t="shared" si="16"/>
        <v>137885.50634585746</v>
      </c>
      <c r="M54" s="5">
        <f>scrimecost*Meta!O51</f>
        <v>548.34</v>
      </c>
      <c r="N54" s="22"/>
    </row>
    <row r="55" spans="1:14" x14ac:dyDescent="0.2">
      <c r="A55" s="5">
        <v>64</v>
      </c>
      <c r="B55" s="1">
        <f t="shared" si="10"/>
        <v>3.4371087197035428</v>
      </c>
      <c r="C55" s="5">
        <f t="shared" si="11"/>
        <v>78188.292040370186</v>
      </c>
      <c r="D55" s="5">
        <f t="shared" si="12"/>
        <v>74495.582809988351</v>
      </c>
      <c r="E55" s="5">
        <f t="shared" si="6"/>
        <v>64995.582809988351</v>
      </c>
      <c r="F55" s="5">
        <f t="shared" si="7"/>
        <v>24572.366068460029</v>
      </c>
      <c r="G55" s="5">
        <f t="shared" si="8"/>
        <v>49923.216741528318</v>
      </c>
      <c r="H55" s="22">
        <f t="shared" si="13"/>
        <v>35184.816980194155</v>
      </c>
      <c r="I55" s="5">
        <f t="shared" si="14"/>
        <v>83032.129519891023</v>
      </c>
      <c r="J55" s="26">
        <f t="shared" si="15"/>
        <v>0.22170095681106014</v>
      </c>
      <c r="L55" s="22">
        <f t="shared" si="16"/>
        <v>141332.64400450391</v>
      </c>
      <c r="M55" s="5">
        <f>scrimecost*Meta!O52</f>
        <v>548.34</v>
      </c>
      <c r="N55" s="22"/>
    </row>
    <row r="56" spans="1:14" x14ac:dyDescent="0.2">
      <c r="A56" s="5">
        <v>65</v>
      </c>
      <c r="B56" s="1">
        <f t="shared" si="10"/>
        <v>3.5230364376961316</v>
      </c>
      <c r="C56" s="5">
        <f t="shared" si="11"/>
        <v>80142.999341379444</v>
      </c>
      <c r="D56" s="5">
        <f t="shared" si="12"/>
        <v>76334.962380238052</v>
      </c>
      <c r="E56" s="5">
        <f t="shared" si="6"/>
        <v>66834.962380238052</v>
      </c>
      <c r="F56" s="5">
        <f t="shared" si="7"/>
        <v>25356.861455171529</v>
      </c>
      <c r="G56" s="5">
        <f t="shared" si="8"/>
        <v>50978.100925066523</v>
      </c>
      <c r="H56" s="22">
        <f t="shared" si="13"/>
        <v>36064.437404699012</v>
      </c>
      <c r="I56" s="5">
        <f t="shared" si="14"/>
        <v>84914.736522888299</v>
      </c>
      <c r="J56" s="26">
        <f t="shared" si="15"/>
        <v>0.22346770686567555</v>
      </c>
      <c r="L56" s="22">
        <f t="shared" si="16"/>
        <v>144865.9601046165</v>
      </c>
      <c r="M56" s="5">
        <f>scrimecost*Meta!O53</f>
        <v>173.16</v>
      </c>
      <c r="N56" s="22"/>
    </row>
    <row r="57" spans="1:14" x14ac:dyDescent="0.2">
      <c r="A57" s="5">
        <v>66</v>
      </c>
      <c r="C57" s="5"/>
      <c r="H57" s="21"/>
      <c r="I57" s="5"/>
      <c r="M57" s="5">
        <f>scrimecost*Meta!O54</f>
        <v>173.16</v>
      </c>
      <c r="N57" s="5"/>
    </row>
    <row r="58" spans="1:14" x14ac:dyDescent="0.2">
      <c r="A58" s="5">
        <v>67</v>
      </c>
      <c r="C58" s="5"/>
      <c r="H58" s="21"/>
      <c r="I58" s="5"/>
      <c r="M58" s="5">
        <f>scrimecost*Meta!O55</f>
        <v>173.16</v>
      </c>
      <c r="N58" s="5"/>
    </row>
    <row r="59" spans="1:14" x14ac:dyDescent="0.2">
      <c r="A59" s="5">
        <v>68</v>
      </c>
      <c r="H59" s="21"/>
      <c r="I59" s="5"/>
      <c r="M59" s="5">
        <f>scrimecost*Meta!O56</f>
        <v>173.16</v>
      </c>
      <c r="N59" s="5"/>
    </row>
    <row r="60" spans="1:14" x14ac:dyDescent="0.2">
      <c r="A60" s="5">
        <v>69</v>
      </c>
      <c r="H60" s="21"/>
      <c r="I60" s="5"/>
      <c r="M60" s="5">
        <f>scrimecost*Meta!O57</f>
        <v>173.16</v>
      </c>
      <c r="N60" s="5"/>
    </row>
    <row r="61" spans="1:14" x14ac:dyDescent="0.2">
      <c r="A61" s="5">
        <v>70</v>
      </c>
      <c r="H61" s="21"/>
      <c r="I61" s="5"/>
      <c r="M61" s="5">
        <f>scrimecost*Meta!O58</f>
        <v>173.16</v>
      </c>
      <c r="N61" s="5"/>
    </row>
    <row r="62" spans="1:14" x14ac:dyDescent="0.2">
      <c r="A62" s="5">
        <v>71</v>
      </c>
      <c r="H62" s="21"/>
      <c r="I62" s="5"/>
      <c r="M62" s="5">
        <f>scrimecost*Meta!O59</f>
        <v>173.16</v>
      </c>
      <c r="N62" s="5"/>
    </row>
    <row r="63" spans="1:14" x14ac:dyDescent="0.2">
      <c r="A63" s="5">
        <v>72</v>
      </c>
      <c r="H63" s="21"/>
      <c r="M63" s="5">
        <f>scrimecost*Meta!O60</f>
        <v>173.16</v>
      </c>
      <c r="N63" s="5"/>
    </row>
    <row r="64" spans="1:14" x14ac:dyDescent="0.2">
      <c r="A64" s="5">
        <v>73</v>
      </c>
      <c r="H64" s="21"/>
      <c r="M64" s="5">
        <f>scrimecost*Meta!O61</f>
        <v>173.16</v>
      </c>
      <c r="N64" s="5"/>
    </row>
    <row r="65" spans="1:14" x14ac:dyDescent="0.2">
      <c r="A65" s="5">
        <v>74</v>
      </c>
      <c r="H65" s="21"/>
      <c r="M65" s="5">
        <f>scrimecost*Meta!O62</f>
        <v>173.16</v>
      </c>
      <c r="N65" s="5"/>
    </row>
    <row r="66" spans="1:14" x14ac:dyDescent="0.2">
      <c r="A66" s="5">
        <v>75</v>
      </c>
      <c r="H66" s="21"/>
      <c r="M66" s="5">
        <f>scrimecost*Meta!O63</f>
        <v>173.16</v>
      </c>
      <c r="N66" s="5"/>
    </row>
    <row r="67" spans="1:14" x14ac:dyDescent="0.2">
      <c r="A67" s="5">
        <v>76</v>
      </c>
      <c r="H67" s="21"/>
      <c r="M67" s="5">
        <f>scrimecost*Meta!O64</f>
        <v>173.16</v>
      </c>
      <c r="N67" s="5"/>
    </row>
    <row r="68" spans="1:14" x14ac:dyDescent="0.2">
      <c r="A68" s="5">
        <v>77</v>
      </c>
      <c r="H68" s="21"/>
      <c r="M68" s="5">
        <f>scrimecost*Meta!O65</f>
        <v>173.16</v>
      </c>
      <c r="N68" s="5"/>
    </row>
    <row r="69" spans="1:14" x14ac:dyDescent="0.2">
      <c r="A69" s="5">
        <v>78</v>
      </c>
      <c r="H69" s="21"/>
      <c r="M69" s="5">
        <f>scrimecost*Meta!O66</f>
        <v>173.16</v>
      </c>
      <c r="N69" s="5"/>
    </row>
    <row r="70" spans="1:14" x14ac:dyDescent="0.2">
      <c r="A70" s="5">
        <v>79</v>
      </c>
      <c r="H70" s="21"/>
      <c r="M70" s="5"/>
    </row>
    <row r="71" spans="1:14" x14ac:dyDescent="0.2">
      <c r="A71" s="5">
        <v>80</v>
      </c>
      <c r="H71" s="21"/>
      <c r="M71" s="5"/>
    </row>
    <row r="72" spans="1:14" x14ac:dyDescent="0.2">
      <c r="A72" s="5">
        <v>81</v>
      </c>
      <c r="H72" s="21"/>
      <c r="M72" s="5"/>
    </row>
    <row r="73" spans="1:14" x14ac:dyDescent="0.2">
      <c r="A73" s="5">
        <v>82</v>
      </c>
      <c r="H73" s="21"/>
      <c r="M73" s="5"/>
    </row>
    <row r="74" spans="1:14" x14ac:dyDescent="0.2">
      <c r="A74" s="5">
        <v>83</v>
      </c>
      <c r="H74" s="21"/>
      <c r="M74" s="5"/>
    </row>
    <row r="75" spans="1:14" x14ac:dyDescent="0.2">
      <c r="A75" s="5">
        <v>84</v>
      </c>
      <c r="H75" s="21"/>
      <c r="M75" s="5"/>
    </row>
    <row r="76" spans="1:14" x14ac:dyDescent="0.2">
      <c r="A76" s="5">
        <v>85</v>
      </c>
      <c r="H76" s="21"/>
    </row>
    <row r="77" spans="1:14" x14ac:dyDescent="0.2">
      <c r="A77" s="5">
        <v>86</v>
      </c>
      <c r="H77" s="21"/>
    </row>
    <row r="78" spans="1:14" x14ac:dyDescent="0.2">
      <c r="A78" s="5">
        <v>87</v>
      </c>
      <c r="H78" s="21"/>
    </row>
    <row r="79" spans="1:14" x14ac:dyDescent="0.2">
      <c r="A79" s="5">
        <v>88</v>
      </c>
      <c r="H79" s="21"/>
    </row>
    <row r="80" spans="1:14" x14ac:dyDescent="0.2">
      <c r="A80" s="5">
        <v>89</v>
      </c>
      <c r="H80" s="21"/>
    </row>
    <row r="81" spans="1:8" x14ac:dyDescent="0.2">
      <c r="A81" s="5">
        <v>90</v>
      </c>
      <c r="H81" s="2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A5" sqref="A5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Meta!A3+6</f>
        <v>15</v>
      </c>
      <c r="C2" s="7">
        <f>Meta!B3</f>
        <v>47336</v>
      </c>
      <c r="D2" s="7">
        <f>Meta!C3</f>
        <v>21301</v>
      </c>
      <c r="E2" s="1">
        <f>Meta!D3</f>
        <v>5.7000000000000002E-2</v>
      </c>
      <c r="F2" s="1">
        <f>Meta!F3</f>
        <v>0.72299999999999998</v>
      </c>
      <c r="G2" s="1">
        <f>Meta!I3</f>
        <v>1.978852107996969</v>
      </c>
      <c r="H2" s="1">
        <f>Meta!E3</f>
        <v>0.97099999999999997</v>
      </c>
      <c r="I2" s="13"/>
      <c r="J2" s="1">
        <f>Meta!X2</f>
        <v>0.77400000000000002</v>
      </c>
      <c r="K2" s="1">
        <f>Meta!D2</f>
        <v>5.8999999999999997E-2</v>
      </c>
      <c r="L2" s="29"/>
      <c r="N2" s="22">
        <f>Meta!T3</f>
        <v>62189</v>
      </c>
      <c r="O2" s="22">
        <f>Meta!U3</f>
        <v>27313</v>
      </c>
      <c r="P2" s="1">
        <f>Meta!V3</f>
        <v>4.2999999999999997E-2</v>
      </c>
      <c r="Q2" s="1">
        <f>Meta!X3</f>
        <v>0.78600000000000003</v>
      </c>
      <c r="R2" s="22">
        <f>Meta!W3</f>
        <v>2290</v>
      </c>
      <c r="T2" s="12">
        <f>IRR(S5:S69)+1</f>
        <v>1.0302778015329759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B5" s="1">
        <v>1</v>
      </c>
      <c r="C5" s="5">
        <f>0.1*Grade8!C5</f>
        <v>2274.8274324914014</v>
      </c>
      <c r="D5" s="5">
        <f>IF(A5&lt;startage,1,0)*(C5*(1-initialunempprob))+IF(A5=startage,1,0)*(C5*(1-unempprob))+IF(A5&gt;startage,1,0)*(C5*(1-unempprob)+unempprob*300*52)</f>
        <v>2140.6126139744088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163.75686496904225</v>
      </c>
      <c r="G5" s="5">
        <f>D5-F5</f>
        <v>1976.8557490053665</v>
      </c>
      <c r="H5" s="22">
        <f>0.1*Grade8!H5</f>
        <v>1023.674833981653</v>
      </c>
      <c r="I5" s="5">
        <f>G5+IF(A5&lt;startage,1,0)*(H5*(1-initialunempprob))+IF(A5&gt;=startage,1,0)*(H5*(1-unempprob))</f>
        <v>2940.133767782102</v>
      </c>
      <c r="J5" s="26">
        <f t="shared" ref="J5:J36" si="0">(F5-(IF(A5&gt;startage,1,0)*(unempprob*300*52)))/(IF(A5&lt;startage,1,0)*((C5+H5)*(1-initialunempprob))+IF(A5&gt;=startage,1,0)*((C5+H5)*(1-unempprob)))</f>
        <v>5.2758580873030238E-2</v>
      </c>
      <c r="L5" s="22">
        <f>0.1*Grade8!L5</f>
        <v>4111.963150723207</v>
      </c>
      <c r="M5" s="5"/>
      <c r="N5" s="5">
        <f>L5-Grade8!L5</f>
        <v>-37007.668356508868</v>
      </c>
      <c r="O5" s="5"/>
      <c r="P5" s="22"/>
      <c r="Q5" s="22">
        <f>0.05*feel*Grade8!G5</f>
        <v>241.03836337164708</v>
      </c>
      <c r="R5" s="22">
        <f>hstuition</f>
        <v>11298</v>
      </c>
      <c r="S5" s="22">
        <f t="shared" ref="S5:S36" si="1">IF(A5&lt;startage,1,0)*(N5-Q5-R5)+IF(A5&gt;=startage,1,0)*completionprob*(N5*spart+O5+P5)</f>
        <v>-48546.706719880516</v>
      </c>
      <c r="T5" s="22">
        <f t="shared" ref="T5:T36" si="2">S5/sreturn^(A5-startage+1)</f>
        <v>-48546.706719880516</v>
      </c>
    </row>
    <row r="6" spans="1:20" x14ac:dyDescent="0.2">
      <c r="A6" s="5">
        <v>15</v>
      </c>
      <c r="B6" s="1">
        <f t="shared" ref="B6:B36" si="3">(1+experiencepremium)^(A6-startage)</f>
        <v>1</v>
      </c>
      <c r="C6" s="5">
        <f t="shared" ref="C6:C36" si="4">pretaxincome*B6/expnorm</f>
        <v>23920.938714270254</v>
      </c>
      <c r="D6" s="5">
        <f t="shared" ref="D6:D36" si="5">IF(A6&lt;startage,1,0)*(C6*(1-initialunempprob))+IF(A6=startage,1,0)*(C6*(1-unempprob))+IF(A6&gt;startage,1,0)*(C6*(1-unempprob)+unempprob*300*52)</f>
        <v>22557.445207556848</v>
      </c>
      <c r="E6" s="5">
        <f t="shared" ref="E6:E56" si="6">IF(D6-9500&gt;0,1,0)*(D6-9500)</f>
        <v>13057.445207556848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4565.0058602673107</v>
      </c>
      <c r="G6" s="5">
        <f t="shared" ref="G6:G56" si="8">D6-F6</f>
        <v>17992.439347289539</v>
      </c>
      <c r="H6" s="22">
        <f t="shared" ref="H6:H36" si="9">benefits*B6/expnorm</f>
        <v>10764.321352726693</v>
      </c>
      <c r="I6" s="5">
        <f t="shared" ref="I6:I36" si="10">G6+IF(A6&lt;startage,1,0)*(H6*(1-initialunempprob))+IF(A6&gt;=startage,1,0)*(H6*(1-unempprob))</f>
        <v>28143.19438291081</v>
      </c>
      <c r="J6" s="26">
        <f t="shared" si="0"/>
        <v>0.13956762604874368</v>
      </c>
      <c r="L6" s="22">
        <f t="shared" ref="L6:L36" si="11">(sincome+sbenefits)*(1-sunemp)*B6/expnorm</f>
        <v>43284.393843206388</v>
      </c>
      <c r="M6" s="5">
        <f>scrimecost*Meta!O3</f>
        <v>3526.6</v>
      </c>
      <c r="N6" s="5">
        <f>L6-Grade8!L6</f>
        <v>1136.7715482935164</v>
      </c>
      <c r="O6" s="5">
        <f>Grade8!M6-M6</f>
        <v>177.10000000000036</v>
      </c>
      <c r="P6" s="22">
        <f t="shared" ref="P6:P37" si="12">(spart-initialspart)*(L6*J6+nptrans)</f>
        <v>151.1412011238622</v>
      </c>
      <c r="S6" s="22">
        <f t="shared" si="1"/>
        <v>1186.3130725781721</v>
      </c>
      <c r="T6" s="22">
        <f t="shared" si="2"/>
        <v>1151.4497068781134</v>
      </c>
    </row>
    <row r="7" spans="1:20" x14ac:dyDescent="0.2">
      <c r="A7" s="5">
        <v>16</v>
      </c>
      <c r="B7" s="1">
        <f t="shared" si="3"/>
        <v>1.0249999999999999</v>
      </c>
      <c r="C7" s="5">
        <f t="shared" si="4"/>
        <v>24518.962182127008</v>
      </c>
      <c r="D7" s="5">
        <f t="shared" si="5"/>
        <v>24010.581337745767</v>
      </c>
      <c r="E7" s="5">
        <f t="shared" si="6"/>
        <v>14510.581337745767</v>
      </c>
      <c r="F7" s="5">
        <f t="shared" si="7"/>
        <v>5039.4548067739925</v>
      </c>
      <c r="G7" s="5">
        <f t="shared" si="8"/>
        <v>18971.126530971775</v>
      </c>
      <c r="H7" s="22">
        <f t="shared" si="9"/>
        <v>11033.429386544858</v>
      </c>
      <c r="I7" s="5">
        <f t="shared" si="10"/>
        <v>29375.650442483573</v>
      </c>
      <c r="J7" s="26">
        <f t="shared" si="0"/>
        <v>0.1237924755772523</v>
      </c>
      <c r="L7" s="22">
        <f t="shared" si="11"/>
        <v>44366.503689286546</v>
      </c>
      <c r="M7" s="5">
        <f>scrimecost*Meta!O4</f>
        <v>4724.2700000000004</v>
      </c>
      <c r="N7" s="5">
        <f>L7-Grade8!L7</f>
        <v>1165.1908370008532</v>
      </c>
      <c r="O7" s="5">
        <f>Grade8!M7-M7</f>
        <v>237.24499999999989</v>
      </c>
      <c r="P7" s="22">
        <f t="shared" si="12"/>
        <v>144.55487189284909</v>
      </c>
      <c r="S7" s="22">
        <f t="shared" si="1"/>
        <v>1260.0083135520294</v>
      </c>
      <c r="T7" s="22">
        <f t="shared" si="2"/>
        <v>1187.038282751744</v>
      </c>
    </row>
    <row r="8" spans="1:20" x14ac:dyDescent="0.2">
      <c r="A8" s="5">
        <v>17</v>
      </c>
      <c r="B8" s="1">
        <f t="shared" si="3"/>
        <v>1.0506249999999999</v>
      </c>
      <c r="C8" s="5">
        <f t="shared" si="4"/>
        <v>25131.936236680183</v>
      </c>
      <c r="D8" s="5">
        <f t="shared" si="5"/>
        <v>24588.615871189413</v>
      </c>
      <c r="E8" s="5">
        <f t="shared" si="6"/>
        <v>15088.615871189413</v>
      </c>
      <c r="F8" s="5">
        <f t="shared" si="7"/>
        <v>5228.1830819433435</v>
      </c>
      <c r="G8" s="5">
        <f t="shared" si="8"/>
        <v>19360.432789246071</v>
      </c>
      <c r="H8" s="22">
        <f t="shared" si="9"/>
        <v>11309.265121208482</v>
      </c>
      <c r="I8" s="5">
        <f t="shared" si="10"/>
        <v>30025.069798545672</v>
      </c>
      <c r="J8" s="26">
        <f t="shared" si="0"/>
        <v>0.12626517300021098</v>
      </c>
      <c r="L8" s="22">
        <f t="shared" si="11"/>
        <v>45475.666281518708</v>
      </c>
      <c r="M8" s="5">
        <f>scrimecost*Meta!O5</f>
        <v>5800.57</v>
      </c>
      <c r="N8" s="5">
        <f>L8-Grade8!L8</f>
        <v>1194.3206079258744</v>
      </c>
      <c r="O8" s="5">
        <f>Grade8!M8-M8</f>
        <v>291.29500000000007</v>
      </c>
      <c r="P8" s="22">
        <f t="shared" si="12"/>
        <v>147.55191444402996</v>
      </c>
      <c r="S8" s="22">
        <f t="shared" si="1"/>
        <v>1337.633007817828</v>
      </c>
      <c r="T8" s="22">
        <f t="shared" si="2"/>
        <v>1223.1337483906709</v>
      </c>
    </row>
    <row r="9" spans="1:20" x14ac:dyDescent="0.2">
      <c r="A9" s="5">
        <v>18</v>
      </c>
      <c r="B9" s="1">
        <f t="shared" si="3"/>
        <v>1.0768906249999999</v>
      </c>
      <c r="C9" s="5">
        <f t="shared" si="4"/>
        <v>25760.234642597192</v>
      </c>
      <c r="D9" s="5">
        <f t="shared" si="5"/>
        <v>25181.101267969152</v>
      </c>
      <c r="E9" s="5">
        <f t="shared" si="6"/>
        <v>15681.101267969152</v>
      </c>
      <c r="F9" s="5">
        <f t="shared" si="7"/>
        <v>5421.6295639919281</v>
      </c>
      <c r="G9" s="5">
        <f t="shared" si="8"/>
        <v>19759.471703977222</v>
      </c>
      <c r="H9" s="22">
        <f t="shared" si="9"/>
        <v>11591.996749238693</v>
      </c>
      <c r="I9" s="5">
        <f t="shared" si="10"/>
        <v>30690.724638509309</v>
      </c>
      <c r="J9" s="26">
        <f t="shared" si="0"/>
        <v>0.12867756072992675</v>
      </c>
      <c r="L9" s="22">
        <f t="shared" si="11"/>
        <v>46612.557938556674</v>
      </c>
      <c r="M9" s="5">
        <f>scrimecost*Meta!O6</f>
        <v>7348.6100000000006</v>
      </c>
      <c r="N9" s="5">
        <f>L9-Grade8!L9</f>
        <v>1224.1786231240258</v>
      </c>
      <c r="O9" s="5">
        <f>Grade8!M9-M9</f>
        <v>369.03499999999985</v>
      </c>
      <c r="P9" s="22">
        <f t="shared" si="12"/>
        <v>150.6238830589904</v>
      </c>
      <c r="S9" s="22">
        <f t="shared" si="1"/>
        <v>1438.8892456902747</v>
      </c>
      <c r="T9" s="22">
        <f t="shared" si="2"/>
        <v>1277.0561602713569</v>
      </c>
    </row>
    <row r="10" spans="1:20" x14ac:dyDescent="0.2">
      <c r="A10" s="5">
        <v>19</v>
      </c>
      <c r="B10" s="1">
        <f t="shared" si="3"/>
        <v>1.1038128906249998</v>
      </c>
      <c r="C10" s="5">
        <f t="shared" si="4"/>
        <v>26404.240508662115</v>
      </c>
      <c r="D10" s="5">
        <f t="shared" si="5"/>
        <v>25788.398799668372</v>
      </c>
      <c r="E10" s="5">
        <f t="shared" si="6"/>
        <v>16288.398799668372</v>
      </c>
      <c r="F10" s="5">
        <f t="shared" si="7"/>
        <v>5619.9122080917232</v>
      </c>
      <c r="G10" s="5">
        <f t="shared" si="8"/>
        <v>20168.48659157665</v>
      </c>
      <c r="H10" s="22">
        <f t="shared" si="9"/>
        <v>11881.796667969658</v>
      </c>
      <c r="I10" s="5">
        <f t="shared" si="10"/>
        <v>31373.020849472035</v>
      </c>
      <c r="J10" s="26">
        <f t="shared" si="0"/>
        <v>0.13103110973452747</v>
      </c>
      <c r="L10" s="22">
        <f t="shared" si="11"/>
        <v>47777.871887020585</v>
      </c>
      <c r="M10" s="5">
        <f>scrimecost*Meta!O7</f>
        <v>7797.45</v>
      </c>
      <c r="N10" s="5">
        <f>L10-Grade8!L10</f>
        <v>1254.7830887021191</v>
      </c>
      <c r="O10" s="5">
        <f>Grade8!M10-M10</f>
        <v>391.57499999999982</v>
      </c>
      <c r="P10" s="22">
        <f t="shared" si="12"/>
        <v>153.77265088932481</v>
      </c>
      <c r="S10" s="22">
        <f t="shared" si="1"/>
        <v>1487.1905510095237</v>
      </c>
      <c r="T10" s="22">
        <f t="shared" si="2"/>
        <v>1281.135025071774</v>
      </c>
    </row>
    <row r="11" spans="1:20" x14ac:dyDescent="0.2">
      <c r="A11" s="5">
        <v>20</v>
      </c>
      <c r="B11" s="1">
        <f t="shared" si="3"/>
        <v>1.1314082128906247</v>
      </c>
      <c r="C11" s="5">
        <f t="shared" si="4"/>
        <v>27064.346521378666</v>
      </c>
      <c r="D11" s="5">
        <f t="shared" si="5"/>
        <v>26410.878769660081</v>
      </c>
      <c r="E11" s="5">
        <f t="shared" si="6"/>
        <v>16910.878769660081</v>
      </c>
      <c r="F11" s="5">
        <f t="shared" si="7"/>
        <v>5823.1519182940165</v>
      </c>
      <c r="G11" s="5">
        <f t="shared" si="8"/>
        <v>20587.726851366064</v>
      </c>
      <c r="H11" s="22">
        <f t="shared" si="9"/>
        <v>12178.841584668899</v>
      </c>
      <c r="I11" s="5">
        <f t="shared" si="10"/>
        <v>32072.374465708832</v>
      </c>
      <c r="J11" s="26">
        <f t="shared" si="0"/>
        <v>0.13332725510486965</v>
      </c>
      <c r="L11" s="22">
        <f t="shared" si="11"/>
        <v>48972.318684196092</v>
      </c>
      <c r="M11" s="5">
        <f>scrimecost*Meta!O8</f>
        <v>7483.7199999999993</v>
      </c>
      <c r="N11" s="5">
        <f>L11-Grade8!L11</f>
        <v>1286.1526659196679</v>
      </c>
      <c r="O11" s="5">
        <f>Grade8!M11-M11</f>
        <v>375.81999999999971</v>
      </c>
      <c r="P11" s="22">
        <f t="shared" si="12"/>
        <v>157.00013791541758</v>
      </c>
      <c r="S11" s="22">
        <f t="shared" si="1"/>
        <v>1498.9677854617562</v>
      </c>
      <c r="T11" s="22">
        <f t="shared" si="2"/>
        <v>1253.3323342454137</v>
      </c>
    </row>
    <row r="12" spans="1:20" x14ac:dyDescent="0.2">
      <c r="A12" s="5">
        <v>21</v>
      </c>
      <c r="B12" s="1">
        <f t="shared" si="3"/>
        <v>1.1596934182128902</v>
      </c>
      <c r="C12" s="5">
        <f t="shared" si="4"/>
        <v>27740.955184413131</v>
      </c>
      <c r="D12" s="5">
        <f t="shared" si="5"/>
        <v>27048.920738901583</v>
      </c>
      <c r="E12" s="5">
        <f t="shared" si="6"/>
        <v>17548.920738901583</v>
      </c>
      <c r="F12" s="5">
        <f t="shared" si="7"/>
        <v>6031.4726212513669</v>
      </c>
      <c r="G12" s="5">
        <f t="shared" si="8"/>
        <v>21017.448117650216</v>
      </c>
      <c r="H12" s="22">
        <f t="shared" si="9"/>
        <v>12483.31262428562</v>
      </c>
      <c r="I12" s="5">
        <f t="shared" si="10"/>
        <v>32789.211922351555</v>
      </c>
      <c r="J12" s="26">
        <f t="shared" si="0"/>
        <v>0.13556739692959374</v>
      </c>
      <c r="L12" s="22">
        <f t="shared" si="11"/>
        <v>50196.626651300998</v>
      </c>
      <c r="M12" s="5">
        <f>scrimecost*Meta!O9</f>
        <v>6895.1900000000005</v>
      </c>
      <c r="N12" s="5">
        <f>L12-Grade8!L12</f>
        <v>1318.3064825676629</v>
      </c>
      <c r="O12" s="5">
        <f>Grade8!M12-M12</f>
        <v>346.26499999999942</v>
      </c>
      <c r="P12" s="22">
        <f t="shared" si="12"/>
        <v>160.3083121171627</v>
      </c>
      <c r="S12" s="22">
        <f t="shared" si="1"/>
        <v>1498.0221034003</v>
      </c>
      <c r="T12" s="22">
        <f t="shared" si="2"/>
        <v>1215.7319307350497</v>
      </c>
    </row>
    <row r="13" spans="1:20" x14ac:dyDescent="0.2">
      <c r="A13" s="5">
        <v>22</v>
      </c>
      <c r="B13" s="1">
        <f t="shared" si="3"/>
        <v>1.1886857536682125</v>
      </c>
      <c r="C13" s="5">
        <f t="shared" si="4"/>
        <v>28434.479064023461</v>
      </c>
      <c r="D13" s="5">
        <f t="shared" si="5"/>
        <v>27702.913757374121</v>
      </c>
      <c r="E13" s="5">
        <f t="shared" si="6"/>
        <v>18202.913757374121</v>
      </c>
      <c r="F13" s="5">
        <f t="shared" si="7"/>
        <v>6245.0013417826503</v>
      </c>
      <c r="G13" s="5">
        <f t="shared" si="8"/>
        <v>21457.912415591469</v>
      </c>
      <c r="H13" s="22">
        <f t="shared" si="9"/>
        <v>12795.39543989276</v>
      </c>
      <c r="I13" s="5">
        <f t="shared" si="10"/>
        <v>33523.970315410341</v>
      </c>
      <c r="J13" s="26">
        <f t="shared" si="0"/>
        <v>0.13775290114883673</v>
      </c>
      <c r="L13" s="22">
        <f t="shared" si="11"/>
        <v>51451.542317583524</v>
      </c>
      <c r="M13" s="5">
        <f>scrimecost*Meta!O10</f>
        <v>6288.34</v>
      </c>
      <c r="N13" s="5">
        <f>L13-Grade8!L13</f>
        <v>1351.2641446318594</v>
      </c>
      <c r="O13" s="5">
        <f>Grade8!M13-M13</f>
        <v>315.78999999999996</v>
      </c>
      <c r="P13" s="22">
        <f t="shared" si="12"/>
        <v>163.69919067395145</v>
      </c>
      <c r="S13" s="22">
        <f t="shared" si="1"/>
        <v>1496.8769069123098</v>
      </c>
      <c r="T13" s="22">
        <f t="shared" si="2"/>
        <v>1179.1019232610233</v>
      </c>
    </row>
    <row r="14" spans="1:20" x14ac:dyDescent="0.2">
      <c r="A14" s="5">
        <v>23</v>
      </c>
      <c r="B14" s="1">
        <f t="shared" si="3"/>
        <v>1.2184028975099177</v>
      </c>
      <c r="C14" s="5">
        <f t="shared" si="4"/>
        <v>29145.341040624047</v>
      </c>
      <c r="D14" s="5">
        <f t="shared" si="5"/>
        <v>28373.256601308476</v>
      </c>
      <c r="E14" s="5">
        <f t="shared" si="6"/>
        <v>18873.256601308476</v>
      </c>
      <c r="F14" s="5">
        <f t="shared" si="7"/>
        <v>6463.8682803272168</v>
      </c>
      <c r="G14" s="5">
        <f t="shared" si="8"/>
        <v>21909.388320981259</v>
      </c>
      <c r="H14" s="22">
        <f t="shared" si="9"/>
        <v>13115.280325890079</v>
      </c>
      <c r="I14" s="5">
        <f t="shared" si="10"/>
        <v>34277.097668295602</v>
      </c>
      <c r="J14" s="26">
        <f t="shared" si="0"/>
        <v>0.1398851003871226</v>
      </c>
      <c r="L14" s="22">
        <f t="shared" si="11"/>
        <v>52737.830875523105</v>
      </c>
      <c r="M14" s="5">
        <f>scrimecost*Meta!O11</f>
        <v>5862.4000000000005</v>
      </c>
      <c r="N14" s="5">
        <f>L14-Grade8!L14</f>
        <v>1385.0457482476559</v>
      </c>
      <c r="O14" s="5">
        <f>Grade8!M14-M14</f>
        <v>294.39999999999964</v>
      </c>
      <c r="P14" s="22">
        <f t="shared" si="12"/>
        <v>167.17484119465985</v>
      </c>
      <c r="S14" s="22">
        <f t="shared" si="1"/>
        <v>1505.2643961371148</v>
      </c>
      <c r="T14" s="22">
        <f t="shared" si="2"/>
        <v>1150.8632078723394</v>
      </c>
    </row>
    <row r="15" spans="1:20" x14ac:dyDescent="0.2">
      <c r="A15" s="5">
        <v>24</v>
      </c>
      <c r="B15" s="1">
        <f t="shared" si="3"/>
        <v>1.2488629699476654</v>
      </c>
      <c r="C15" s="5">
        <f t="shared" si="4"/>
        <v>29873.974566639641</v>
      </c>
      <c r="D15" s="5">
        <f t="shared" si="5"/>
        <v>29060.358016341183</v>
      </c>
      <c r="E15" s="5">
        <f t="shared" si="6"/>
        <v>19560.358016341183</v>
      </c>
      <c r="F15" s="5">
        <f t="shared" si="7"/>
        <v>6688.2068923353963</v>
      </c>
      <c r="G15" s="5">
        <f t="shared" si="8"/>
        <v>22372.151124005788</v>
      </c>
      <c r="H15" s="22">
        <f t="shared" si="9"/>
        <v>13443.162334037328</v>
      </c>
      <c r="I15" s="5">
        <f t="shared" si="10"/>
        <v>35049.053205002987</v>
      </c>
      <c r="J15" s="26">
        <f t="shared" si="0"/>
        <v>0.14196529476593808</v>
      </c>
      <c r="L15" s="22">
        <f t="shared" si="11"/>
        <v>54056.276647411178</v>
      </c>
      <c r="M15" s="5">
        <f>scrimecost*Meta!O12</f>
        <v>5592.18</v>
      </c>
      <c r="N15" s="5">
        <f>L15-Grade8!L15</f>
        <v>1419.6718919538471</v>
      </c>
      <c r="O15" s="5">
        <f>Grade8!M15-M15</f>
        <v>280.82999999999993</v>
      </c>
      <c r="P15" s="22">
        <f t="shared" si="12"/>
        <v>170.73738297838602</v>
      </c>
      <c r="S15" s="22">
        <f t="shared" si="1"/>
        <v>1521.9740348425405</v>
      </c>
      <c r="T15" s="22">
        <f t="shared" si="2"/>
        <v>1129.4416983526748</v>
      </c>
    </row>
    <row r="16" spans="1:20" x14ac:dyDescent="0.2">
      <c r="A16" s="5">
        <v>25</v>
      </c>
      <c r="B16" s="1">
        <f t="shared" si="3"/>
        <v>1.2800845441963571</v>
      </c>
      <c r="C16" s="5">
        <f t="shared" si="4"/>
        <v>30620.823930805633</v>
      </c>
      <c r="D16" s="5">
        <f t="shared" si="5"/>
        <v>29764.636966749709</v>
      </c>
      <c r="E16" s="5">
        <f t="shared" si="6"/>
        <v>20264.636966749709</v>
      </c>
      <c r="F16" s="5">
        <f t="shared" si="7"/>
        <v>6918.1539696437794</v>
      </c>
      <c r="G16" s="5">
        <f t="shared" si="8"/>
        <v>22846.48299710593</v>
      </c>
      <c r="H16" s="22">
        <f t="shared" si="9"/>
        <v>13779.241392388263</v>
      </c>
      <c r="I16" s="5">
        <f t="shared" si="10"/>
        <v>35840.30763012806</v>
      </c>
      <c r="J16" s="26">
        <f t="shared" si="0"/>
        <v>0.14399475269648973</v>
      </c>
      <c r="L16" s="22">
        <f t="shared" si="11"/>
        <v>55407.683563596453</v>
      </c>
      <c r="M16" s="5">
        <f>scrimecost*Meta!O13</f>
        <v>4655.57</v>
      </c>
      <c r="N16" s="5">
        <f>L16-Grade8!L16</f>
        <v>1455.1636892526876</v>
      </c>
      <c r="O16" s="5">
        <f>Grade8!M16-M16</f>
        <v>233.79500000000007</v>
      </c>
      <c r="P16" s="22">
        <f t="shared" si="12"/>
        <v>174.3889883067053</v>
      </c>
      <c r="S16" s="22">
        <f t="shared" si="1"/>
        <v>1506.9363112655976</v>
      </c>
      <c r="T16" s="22">
        <f t="shared" si="2"/>
        <v>1085.4182750803748</v>
      </c>
    </row>
    <row r="17" spans="1:20" x14ac:dyDescent="0.2">
      <c r="A17" s="5">
        <v>26</v>
      </c>
      <c r="B17" s="1">
        <f t="shared" si="3"/>
        <v>1.312086657801266</v>
      </c>
      <c r="C17" s="5">
        <f t="shared" si="4"/>
        <v>31386.344529075774</v>
      </c>
      <c r="D17" s="5">
        <f t="shared" si="5"/>
        <v>30486.522890918455</v>
      </c>
      <c r="E17" s="5">
        <f t="shared" si="6"/>
        <v>20986.522890918455</v>
      </c>
      <c r="F17" s="5">
        <f t="shared" si="7"/>
        <v>7153.849723884874</v>
      </c>
      <c r="G17" s="5">
        <f t="shared" si="8"/>
        <v>23332.673167033579</v>
      </c>
      <c r="H17" s="22">
        <f t="shared" si="9"/>
        <v>14123.722427197968</v>
      </c>
      <c r="I17" s="5">
        <f t="shared" si="10"/>
        <v>36651.34341588126</v>
      </c>
      <c r="J17" s="26">
        <f t="shared" si="0"/>
        <v>0.14597471165312548</v>
      </c>
      <c r="L17" s="22">
        <f t="shared" si="11"/>
        <v>56792.875652686365</v>
      </c>
      <c r="M17" s="5">
        <f>scrimecost*Meta!O14</f>
        <v>4655.57</v>
      </c>
      <c r="N17" s="5">
        <f>L17-Grade8!L17</f>
        <v>1491.542781484015</v>
      </c>
      <c r="O17" s="5">
        <f>Grade8!M17-M17</f>
        <v>233.79500000000007</v>
      </c>
      <c r="P17" s="22">
        <f t="shared" si="12"/>
        <v>178.1318837682326</v>
      </c>
      <c r="S17" s="22">
        <f t="shared" si="1"/>
        <v>1538.3354042242431</v>
      </c>
      <c r="T17" s="22">
        <f t="shared" si="2"/>
        <v>1075.4715453586007</v>
      </c>
    </row>
    <row r="18" spans="1:20" x14ac:dyDescent="0.2">
      <c r="A18" s="5">
        <v>27</v>
      </c>
      <c r="B18" s="1">
        <f t="shared" si="3"/>
        <v>1.3448888242462975</v>
      </c>
      <c r="C18" s="5">
        <f t="shared" si="4"/>
        <v>32171.003142302663</v>
      </c>
      <c r="D18" s="5">
        <f t="shared" si="5"/>
        <v>31226.455963191409</v>
      </c>
      <c r="E18" s="5">
        <f t="shared" si="6"/>
        <v>21726.455963191409</v>
      </c>
      <c r="F18" s="5">
        <f t="shared" si="7"/>
        <v>7395.4378719819952</v>
      </c>
      <c r="G18" s="5">
        <f t="shared" si="8"/>
        <v>23831.018091209415</v>
      </c>
      <c r="H18" s="22">
        <f t="shared" si="9"/>
        <v>14476.815487877915</v>
      </c>
      <c r="I18" s="5">
        <f t="shared" si="10"/>
        <v>37482.655096278286</v>
      </c>
      <c r="J18" s="26">
        <f t="shared" si="0"/>
        <v>0.14790637892789213</v>
      </c>
      <c r="L18" s="22">
        <f t="shared" si="11"/>
        <v>58212.697544003524</v>
      </c>
      <c r="M18" s="5">
        <f>scrimecost*Meta!O15</f>
        <v>4655.57</v>
      </c>
      <c r="N18" s="5">
        <f>L18-Grade8!L18</f>
        <v>1528.8313510211156</v>
      </c>
      <c r="O18" s="5">
        <f>Grade8!M18-M18</f>
        <v>233.79500000000007</v>
      </c>
      <c r="P18" s="22">
        <f t="shared" si="12"/>
        <v>181.96835161629809</v>
      </c>
      <c r="S18" s="22">
        <f t="shared" si="1"/>
        <v>1570.519474506847</v>
      </c>
      <c r="T18" s="22">
        <f t="shared" si="2"/>
        <v>1065.70467900681</v>
      </c>
    </row>
    <row r="19" spans="1:20" x14ac:dyDescent="0.2">
      <c r="A19" s="5">
        <v>28</v>
      </c>
      <c r="B19" s="1">
        <f t="shared" si="3"/>
        <v>1.3785110448524549</v>
      </c>
      <c r="C19" s="5">
        <f t="shared" si="4"/>
        <v>32975.278220860229</v>
      </c>
      <c r="D19" s="5">
        <f t="shared" si="5"/>
        <v>31984.887362271194</v>
      </c>
      <c r="E19" s="5">
        <f t="shared" si="6"/>
        <v>22484.887362271194</v>
      </c>
      <c r="F19" s="5">
        <f t="shared" si="7"/>
        <v>7643.0657237815449</v>
      </c>
      <c r="G19" s="5">
        <f t="shared" si="8"/>
        <v>24341.821638489651</v>
      </c>
      <c r="H19" s="22">
        <f t="shared" si="9"/>
        <v>14838.735875074864</v>
      </c>
      <c r="I19" s="5">
        <f t="shared" si="10"/>
        <v>38334.749568685249</v>
      </c>
      <c r="J19" s="26">
        <f t="shared" si="0"/>
        <v>0.14979093236668883</v>
      </c>
      <c r="L19" s="22">
        <f t="shared" si="11"/>
        <v>59668.014982603607</v>
      </c>
      <c r="M19" s="5">
        <f>scrimecost*Meta!O16</f>
        <v>4655.57</v>
      </c>
      <c r="N19" s="5">
        <f>L19-Grade8!L19</f>
        <v>1567.0521347966423</v>
      </c>
      <c r="O19" s="5">
        <f>Grade8!M19-M19</f>
        <v>233.79500000000007</v>
      </c>
      <c r="P19" s="22">
        <f t="shared" si="12"/>
        <v>185.90073116056519</v>
      </c>
      <c r="S19" s="22">
        <f t="shared" si="1"/>
        <v>1603.508146546515</v>
      </c>
      <c r="T19" s="22">
        <f t="shared" si="2"/>
        <v>1056.1129662536916</v>
      </c>
    </row>
    <row r="20" spans="1:20" x14ac:dyDescent="0.2">
      <c r="A20" s="5">
        <v>29</v>
      </c>
      <c r="B20" s="1">
        <f t="shared" si="3"/>
        <v>1.4129738209737661</v>
      </c>
      <c r="C20" s="5">
        <f t="shared" si="4"/>
        <v>33799.660176381731</v>
      </c>
      <c r="D20" s="5">
        <f t="shared" si="5"/>
        <v>32762.279546327973</v>
      </c>
      <c r="E20" s="5">
        <f t="shared" si="6"/>
        <v>23262.279546327973</v>
      </c>
      <c r="F20" s="5">
        <f t="shared" si="7"/>
        <v>7896.8842718760825</v>
      </c>
      <c r="G20" s="5">
        <f t="shared" si="8"/>
        <v>24865.39527445189</v>
      </c>
      <c r="H20" s="22">
        <f t="shared" si="9"/>
        <v>15209.704271951732</v>
      </c>
      <c r="I20" s="5">
        <f t="shared" si="10"/>
        <v>39208.146402902377</v>
      </c>
      <c r="J20" s="26">
        <f t="shared" si="0"/>
        <v>0.15162952108746611</v>
      </c>
      <c r="L20" s="22">
        <f t="shared" si="11"/>
        <v>61159.715357168687</v>
      </c>
      <c r="M20" s="5">
        <f>scrimecost*Meta!O17</f>
        <v>4655.57</v>
      </c>
      <c r="N20" s="5">
        <f>L20-Grade8!L20</f>
        <v>1606.2284381665377</v>
      </c>
      <c r="O20" s="5">
        <f>Grade8!M20-M20</f>
        <v>233.79500000000007</v>
      </c>
      <c r="P20" s="22">
        <f t="shared" si="12"/>
        <v>189.93142019343898</v>
      </c>
      <c r="S20" s="22">
        <f t="shared" si="1"/>
        <v>1637.3215353871597</v>
      </c>
      <c r="T20" s="22">
        <f t="shared" si="2"/>
        <v>1046.6918327877233</v>
      </c>
    </row>
    <row r="21" spans="1:20" x14ac:dyDescent="0.2">
      <c r="A21" s="5">
        <v>30</v>
      </c>
      <c r="B21" s="1">
        <f t="shared" si="3"/>
        <v>1.4482981664981105</v>
      </c>
      <c r="C21" s="5">
        <f t="shared" si="4"/>
        <v>34644.651680791278</v>
      </c>
      <c r="D21" s="5">
        <f t="shared" si="5"/>
        <v>33559.106534986175</v>
      </c>
      <c r="E21" s="5">
        <f t="shared" si="6"/>
        <v>24059.106534986175</v>
      </c>
      <c r="F21" s="5">
        <f t="shared" si="7"/>
        <v>8157.0482836729861</v>
      </c>
      <c r="G21" s="5">
        <f t="shared" si="8"/>
        <v>25402.058251313189</v>
      </c>
      <c r="H21" s="22">
        <f t="shared" si="9"/>
        <v>15589.946878750528</v>
      </c>
      <c r="I21" s="5">
        <f t="shared" si="10"/>
        <v>40103.378157974934</v>
      </c>
      <c r="J21" s="26">
        <f t="shared" si="0"/>
        <v>0.15342326618090738</v>
      </c>
      <c r="L21" s="22">
        <f t="shared" si="11"/>
        <v>62688.70824109792</v>
      </c>
      <c r="M21" s="5">
        <f>scrimecost*Meta!O18</f>
        <v>3835.75</v>
      </c>
      <c r="N21" s="5">
        <f>L21-Grade8!L21</f>
        <v>1646.3841491207204</v>
      </c>
      <c r="O21" s="5">
        <f>Grade8!M21-M21</f>
        <v>192.625</v>
      </c>
      <c r="P21" s="22">
        <f t="shared" si="12"/>
        <v>194.06287645213467</v>
      </c>
      <c r="S21" s="22">
        <f t="shared" si="1"/>
        <v>1632.0041889488512</v>
      </c>
      <c r="T21" s="22">
        <f t="shared" si="2"/>
        <v>1012.6323278756372</v>
      </c>
    </row>
    <row r="22" spans="1:20" x14ac:dyDescent="0.2">
      <c r="A22" s="5">
        <v>31</v>
      </c>
      <c r="B22" s="1">
        <f t="shared" si="3"/>
        <v>1.4845056206605631</v>
      </c>
      <c r="C22" s="5">
        <f t="shared" si="4"/>
        <v>35510.767972811052</v>
      </c>
      <c r="D22" s="5">
        <f t="shared" si="5"/>
        <v>34375.854198360816</v>
      </c>
      <c r="E22" s="5">
        <f t="shared" si="6"/>
        <v>24875.854198360816</v>
      </c>
      <c r="F22" s="5">
        <f t="shared" si="7"/>
        <v>8423.7163957648063</v>
      </c>
      <c r="G22" s="5">
        <f t="shared" si="8"/>
        <v>25952.137802596008</v>
      </c>
      <c r="H22" s="22">
        <f t="shared" si="9"/>
        <v>15979.695550719292</v>
      </c>
      <c r="I22" s="5">
        <f t="shared" si="10"/>
        <v>41020.990706924298</v>
      </c>
      <c r="J22" s="26">
        <f t="shared" si="0"/>
        <v>0.15517326139402071</v>
      </c>
      <c r="L22" s="22">
        <f t="shared" si="11"/>
        <v>64255.925947125361</v>
      </c>
      <c r="M22" s="5">
        <f>scrimecost*Meta!O19</f>
        <v>3835.75</v>
      </c>
      <c r="N22" s="5">
        <f>L22-Grade8!L22</f>
        <v>1687.5437528487455</v>
      </c>
      <c r="O22" s="5">
        <f>Grade8!M22-M22</f>
        <v>192.625</v>
      </c>
      <c r="P22" s="22">
        <f t="shared" si="12"/>
        <v>198.29761911729761</v>
      </c>
      <c r="S22" s="22">
        <f t="shared" si="1"/>
        <v>1667.5293805995757</v>
      </c>
      <c r="T22" s="22">
        <f t="shared" si="2"/>
        <v>1004.2681069947434</v>
      </c>
    </row>
    <row r="23" spans="1:20" x14ac:dyDescent="0.2">
      <c r="A23" s="5">
        <v>32</v>
      </c>
      <c r="B23" s="1">
        <f t="shared" si="3"/>
        <v>1.521618261177077</v>
      </c>
      <c r="C23" s="5">
        <f t="shared" si="4"/>
        <v>36398.537172131328</v>
      </c>
      <c r="D23" s="5">
        <f t="shared" si="5"/>
        <v>35213.020553319839</v>
      </c>
      <c r="E23" s="5">
        <f t="shared" si="6"/>
        <v>25713.020553319839</v>
      </c>
      <c r="F23" s="5">
        <f t="shared" si="7"/>
        <v>8697.0512106589267</v>
      </c>
      <c r="G23" s="5">
        <f t="shared" si="8"/>
        <v>26515.969342660912</v>
      </c>
      <c r="H23" s="22">
        <f t="shared" si="9"/>
        <v>16379.18793948727</v>
      </c>
      <c r="I23" s="5">
        <f t="shared" si="10"/>
        <v>41961.543569597408</v>
      </c>
      <c r="J23" s="26">
        <f t="shared" si="0"/>
        <v>0.15688057379705819</v>
      </c>
      <c r="L23" s="22">
        <f t="shared" si="11"/>
        <v>65862.324095803488</v>
      </c>
      <c r="M23" s="5">
        <f>scrimecost*Meta!O20</f>
        <v>3835.75</v>
      </c>
      <c r="N23" s="5">
        <f>L23-Grade8!L23</f>
        <v>1729.7323466699527</v>
      </c>
      <c r="O23" s="5">
        <f>Grade8!M23-M23</f>
        <v>192.625</v>
      </c>
      <c r="P23" s="22">
        <f t="shared" si="12"/>
        <v>202.63823034908975</v>
      </c>
      <c r="S23" s="22">
        <f t="shared" si="1"/>
        <v>1703.9427020415542</v>
      </c>
      <c r="T23" s="22">
        <f t="shared" si="2"/>
        <v>996.04009362400768</v>
      </c>
    </row>
    <row r="24" spans="1:20" x14ac:dyDescent="0.2">
      <c r="A24" s="5">
        <v>33</v>
      </c>
      <c r="B24" s="1">
        <f t="shared" si="3"/>
        <v>1.559658717706504</v>
      </c>
      <c r="C24" s="5">
        <f t="shared" si="4"/>
        <v>37308.500601434615</v>
      </c>
      <c r="D24" s="5">
        <f t="shared" si="5"/>
        <v>36071.116067152834</v>
      </c>
      <c r="E24" s="5">
        <f t="shared" si="6"/>
        <v>26571.116067152834</v>
      </c>
      <c r="F24" s="5">
        <f t="shared" si="7"/>
        <v>8977.2193959254</v>
      </c>
      <c r="G24" s="5">
        <f t="shared" si="8"/>
        <v>27093.896671227434</v>
      </c>
      <c r="H24" s="22">
        <f t="shared" si="9"/>
        <v>16788.667637974453</v>
      </c>
      <c r="I24" s="5">
        <f t="shared" si="10"/>
        <v>42925.610253837345</v>
      </c>
      <c r="J24" s="26">
        <f t="shared" si="0"/>
        <v>0.1585462444341679</v>
      </c>
      <c r="L24" s="22">
        <f t="shared" si="11"/>
        <v>67508.882198198582</v>
      </c>
      <c r="M24" s="5">
        <f>scrimecost*Meta!O21</f>
        <v>3835.75</v>
      </c>
      <c r="N24" s="5">
        <f>L24-Grade8!L24</f>
        <v>1772.9756553367188</v>
      </c>
      <c r="O24" s="5">
        <f>Grade8!M24-M24</f>
        <v>192.625</v>
      </c>
      <c r="P24" s="22">
        <f t="shared" si="12"/>
        <v>207.08735686167662</v>
      </c>
      <c r="S24" s="22">
        <f t="shared" si="1"/>
        <v>1741.266356519604</v>
      </c>
      <c r="T24" s="22">
        <f t="shared" si="2"/>
        <v>987.94484634610762</v>
      </c>
    </row>
    <row r="25" spans="1:20" x14ac:dyDescent="0.2">
      <c r="A25" s="5">
        <v>34</v>
      </c>
      <c r="B25" s="1">
        <f t="shared" si="3"/>
        <v>1.5986501856491666</v>
      </c>
      <c r="C25" s="5">
        <f t="shared" si="4"/>
        <v>38241.213116470477</v>
      </c>
      <c r="D25" s="5">
        <f t="shared" si="5"/>
        <v>36950.663968831657</v>
      </c>
      <c r="E25" s="5">
        <f t="shared" si="6"/>
        <v>27450.663968831657</v>
      </c>
      <c r="F25" s="5">
        <f t="shared" si="7"/>
        <v>9264.3917858235363</v>
      </c>
      <c r="G25" s="5">
        <f t="shared" si="8"/>
        <v>27686.272183008121</v>
      </c>
      <c r="H25" s="22">
        <f t="shared" si="9"/>
        <v>17208.384328923818</v>
      </c>
      <c r="I25" s="5">
        <f t="shared" si="10"/>
        <v>43913.778605183281</v>
      </c>
      <c r="J25" s="26">
        <f t="shared" si="0"/>
        <v>0.16017128895817742</v>
      </c>
      <c r="L25" s="22">
        <f t="shared" si="11"/>
        <v>69196.604253153535</v>
      </c>
      <c r="M25" s="5">
        <f>scrimecost*Meta!O22</f>
        <v>3835.75</v>
      </c>
      <c r="N25" s="5">
        <f>L25-Grade8!L25</f>
        <v>1817.30004672012</v>
      </c>
      <c r="O25" s="5">
        <f>Grade8!M25-M25</f>
        <v>192.625</v>
      </c>
      <c r="P25" s="22">
        <f t="shared" si="12"/>
        <v>211.64771153707821</v>
      </c>
      <c r="S25" s="22">
        <f t="shared" si="1"/>
        <v>1779.5231023595788</v>
      </c>
      <c r="T25" s="22">
        <f t="shared" si="2"/>
        <v>979.97902200390604</v>
      </c>
    </row>
    <row r="26" spans="1:20" x14ac:dyDescent="0.2">
      <c r="A26" s="5">
        <v>35</v>
      </c>
      <c r="B26" s="1">
        <f t="shared" si="3"/>
        <v>1.6386164402903955</v>
      </c>
      <c r="C26" s="5">
        <f t="shared" si="4"/>
        <v>39197.243444382235</v>
      </c>
      <c r="D26" s="5">
        <f t="shared" si="5"/>
        <v>37852.200568052445</v>
      </c>
      <c r="E26" s="5">
        <f t="shared" si="6"/>
        <v>28352.200568052445</v>
      </c>
      <c r="F26" s="5">
        <f t="shared" si="7"/>
        <v>9558.7434854691237</v>
      </c>
      <c r="G26" s="5">
        <f t="shared" si="8"/>
        <v>28293.457082583322</v>
      </c>
      <c r="H26" s="22">
        <f t="shared" si="9"/>
        <v>17638.593937146907</v>
      </c>
      <c r="I26" s="5">
        <f t="shared" si="10"/>
        <v>44926.651165312855</v>
      </c>
      <c r="J26" s="26">
        <f t="shared" si="0"/>
        <v>0.16175669824989397</v>
      </c>
      <c r="L26" s="22">
        <f t="shared" si="11"/>
        <v>70926.519359482365</v>
      </c>
      <c r="M26" s="5">
        <f>scrimecost*Meta!O23</f>
        <v>2899.14</v>
      </c>
      <c r="N26" s="5">
        <f>L26-Grade8!L26</f>
        <v>1862.7325478881248</v>
      </c>
      <c r="O26" s="5">
        <f>Grade8!M26-M26</f>
        <v>145.59000000000015</v>
      </c>
      <c r="P26" s="22">
        <f t="shared" si="12"/>
        <v>216.32207507936482</v>
      </c>
      <c r="S26" s="22">
        <f t="shared" si="1"/>
        <v>1773.0652818455676</v>
      </c>
      <c r="T26" s="22">
        <f t="shared" si="2"/>
        <v>947.72760762356268</v>
      </c>
    </row>
    <row r="27" spans="1:20" x14ac:dyDescent="0.2">
      <c r="A27" s="5">
        <v>36</v>
      </c>
      <c r="B27" s="1">
        <f t="shared" si="3"/>
        <v>1.6795818512976552</v>
      </c>
      <c r="C27" s="5">
        <f t="shared" si="4"/>
        <v>40177.174530491786</v>
      </c>
      <c r="D27" s="5">
        <f t="shared" si="5"/>
        <v>38776.275582253751</v>
      </c>
      <c r="E27" s="5">
        <f t="shared" si="6"/>
        <v>29276.275582253751</v>
      </c>
      <c r="F27" s="5">
        <f t="shared" si="7"/>
        <v>9860.45397760585</v>
      </c>
      <c r="G27" s="5">
        <f t="shared" si="8"/>
        <v>28915.821604647899</v>
      </c>
      <c r="H27" s="22">
        <f t="shared" si="9"/>
        <v>18079.558785575577</v>
      </c>
      <c r="I27" s="5">
        <f t="shared" si="10"/>
        <v>45964.845539445669</v>
      </c>
      <c r="J27" s="26">
        <f t="shared" si="0"/>
        <v>0.16330343902230041</v>
      </c>
      <c r="L27" s="22">
        <f t="shared" si="11"/>
        <v>72699.682343469409</v>
      </c>
      <c r="M27" s="5">
        <f>scrimecost*Meta!O24</f>
        <v>2899.14</v>
      </c>
      <c r="N27" s="5">
        <f>L27-Grade8!L27</f>
        <v>1909.3008615853032</v>
      </c>
      <c r="O27" s="5">
        <f>Grade8!M27-M27</f>
        <v>145.59000000000015</v>
      </c>
      <c r="P27" s="22">
        <f t="shared" si="12"/>
        <v>221.11329771020857</v>
      </c>
      <c r="S27" s="22">
        <f t="shared" si="1"/>
        <v>1813.2587754436856</v>
      </c>
      <c r="T27" s="22">
        <f t="shared" si="2"/>
        <v>940.72839133866705</v>
      </c>
    </row>
    <row r="28" spans="1:20" x14ac:dyDescent="0.2">
      <c r="A28" s="5">
        <v>37</v>
      </c>
      <c r="B28" s="1">
        <f t="shared" si="3"/>
        <v>1.7215713975800966</v>
      </c>
      <c r="C28" s="5">
        <f t="shared" si="4"/>
        <v>41181.60389375408</v>
      </c>
      <c r="D28" s="5">
        <f t="shared" si="5"/>
        <v>39723.452471810095</v>
      </c>
      <c r="E28" s="5">
        <f t="shared" si="6"/>
        <v>30223.452471810095</v>
      </c>
      <c r="F28" s="5">
        <f t="shared" si="7"/>
        <v>10169.707232045996</v>
      </c>
      <c r="G28" s="5">
        <f t="shared" si="8"/>
        <v>29553.745239764099</v>
      </c>
      <c r="H28" s="22">
        <f t="shared" si="9"/>
        <v>18531.547755214968</v>
      </c>
      <c r="I28" s="5">
        <f t="shared" si="10"/>
        <v>47028.994772931808</v>
      </c>
      <c r="J28" s="26">
        <f t="shared" si="0"/>
        <v>0.16481245441001396</v>
      </c>
      <c r="L28" s="22">
        <f t="shared" si="11"/>
        <v>74517.17440205616</v>
      </c>
      <c r="M28" s="5">
        <f>scrimecost*Meta!O25</f>
        <v>2899.14</v>
      </c>
      <c r="N28" s="5">
        <f>L28-Grade8!L28</f>
        <v>1957.0333831249591</v>
      </c>
      <c r="O28" s="5">
        <f>Grade8!M28-M28</f>
        <v>145.59000000000015</v>
      </c>
      <c r="P28" s="22">
        <f t="shared" si="12"/>
        <v>226.0243009068235</v>
      </c>
      <c r="S28" s="22">
        <f t="shared" si="1"/>
        <v>1854.4571063817932</v>
      </c>
      <c r="T28" s="22">
        <f t="shared" si="2"/>
        <v>933.82804644101839</v>
      </c>
    </row>
    <row r="29" spans="1:20" x14ac:dyDescent="0.2">
      <c r="A29" s="5">
        <v>38</v>
      </c>
      <c r="B29" s="1">
        <f t="shared" si="3"/>
        <v>1.7646106825195991</v>
      </c>
      <c r="C29" s="5">
        <f t="shared" si="4"/>
        <v>42211.143991097932</v>
      </c>
      <c r="D29" s="5">
        <f t="shared" si="5"/>
        <v>40694.308783605346</v>
      </c>
      <c r="E29" s="5">
        <f t="shared" si="6"/>
        <v>31194.308783605346</v>
      </c>
      <c r="F29" s="5">
        <f t="shared" si="7"/>
        <v>10486.691817847146</v>
      </c>
      <c r="G29" s="5">
        <f t="shared" si="8"/>
        <v>30207.6169657582</v>
      </c>
      <c r="H29" s="22">
        <f t="shared" si="9"/>
        <v>18994.836449095343</v>
      </c>
      <c r="I29" s="5">
        <f t="shared" si="10"/>
        <v>48119.747737255107</v>
      </c>
      <c r="J29" s="26">
        <f t="shared" si="0"/>
        <v>0.16628466454436866</v>
      </c>
      <c r="L29" s="22">
        <f t="shared" si="11"/>
        <v>76380.103762107567</v>
      </c>
      <c r="M29" s="5">
        <f>scrimecost*Meta!O26</f>
        <v>2899.14</v>
      </c>
      <c r="N29" s="5">
        <f>L29-Grade8!L29</f>
        <v>2005.9592177031009</v>
      </c>
      <c r="O29" s="5">
        <f>Grade8!M29-M29</f>
        <v>145.59000000000015</v>
      </c>
      <c r="P29" s="22">
        <f t="shared" si="12"/>
        <v>231.05807918335373</v>
      </c>
      <c r="S29" s="22">
        <f t="shared" si="1"/>
        <v>1896.6853955933493</v>
      </c>
      <c r="T29" s="22">
        <f t="shared" si="2"/>
        <v>927.02421451306805</v>
      </c>
    </row>
    <row r="30" spans="1:20" x14ac:dyDescent="0.2">
      <c r="A30" s="5">
        <v>39</v>
      </c>
      <c r="B30" s="1">
        <f t="shared" si="3"/>
        <v>1.8087259495825889</v>
      </c>
      <c r="C30" s="5">
        <f t="shared" si="4"/>
        <v>43266.42259087538</v>
      </c>
      <c r="D30" s="5">
        <f t="shared" si="5"/>
        <v>41689.43650319548</v>
      </c>
      <c r="E30" s="5">
        <f t="shared" si="6"/>
        <v>32189.43650319548</v>
      </c>
      <c r="F30" s="5">
        <f t="shared" si="7"/>
        <v>10811.601018293324</v>
      </c>
      <c r="G30" s="5">
        <f t="shared" si="8"/>
        <v>30877.835484902156</v>
      </c>
      <c r="H30" s="22">
        <f t="shared" si="9"/>
        <v>19469.707360322725</v>
      </c>
      <c r="I30" s="5">
        <f t="shared" si="10"/>
        <v>49237.769525686483</v>
      </c>
      <c r="J30" s="26">
        <f t="shared" si="0"/>
        <v>0.16772096711447082</v>
      </c>
      <c r="L30" s="22">
        <f t="shared" si="11"/>
        <v>78289.606356160235</v>
      </c>
      <c r="M30" s="5">
        <f>scrimecost*Meta!O27</f>
        <v>2899.14</v>
      </c>
      <c r="N30" s="5">
        <f>L30-Grade8!L30</f>
        <v>2056.1081981456664</v>
      </c>
      <c r="O30" s="5">
        <f>Grade8!M30-M30</f>
        <v>145.59000000000015</v>
      </c>
      <c r="P30" s="22">
        <f t="shared" si="12"/>
        <v>236.21770191679724</v>
      </c>
      <c r="S30" s="22">
        <f t="shared" si="1"/>
        <v>1939.9693920351717</v>
      </c>
      <c r="T30" s="22">
        <f t="shared" si="2"/>
        <v>920.31460364323323</v>
      </c>
    </row>
    <row r="31" spans="1:20" x14ac:dyDescent="0.2">
      <c r="A31" s="5">
        <v>40</v>
      </c>
      <c r="B31" s="1">
        <f t="shared" si="3"/>
        <v>1.8539440983221533</v>
      </c>
      <c r="C31" s="5">
        <f t="shared" si="4"/>
        <v>44348.083155647255</v>
      </c>
      <c r="D31" s="5">
        <f t="shared" si="5"/>
        <v>42709.442415775353</v>
      </c>
      <c r="E31" s="5">
        <f t="shared" si="6"/>
        <v>33209.442415775353</v>
      </c>
      <c r="F31" s="5">
        <f t="shared" si="7"/>
        <v>11144.632948750652</v>
      </c>
      <c r="G31" s="5">
        <f t="shared" si="8"/>
        <v>31564.809467024701</v>
      </c>
      <c r="H31" s="22">
        <f t="shared" si="9"/>
        <v>19956.450044330788</v>
      </c>
      <c r="I31" s="5">
        <f t="shared" si="10"/>
        <v>50383.741858828638</v>
      </c>
      <c r="J31" s="26">
        <f t="shared" si="0"/>
        <v>0.16912223791457043</v>
      </c>
      <c r="L31" s="22">
        <f t="shared" si="11"/>
        <v>80246.846515064244</v>
      </c>
      <c r="M31" s="5">
        <f>scrimecost*Meta!O28</f>
        <v>2589.9900000000002</v>
      </c>
      <c r="N31" s="5">
        <f>L31-Grade8!L31</f>
        <v>2107.510903099319</v>
      </c>
      <c r="O31" s="5">
        <f>Grade8!M31-M31</f>
        <v>130.0649999999996</v>
      </c>
      <c r="P31" s="22">
        <f t="shared" si="12"/>
        <v>241.50631521857676</v>
      </c>
      <c r="S31" s="22">
        <f t="shared" si="1"/>
        <v>1969.2607133880565</v>
      </c>
      <c r="T31" s="22">
        <f t="shared" si="2"/>
        <v>906.75573256474661</v>
      </c>
    </row>
    <row r="32" spans="1:20" x14ac:dyDescent="0.2">
      <c r="A32" s="5">
        <v>41</v>
      </c>
      <c r="B32" s="1">
        <f t="shared" si="3"/>
        <v>1.9002927007802071</v>
      </c>
      <c r="C32" s="5">
        <f t="shared" si="4"/>
        <v>45456.785234538438</v>
      </c>
      <c r="D32" s="5">
        <f t="shared" si="5"/>
        <v>43754.948476169739</v>
      </c>
      <c r="E32" s="5">
        <f t="shared" si="6"/>
        <v>34254.948476169739</v>
      </c>
      <c r="F32" s="5">
        <f t="shared" si="7"/>
        <v>11485.990677469419</v>
      </c>
      <c r="G32" s="5">
        <f t="shared" si="8"/>
        <v>32268.957798700321</v>
      </c>
      <c r="H32" s="22">
        <f t="shared" si="9"/>
        <v>20455.361295439056</v>
      </c>
      <c r="I32" s="5">
        <f t="shared" si="10"/>
        <v>51558.363500299354</v>
      </c>
      <c r="J32" s="26">
        <f t="shared" si="0"/>
        <v>0.17048933137808231</v>
      </c>
      <c r="L32" s="22">
        <f t="shared" si="11"/>
        <v>82253.017677940836</v>
      </c>
      <c r="M32" s="5">
        <f>scrimecost*Meta!O29</f>
        <v>2589.9900000000002</v>
      </c>
      <c r="N32" s="5">
        <f>L32-Grade8!L32</f>
        <v>2160.1986756767874</v>
      </c>
      <c r="O32" s="5">
        <f>Grade8!M32-M32</f>
        <v>130.0649999999996</v>
      </c>
      <c r="P32" s="22">
        <f t="shared" si="12"/>
        <v>246.92714385290083</v>
      </c>
      <c r="S32" s="22">
        <f t="shared" si="1"/>
        <v>2014.7359621497444</v>
      </c>
      <c r="T32" s="22">
        <f t="shared" si="2"/>
        <v>900.43193401001577</v>
      </c>
    </row>
    <row r="33" spans="1:20" x14ac:dyDescent="0.2">
      <c r="A33" s="5">
        <v>42</v>
      </c>
      <c r="B33" s="1">
        <f t="shared" si="3"/>
        <v>1.9478000182997122</v>
      </c>
      <c r="C33" s="5">
        <f t="shared" si="4"/>
        <v>46593.204865401902</v>
      </c>
      <c r="D33" s="5">
        <f t="shared" si="5"/>
        <v>44826.592188073992</v>
      </c>
      <c r="E33" s="5">
        <f t="shared" si="6"/>
        <v>35326.592188073992</v>
      </c>
      <c r="F33" s="5">
        <f t="shared" si="7"/>
        <v>11918.541568213557</v>
      </c>
      <c r="G33" s="5">
        <f t="shared" si="8"/>
        <v>32908.050619860434</v>
      </c>
      <c r="H33" s="22">
        <f t="shared" si="9"/>
        <v>20966.745327825032</v>
      </c>
      <c r="I33" s="5">
        <f t="shared" si="10"/>
        <v>52679.691463999436</v>
      </c>
      <c r="J33" s="26">
        <f t="shared" si="0"/>
        <v>0.17312053006104841</v>
      </c>
      <c r="L33" s="22">
        <f t="shared" si="11"/>
        <v>84309.343119889352</v>
      </c>
      <c r="M33" s="5">
        <f>scrimecost*Meta!O30</f>
        <v>2589.9900000000002</v>
      </c>
      <c r="N33" s="5">
        <f>L33-Grade8!L33</f>
        <v>2214.2036425686965</v>
      </c>
      <c r="O33" s="5">
        <f>Grade8!M33-M33</f>
        <v>130.0649999999996</v>
      </c>
      <c r="P33" s="22">
        <f t="shared" si="12"/>
        <v>253.79613804016881</v>
      </c>
      <c r="S33" s="22">
        <f t="shared" si="1"/>
        <v>2062.622670267288</v>
      </c>
      <c r="T33" s="22">
        <f t="shared" si="2"/>
        <v>894.74276366536913</v>
      </c>
    </row>
    <row r="34" spans="1:20" x14ac:dyDescent="0.2">
      <c r="A34" s="5">
        <v>43</v>
      </c>
      <c r="B34" s="1">
        <f t="shared" si="3"/>
        <v>1.9964950187572048</v>
      </c>
      <c r="C34" s="5">
        <f t="shared" si="4"/>
        <v>47758.034987036939</v>
      </c>
      <c r="D34" s="5">
        <f t="shared" si="5"/>
        <v>45925.026992775827</v>
      </c>
      <c r="E34" s="5">
        <f t="shared" si="6"/>
        <v>36425.026992775827</v>
      </c>
      <c r="F34" s="5">
        <f t="shared" si="7"/>
        <v>12387.024012418891</v>
      </c>
      <c r="G34" s="5">
        <f t="shared" si="8"/>
        <v>33538.002980356934</v>
      </c>
      <c r="H34" s="22">
        <f t="shared" si="9"/>
        <v>21490.913961020655</v>
      </c>
      <c r="I34" s="5">
        <f t="shared" si="10"/>
        <v>53803.934845599411</v>
      </c>
      <c r="J34" s="26">
        <f t="shared" si="0"/>
        <v>0.1760721948916861</v>
      </c>
      <c r="L34" s="22">
        <f t="shared" si="11"/>
        <v>86417.076697886587</v>
      </c>
      <c r="M34" s="5">
        <f>scrimecost*Meta!O31</f>
        <v>2589.9900000000002</v>
      </c>
      <c r="N34" s="5">
        <f>L34-Grade8!L34</f>
        <v>2269.558733632919</v>
      </c>
      <c r="O34" s="5">
        <f>Grade8!M34-M34</f>
        <v>130.0649999999996</v>
      </c>
      <c r="P34" s="22">
        <f t="shared" si="12"/>
        <v>261.23573244384107</v>
      </c>
      <c r="S34" s="22">
        <f t="shared" si="1"/>
        <v>2112.093854064015</v>
      </c>
      <c r="T34" s="22">
        <f t="shared" si="2"/>
        <v>889.2774466943049</v>
      </c>
    </row>
    <row r="35" spans="1:20" x14ac:dyDescent="0.2">
      <c r="A35" s="5">
        <v>44</v>
      </c>
      <c r="B35" s="1">
        <f t="shared" si="3"/>
        <v>2.0464073942261352</v>
      </c>
      <c r="C35" s="5">
        <f t="shared" si="4"/>
        <v>48951.98586171287</v>
      </c>
      <c r="D35" s="5">
        <f t="shared" si="5"/>
        <v>47050.92266759523</v>
      </c>
      <c r="E35" s="5">
        <f t="shared" si="6"/>
        <v>37550.92266759523</v>
      </c>
      <c r="F35" s="5">
        <f t="shared" si="7"/>
        <v>12867.218517729367</v>
      </c>
      <c r="G35" s="5">
        <f t="shared" si="8"/>
        <v>34183.704149865865</v>
      </c>
      <c r="H35" s="22">
        <f t="shared" si="9"/>
        <v>22028.186810046176</v>
      </c>
      <c r="I35" s="5">
        <f t="shared" si="10"/>
        <v>54956.284311739408</v>
      </c>
      <c r="J35" s="26">
        <f t="shared" si="0"/>
        <v>0.17895186789718637</v>
      </c>
      <c r="L35" s="22">
        <f t="shared" si="11"/>
        <v>88577.503615333742</v>
      </c>
      <c r="M35" s="5">
        <f>scrimecost*Meta!O32</f>
        <v>2589.9900000000002</v>
      </c>
      <c r="N35" s="5">
        <f>L35-Grade8!L35</f>
        <v>2326.2977019737446</v>
      </c>
      <c r="O35" s="5">
        <f>Grade8!M35-M35</f>
        <v>130.0649999999996</v>
      </c>
      <c r="P35" s="22">
        <f t="shared" si="12"/>
        <v>268.86131670760528</v>
      </c>
      <c r="S35" s="22">
        <f t="shared" si="1"/>
        <v>2162.8018174556582</v>
      </c>
      <c r="T35" s="22">
        <f t="shared" si="2"/>
        <v>883.86604182584517</v>
      </c>
    </row>
    <row r="36" spans="1:20" x14ac:dyDescent="0.2">
      <c r="A36" s="5">
        <v>45</v>
      </c>
      <c r="B36" s="1">
        <f t="shared" si="3"/>
        <v>2.097567579081788</v>
      </c>
      <c r="C36" s="5">
        <f t="shared" si="4"/>
        <v>50175.785508255678</v>
      </c>
      <c r="D36" s="5">
        <f t="shared" si="5"/>
        <v>48204.965734285099</v>
      </c>
      <c r="E36" s="5">
        <f t="shared" si="6"/>
        <v>38704.965734285099</v>
      </c>
      <c r="F36" s="5">
        <f t="shared" si="7"/>
        <v>13359.417885672596</v>
      </c>
      <c r="G36" s="5">
        <f t="shared" si="8"/>
        <v>34845.547848612507</v>
      </c>
      <c r="H36" s="22">
        <f t="shared" si="9"/>
        <v>22578.891480297327</v>
      </c>
      <c r="I36" s="5">
        <f t="shared" si="10"/>
        <v>56137.442514532886</v>
      </c>
      <c r="J36" s="26">
        <f t="shared" si="0"/>
        <v>0.18176130497572318</v>
      </c>
      <c r="L36" s="22">
        <f t="shared" si="11"/>
        <v>90791.94120571707</v>
      </c>
      <c r="M36" s="5">
        <f>scrimecost*Meta!O33</f>
        <v>2196.11</v>
      </c>
      <c r="N36" s="5">
        <f>L36-Grade8!L36</f>
        <v>2384.4551445230609</v>
      </c>
      <c r="O36" s="5">
        <f>Grade8!M36-M36</f>
        <v>110.28499999999985</v>
      </c>
      <c r="P36" s="22">
        <f t="shared" si="12"/>
        <v>276.67754057796344</v>
      </c>
      <c r="S36" s="22">
        <f t="shared" si="1"/>
        <v>2195.5710999320695</v>
      </c>
      <c r="T36" s="22">
        <f t="shared" si="2"/>
        <v>870.889161711616</v>
      </c>
    </row>
    <row r="37" spans="1:20" x14ac:dyDescent="0.2">
      <c r="A37" s="5">
        <v>46</v>
      </c>
      <c r="B37" s="1">
        <f t="shared" ref="B37:B56" si="13">(1+experiencepremium)^(A37-startage)</f>
        <v>2.1500067685588333</v>
      </c>
      <c r="C37" s="5">
        <f t="shared" ref="C37:C56" si="14">pretaxincome*B37/expnorm</f>
        <v>51430.180145962091</v>
      </c>
      <c r="D37" s="5">
        <f t="shared" ref="D37:D56" si="15">IF(A37&lt;startage,1,0)*(C37*(1-initialunempprob))+IF(A37=startage,1,0)*(C37*(1-unempprob))+IF(A37&gt;startage,1,0)*(C37*(1-unempprob)+unempprob*300*52)</f>
        <v>49387.859877642244</v>
      </c>
      <c r="E37" s="5">
        <f t="shared" si="6"/>
        <v>39887.859877642244</v>
      </c>
      <c r="F37" s="5">
        <f t="shared" si="7"/>
        <v>13863.922237814417</v>
      </c>
      <c r="G37" s="5">
        <f t="shared" si="8"/>
        <v>35523.937639827825</v>
      </c>
      <c r="H37" s="22">
        <f t="shared" ref="H37:H56" si="16">benefits*B37/expnorm</f>
        <v>23143.363767304767</v>
      </c>
      <c r="I37" s="5">
        <f t="shared" ref="I37:I56" si="17">G37+IF(A37&lt;startage,1,0)*(H37*(1-initialunempprob))+IF(A37&gt;=startage,1,0)*(H37*(1-unempprob))</f>
        <v>57348.129672396215</v>
      </c>
      <c r="J37" s="26">
        <f t="shared" ref="J37:J56" si="18">(F37-(IF(A37&gt;startage,1,0)*(unempprob*300*52)))/(IF(A37&lt;startage,1,0)*((C37+H37)*(1-initialunempprob))+IF(A37&gt;=startage,1,0)*((C37+H37)*(1-unempprob)))</f>
        <v>0.18450221919868598</v>
      </c>
      <c r="L37" s="22">
        <f t="shared" ref="L37:L56" si="19">(sincome+sbenefits)*(1-sunemp)*B37/expnorm</f>
        <v>93061.739735860028</v>
      </c>
      <c r="M37" s="5">
        <f>scrimecost*Meta!O34</f>
        <v>2196.11</v>
      </c>
      <c r="N37" s="5">
        <f>L37-Grade8!L37</f>
        <v>2444.0665231361781</v>
      </c>
      <c r="O37" s="5">
        <f>Grade8!M37-M37</f>
        <v>110.28499999999985</v>
      </c>
      <c r="P37" s="22">
        <f t="shared" si="12"/>
        <v>284.6891700450808</v>
      </c>
      <c r="S37" s="22">
        <f t="shared" ref="S37:S68" si="20">IF(A37&lt;startage,1,0)*(N37-Q37-R37)+IF(A37&gt;=startage,1,0)*completionprob*(N37*spart+O37+P37)</f>
        <v>2248.8461539704435</v>
      </c>
      <c r="T37" s="22">
        <f t="shared" ref="T37:T68" si="21">S37/sreturn^(A37-startage+1)</f>
        <v>865.8063834947078</v>
      </c>
    </row>
    <row r="38" spans="1:20" x14ac:dyDescent="0.2">
      <c r="A38" s="5">
        <v>47</v>
      </c>
      <c r="B38" s="1">
        <f t="shared" si="13"/>
        <v>2.2037569377728037</v>
      </c>
      <c r="C38" s="5">
        <f t="shared" si="14"/>
        <v>52715.934649611132</v>
      </c>
      <c r="D38" s="5">
        <f t="shared" si="15"/>
        <v>50600.326374583296</v>
      </c>
      <c r="E38" s="5">
        <f t="shared" si="6"/>
        <v>41100.326374583296</v>
      </c>
      <c r="F38" s="5">
        <f t="shared" si="7"/>
        <v>14381.039198759776</v>
      </c>
      <c r="G38" s="5">
        <f t="shared" si="8"/>
        <v>36219.28717582352</v>
      </c>
      <c r="H38" s="22">
        <f t="shared" si="16"/>
        <v>23721.947861487381</v>
      </c>
      <c r="I38" s="5">
        <f t="shared" si="17"/>
        <v>58589.084009206119</v>
      </c>
      <c r="J38" s="26">
        <f t="shared" si="18"/>
        <v>0.18717628185523499</v>
      </c>
      <c r="L38" s="22">
        <f t="shared" si="19"/>
        <v>95388.283229256514</v>
      </c>
      <c r="M38" s="5">
        <f>scrimecost*Meta!O35</f>
        <v>2196.11</v>
      </c>
      <c r="N38" s="5">
        <f>L38-Grade8!L38</f>
        <v>2505.1681862145779</v>
      </c>
      <c r="O38" s="5">
        <f>Grade8!M38-M38</f>
        <v>110.28499999999985</v>
      </c>
      <c r="P38" s="22">
        <f t="shared" ref="P38:P56" si="22">(spart-initialspart)*(L38*J38+nptrans)</f>
        <v>292.90109024887585</v>
      </c>
      <c r="S38" s="22">
        <f t="shared" si="20"/>
        <v>2303.4530843597413</v>
      </c>
      <c r="T38" s="22">
        <f t="shared" si="21"/>
        <v>860.76790676220378</v>
      </c>
    </row>
    <row r="39" spans="1:20" x14ac:dyDescent="0.2">
      <c r="A39" s="5">
        <v>48</v>
      </c>
      <c r="B39" s="1">
        <f t="shared" si="13"/>
        <v>2.2588508612171236</v>
      </c>
      <c r="C39" s="5">
        <f t="shared" si="14"/>
        <v>54033.8330158514</v>
      </c>
      <c r="D39" s="5">
        <f t="shared" si="15"/>
        <v>51843.104533947866</v>
      </c>
      <c r="E39" s="5">
        <f t="shared" si="6"/>
        <v>42343.104533947866</v>
      </c>
      <c r="F39" s="5">
        <f t="shared" si="7"/>
        <v>14911.084083728765</v>
      </c>
      <c r="G39" s="5">
        <f t="shared" si="8"/>
        <v>36932.020450219105</v>
      </c>
      <c r="H39" s="22">
        <f t="shared" si="16"/>
        <v>24314.996558024563</v>
      </c>
      <c r="I39" s="5">
        <f t="shared" si="17"/>
        <v>59861.062204436268</v>
      </c>
      <c r="J39" s="26">
        <f t="shared" si="18"/>
        <v>0.18978512347138038</v>
      </c>
      <c r="L39" s="22">
        <f t="shared" si="19"/>
        <v>97772.990309987916</v>
      </c>
      <c r="M39" s="5">
        <f>scrimecost*Meta!O36</f>
        <v>2196.11</v>
      </c>
      <c r="N39" s="5">
        <f>L39-Grade8!L39</f>
        <v>2567.7973908699205</v>
      </c>
      <c r="O39" s="5">
        <f>Grade8!M39-M39</f>
        <v>110.28499999999985</v>
      </c>
      <c r="P39" s="22">
        <f t="shared" si="22"/>
        <v>301.31830845776585</v>
      </c>
      <c r="S39" s="22">
        <f t="shared" si="20"/>
        <v>2359.4251880087591</v>
      </c>
      <c r="T39" s="22">
        <f t="shared" si="21"/>
        <v>855.77296783011798</v>
      </c>
    </row>
    <row r="40" spans="1:20" x14ac:dyDescent="0.2">
      <c r="A40" s="5">
        <v>49</v>
      </c>
      <c r="B40" s="1">
        <f t="shared" si="13"/>
        <v>2.3153221327475517</v>
      </c>
      <c r="C40" s="5">
        <f t="shared" si="14"/>
        <v>55384.678841247689</v>
      </c>
      <c r="D40" s="5">
        <f t="shared" si="15"/>
        <v>53116.952147296564</v>
      </c>
      <c r="E40" s="5">
        <f t="shared" si="6"/>
        <v>43616.952147296564</v>
      </c>
      <c r="F40" s="5">
        <f t="shared" si="7"/>
        <v>15454.380090821984</v>
      </c>
      <c r="G40" s="5">
        <f t="shared" si="8"/>
        <v>37662.572056474579</v>
      </c>
      <c r="H40" s="22">
        <f t="shared" si="16"/>
        <v>24922.871471975177</v>
      </c>
      <c r="I40" s="5">
        <f t="shared" si="17"/>
        <v>61164.839854547172</v>
      </c>
      <c r="J40" s="26">
        <f t="shared" si="18"/>
        <v>0.19233033480420514</v>
      </c>
      <c r="L40" s="22">
        <f t="shared" si="19"/>
        <v>100217.31506773763</v>
      </c>
      <c r="M40" s="5">
        <f>scrimecost*Meta!O37</f>
        <v>2196.11</v>
      </c>
      <c r="N40" s="5">
        <f>L40-Grade8!L40</f>
        <v>2631.9923256417096</v>
      </c>
      <c r="O40" s="5">
        <f>Grade8!M40-M40</f>
        <v>110.28499999999985</v>
      </c>
      <c r="P40" s="22">
        <f t="shared" si="22"/>
        <v>309.94595712187811</v>
      </c>
      <c r="S40" s="22">
        <f t="shared" si="20"/>
        <v>2416.7965942490505</v>
      </c>
      <c r="T40" s="22">
        <f t="shared" si="21"/>
        <v>850.82082270033902</v>
      </c>
    </row>
    <row r="41" spans="1:20" x14ac:dyDescent="0.2">
      <c r="A41" s="5">
        <v>50</v>
      </c>
      <c r="B41" s="1">
        <f t="shared" si="13"/>
        <v>2.3732051860662402</v>
      </c>
      <c r="C41" s="5">
        <f t="shared" si="14"/>
        <v>56769.29581227887</v>
      </c>
      <c r="D41" s="5">
        <f t="shared" si="15"/>
        <v>54422.645950978971</v>
      </c>
      <c r="E41" s="5">
        <f t="shared" si="6"/>
        <v>44922.645950978971</v>
      </c>
      <c r="F41" s="5">
        <f t="shared" si="7"/>
        <v>16011.258498092531</v>
      </c>
      <c r="G41" s="5">
        <f t="shared" si="8"/>
        <v>38411.38745288644</v>
      </c>
      <c r="H41" s="22">
        <f t="shared" si="16"/>
        <v>25545.94325877455</v>
      </c>
      <c r="I41" s="5">
        <f t="shared" si="17"/>
        <v>62501.211945910836</v>
      </c>
      <c r="J41" s="26">
        <f t="shared" si="18"/>
        <v>0.19481346781183909</v>
      </c>
      <c r="L41" s="22">
        <f t="shared" si="19"/>
        <v>102722.74794443104</v>
      </c>
      <c r="M41" s="5">
        <f>scrimecost*Meta!O38</f>
        <v>1589.26</v>
      </c>
      <c r="N41" s="5">
        <f>L41-Grade8!L41</f>
        <v>2697.7921337827138</v>
      </c>
      <c r="O41" s="5">
        <f>Grade8!M41-M41</f>
        <v>79.809999999999945</v>
      </c>
      <c r="P41" s="22">
        <f t="shared" si="22"/>
        <v>318.78929700259323</v>
      </c>
      <c r="S41" s="22">
        <f t="shared" si="20"/>
        <v>2446.0110606452877</v>
      </c>
      <c r="T41" s="22">
        <f t="shared" si="21"/>
        <v>835.79945544806003</v>
      </c>
    </row>
    <row r="42" spans="1:20" x14ac:dyDescent="0.2">
      <c r="A42" s="5">
        <v>51</v>
      </c>
      <c r="B42" s="1">
        <f t="shared" si="13"/>
        <v>2.4325353157178964</v>
      </c>
      <c r="C42" s="5">
        <f t="shared" si="14"/>
        <v>58188.528207585849</v>
      </c>
      <c r="D42" s="5">
        <f t="shared" si="15"/>
        <v>55760.982099753448</v>
      </c>
      <c r="E42" s="5">
        <f t="shared" si="6"/>
        <v>46260.982099753448</v>
      </c>
      <c r="F42" s="5">
        <f t="shared" si="7"/>
        <v>16582.058865544845</v>
      </c>
      <c r="G42" s="5">
        <f t="shared" si="8"/>
        <v>39178.923234208603</v>
      </c>
      <c r="H42" s="22">
        <f t="shared" si="16"/>
        <v>26184.591840243917</v>
      </c>
      <c r="I42" s="5">
        <f t="shared" si="17"/>
        <v>63870.993339558612</v>
      </c>
      <c r="J42" s="26">
        <f t="shared" si="18"/>
        <v>0.19723603659977459</v>
      </c>
      <c r="L42" s="22">
        <f t="shared" si="19"/>
        <v>105290.81664304182</v>
      </c>
      <c r="M42" s="5">
        <f>scrimecost*Meta!O39</f>
        <v>1589.26</v>
      </c>
      <c r="N42" s="5">
        <f>L42-Grade8!L42</f>
        <v>2765.2369371272944</v>
      </c>
      <c r="O42" s="5">
        <f>Grade8!M42-M42</f>
        <v>79.809999999999945</v>
      </c>
      <c r="P42" s="22">
        <f t="shared" si="22"/>
        <v>327.85372038032614</v>
      </c>
      <c r="S42" s="22">
        <f t="shared" si="20"/>
        <v>2506.2868943264702</v>
      </c>
      <c r="T42" s="22">
        <f t="shared" si="21"/>
        <v>831.22789246319905</v>
      </c>
    </row>
    <row r="43" spans="1:20" x14ac:dyDescent="0.2">
      <c r="A43" s="5">
        <v>52</v>
      </c>
      <c r="B43" s="1">
        <f t="shared" si="13"/>
        <v>2.4933486986108435</v>
      </c>
      <c r="C43" s="5">
        <f t="shared" si="14"/>
        <v>59643.241412775489</v>
      </c>
      <c r="D43" s="5">
        <f t="shared" si="15"/>
        <v>57132.776652247281</v>
      </c>
      <c r="E43" s="5">
        <f t="shared" si="6"/>
        <v>47632.776652247281</v>
      </c>
      <c r="F43" s="5">
        <f t="shared" si="7"/>
        <v>17167.129242183466</v>
      </c>
      <c r="G43" s="5">
        <f t="shared" si="8"/>
        <v>39965.647410063815</v>
      </c>
      <c r="H43" s="22">
        <f t="shared" si="16"/>
        <v>26839.206636250012</v>
      </c>
      <c r="I43" s="5">
        <f t="shared" si="17"/>
        <v>65275.019268047574</v>
      </c>
      <c r="J43" s="26">
        <f t="shared" si="18"/>
        <v>0.19959951834410197</v>
      </c>
      <c r="L43" s="22">
        <f t="shared" si="19"/>
        <v>107923.08705911787</v>
      </c>
      <c r="M43" s="5">
        <f>scrimecost*Meta!O40</f>
        <v>1589.26</v>
      </c>
      <c r="N43" s="5">
        <f>L43-Grade8!L43</f>
        <v>2834.3678605555033</v>
      </c>
      <c r="O43" s="5">
        <f>Grade8!M43-M43</f>
        <v>79.809999999999945</v>
      </c>
      <c r="P43" s="22">
        <f t="shared" si="22"/>
        <v>337.14475434250244</v>
      </c>
      <c r="S43" s="22">
        <f t="shared" si="20"/>
        <v>2568.069623849693</v>
      </c>
      <c r="T43" s="22">
        <f t="shared" si="21"/>
        <v>826.68827117843909</v>
      </c>
    </row>
    <row r="44" spans="1:20" x14ac:dyDescent="0.2">
      <c r="A44" s="5">
        <v>53</v>
      </c>
      <c r="B44" s="1">
        <f t="shared" si="13"/>
        <v>2.555682416076114</v>
      </c>
      <c r="C44" s="5">
        <f t="shared" si="14"/>
        <v>61134.322448094856</v>
      </c>
      <c r="D44" s="5">
        <f t="shared" si="15"/>
        <v>58538.866068553441</v>
      </c>
      <c r="E44" s="5">
        <f t="shared" si="6"/>
        <v>49038.866068553441</v>
      </c>
      <c r="F44" s="5">
        <f t="shared" si="7"/>
        <v>17766.826378238042</v>
      </c>
      <c r="G44" s="5">
        <f t="shared" si="8"/>
        <v>40772.039690315403</v>
      </c>
      <c r="H44" s="22">
        <f t="shared" si="16"/>
        <v>27510.186802156259</v>
      </c>
      <c r="I44" s="5">
        <f t="shared" si="17"/>
        <v>66714.145844748753</v>
      </c>
      <c r="J44" s="26">
        <f t="shared" si="18"/>
        <v>0.20190535419222616</v>
      </c>
      <c r="L44" s="22">
        <f t="shared" si="19"/>
        <v>110621.16423559577</v>
      </c>
      <c r="M44" s="5">
        <f>scrimecost*Meta!O41</f>
        <v>1589.26</v>
      </c>
      <c r="N44" s="5">
        <f>L44-Grade8!L44</f>
        <v>2905.2270570693363</v>
      </c>
      <c r="O44" s="5">
        <f>Grade8!M44-M44</f>
        <v>79.809999999999945</v>
      </c>
      <c r="P44" s="22">
        <f t="shared" si="22"/>
        <v>346.66806415373293</v>
      </c>
      <c r="S44" s="22">
        <f t="shared" si="20"/>
        <v>2631.396921610934</v>
      </c>
      <c r="T44" s="22">
        <f t="shared" si="21"/>
        <v>822.18017749319176</v>
      </c>
    </row>
    <row r="45" spans="1:20" x14ac:dyDescent="0.2">
      <c r="A45" s="5">
        <v>54</v>
      </c>
      <c r="B45" s="1">
        <f t="shared" si="13"/>
        <v>2.6195744764780171</v>
      </c>
      <c r="C45" s="5">
        <f t="shared" si="14"/>
        <v>62662.680509297235</v>
      </c>
      <c r="D45" s="5">
        <f t="shared" si="15"/>
        <v>59980.10772026729</v>
      </c>
      <c r="E45" s="5">
        <f t="shared" si="6"/>
        <v>50480.10772026729</v>
      </c>
      <c r="F45" s="5">
        <f t="shared" si="7"/>
        <v>18381.515942694001</v>
      </c>
      <c r="G45" s="5">
        <f t="shared" si="8"/>
        <v>41598.591777573289</v>
      </c>
      <c r="H45" s="22">
        <f t="shared" si="16"/>
        <v>28197.941472210165</v>
      </c>
      <c r="I45" s="5">
        <f t="shared" si="17"/>
        <v>68189.25058586747</v>
      </c>
      <c r="J45" s="26">
        <f t="shared" si="18"/>
        <v>0.20415495014161575</v>
      </c>
      <c r="L45" s="22">
        <f t="shared" si="19"/>
        <v>113386.69334148569</v>
      </c>
      <c r="M45" s="5">
        <f>scrimecost*Meta!O42</f>
        <v>1589.26</v>
      </c>
      <c r="N45" s="5">
        <f>L45-Grade8!L45</f>
        <v>2977.8577334961155</v>
      </c>
      <c r="O45" s="5">
        <f>Grade8!M45-M45</f>
        <v>79.809999999999945</v>
      </c>
      <c r="P45" s="22">
        <f t="shared" si="22"/>
        <v>356.42945671024455</v>
      </c>
      <c r="S45" s="22">
        <f t="shared" si="20"/>
        <v>2696.3074018162838</v>
      </c>
      <c r="T45" s="22">
        <f t="shared" si="21"/>
        <v>817.7032067891455</v>
      </c>
    </row>
    <row r="46" spans="1:20" x14ac:dyDescent="0.2">
      <c r="A46" s="5">
        <v>55</v>
      </c>
      <c r="B46" s="1">
        <f t="shared" si="13"/>
        <v>2.6850638383899672</v>
      </c>
      <c r="C46" s="5">
        <f t="shared" si="14"/>
        <v>64229.247522029655</v>
      </c>
      <c r="D46" s="5">
        <f t="shared" si="15"/>
        <v>61457.380413273961</v>
      </c>
      <c r="E46" s="5">
        <f t="shared" si="6"/>
        <v>51957.380413273961</v>
      </c>
      <c r="F46" s="5">
        <f t="shared" si="7"/>
        <v>19011.572746261343</v>
      </c>
      <c r="G46" s="5">
        <f t="shared" si="8"/>
        <v>42445.807667012617</v>
      </c>
      <c r="H46" s="22">
        <f t="shared" si="16"/>
        <v>28902.890009015417</v>
      </c>
      <c r="I46" s="5">
        <f t="shared" si="17"/>
        <v>69701.232945514159</v>
      </c>
      <c r="J46" s="26">
        <f t="shared" si="18"/>
        <v>0.20634967789711767</v>
      </c>
      <c r="L46" s="22">
        <f t="shared" si="19"/>
        <v>116221.36067502282</v>
      </c>
      <c r="M46" s="5">
        <f>scrimecost*Meta!O43</f>
        <v>950.34999999999991</v>
      </c>
      <c r="N46" s="5">
        <f>L46-Grade8!L46</f>
        <v>3052.3041768335097</v>
      </c>
      <c r="O46" s="5">
        <f>Grade8!M46-M46</f>
        <v>47.725000000000023</v>
      </c>
      <c r="P46" s="22">
        <f t="shared" si="22"/>
        <v>366.43488408066872</v>
      </c>
      <c r="S46" s="22">
        <f t="shared" si="20"/>
        <v>2731.6861090267248</v>
      </c>
      <c r="T46" s="22">
        <f t="shared" si="21"/>
        <v>804.08645917257707</v>
      </c>
    </row>
    <row r="47" spans="1:20" x14ac:dyDescent="0.2">
      <c r="A47" s="5">
        <v>56</v>
      </c>
      <c r="B47" s="1">
        <f t="shared" si="13"/>
        <v>2.7521904343497163</v>
      </c>
      <c r="C47" s="5">
        <f t="shared" si="14"/>
        <v>65834.978710080395</v>
      </c>
      <c r="D47" s="5">
        <f t="shared" si="15"/>
        <v>62971.584923605806</v>
      </c>
      <c r="E47" s="5">
        <f t="shared" si="6"/>
        <v>53471.584923605806</v>
      </c>
      <c r="F47" s="5">
        <f t="shared" si="7"/>
        <v>19657.380969917875</v>
      </c>
      <c r="G47" s="5">
        <f t="shared" si="8"/>
        <v>43314.203953687931</v>
      </c>
      <c r="H47" s="22">
        <f t="shared" si="16"/>
        <v>29625.462259240801</v>
      </c>
      <c r="I47" s="5">
        <f t="shared" si="17"/>
        <v>71251.014864152006</v>
      </c>
      <c r="J47" s="26">
        <f t="shared" si="18"/>
        <v>0.20849087570736347</v>
      </c>
      <c r="L47" s="22">
        <f t="shared" si="19"/>
        <v>119126.89469189837</v>
      </c>
      <c r="M47" s="5">
        <f>scrimecost*Meta!O44</f>
        <v>950.34999999999991</v>
      </c>
      <c r="N47" s="5">
        <f>L47-Grade8!L47</f>
        <v>3128.6117812543234</v>
      </c>
      <c r="O47" s="5">
        <f>Grade8!M47-M47</f>
        <v>47.725000000000023</v>
      </c>
      <c r="P47" s="22">
        <f t="shared" si="22"/>
        <v>376.69044713535345</v>
      </c>
      <c r="S47" s="22">
        <f t="shared" si="20"/>
        <v>2799.8826822924148</v>
      </c>
      <c r="T47" s="22">
        <f t="shared" si="21"/>
        <v>799.9400599516581</v>
      </c>
    </row>
    <row r="48" spans="1:20" x14ac:dyDescent="0.2">
      <c r="A48" s="5">
        <v>57</v>
      </c>
      <c r="B48" s="1">
        <f t="shared" si="13"/>
        <v>2.8209951952084591</v>
      </c>
      <c r="C48" s="5">
        <f t="shared" si="14"/>
        <v>67480.85317783241</v>
      </c>
      <c r="D48" s="5">
        <f t="shared" si="15"/>
        <v>64523.644546695956</v>
      </c>
      <c r="E48" s="5">
        <f t="shared" si="6"/>
        <v>55023.644546695956</v>
      </c>
      <c r="F48" s="5">
        <f t="shared" si="7"/>
        <v>20319.334399165826</v>
      </c>
      <c r="G48" s="5">
        <f t="shared" si="8"/>
        <v>44204.31014753013</v>
      </c>
      <c r="H48" s="22">
        <f t="shared" si="16"/>
        <v>30366.098815721823</v>
      </c>
      <c r="I48" s="5">
        <f t="shared" si="17"/>
        <v>72839.541330755805</v>
      </c>
      <c r="J48" s="26">
        <f t="shared" si="18"/>
        <v>0.21057984918077402</v>
      </c>
      <c r="L48" s="22">
        <f t="shared" si="19"/>
        <v>122105.06705919583</v>
      </c>
      <c r="M48" s="5">
        <f>scrimecost*Meta!O45</f>
        <v>950.34999999999991</v>
      </c>
      <c r="N48" s="5">
        <f>L48-Grade8!L48</f>
        <v>3206.8270757856662</v>
      </c>
      <c r="O48" s="5">
        <f>Grade8!M48-M48</f>
        <v>47.725000000000023</v>
      </c>
      <c r="P48" s="22">
        <f t="shared" si="22"/>
        <v>387.20239926640539</v>
      </c>
      <c r="S48" s="22">
        <f t="shared" si="20"/>
        <v>2869.7841698897546</v>
      </c>
      <c r="T48" s="22">
        <f t="shared" si="21"/>
        <v>795.81570399291445</v>
      </c>
    </row>
    <row r="49" spans="1:20" x14ac:dyDescent="0.2">
      <c r="A49" s="5">
        <v>58</v>
      </c>
      <c r="B49" s="1">
        <f t="shared" si="13"/>
        <v>2.8915200750886707</v>
      </c>
      <c r="C49" s="5">
        <f t="shared" si="14"/>
        <v>69167.874507278219</v>
      </c>
      <c r="D49" s="5">
        <f t="shared" si="15"/>
        <v>66114.505660363357</v>
      </c>
      <c r="E49" s="5">
        <f t="shared" si="6"/>
        <v>56614.505660363357</v>
      </c>
      <c r="F49" s="5">
        <f t="shared" si="7"/>
        <v>20997.836664144972</v>
      </c>
      <c r="G49" s="5">
        <f t="shared" si="8"/>
        <v>45116.668996218388</v>
      </c>
      <c r="H49" s="22">
        <f t="shared" si="16"/>
        <v>31125.251286114868</v>
      </c>
      <c r="I49" s="5">
        <f t="shared" si="17"/>
        <v>74467.780959024705</v>
      </c>
      <c r="J49" s="26">
        <f t="shared" si="18"/>
        <v>0.21261787208166238</v>
      </c>
      <c r="L49" s="22">
        <f t="shared" si="19"/>
        <v>125157.69373567573</v>
      </c>
      <c r="M49" s="5">
        <f>scrimecost*Meta!O46</f>
        <v>950.34999999999991</v>
      </c>
      <c r="N49" s="5">
        <f>L49-Grade8!L49</f>
        <v>3286.9977526803414</v>
      </c>
      <c r="O49" s="5">
        <f>Grade8!M49-M49</f>
        <v>47.725000000000023</v>
      </c>
      <c r="P49" s="22">
        <f t="shared" si="22"/>
        <v>397.97715020073372</v>
      </c>
      <c r="S49" s="22">
        <f t="shared" si="20"/>
        <v>2941.4331946770653</v>
      </c>
      <c r="T49" s="22">
        <f t="shared" si="21"/>
        <v>791.71325479113398</v>
      </c>
    </row>
    <row r="50" spans="1:20" x14ac:dyDescent="0.2">
      <c r="A50" s="5">
        <v>59</v>
      </c>
      <c r="B50" s="1">
        <f t="shared" si="13"/>
        <v>2.9638080769658868</v>
      </c>
      <c r="C50" s="5">
        <f t="shared" si="14"/>
        <v>70897.071369960162</v>
      </c>
      <c r="D50" s="5">
        <f t="shared" si="15"/>
        <v>67745.13830187243</v>
      </c>
      <c r="E50" s="5">
        <f t="shared" si="6"/>
        <v>58245.13830187243</v>
      </c>
      <c r="F50" s="5">
        <f t="shared" si="7"/>
        <v>21693.30148574859</v>
      </c>
      <c r="G50" s="5">
        <f t="shared" si="8"/>
        <v>46051.83681612384</v>
      </c>
      <c r="H50" s="22">
        <f t="shared" si="16"/>
        <v>31903.382568267731</v>
      </c>
      <c r="I50" s="5">
        <f t="shared" si="17"/>
        <v>76136.726578000307</v>
      </c>
      <c r="J50" s="26">
        <f t="shared" si="18"/>
        <v>0.21460618710691931</v>
      </c>
      <c r="L50" s="22">
        <f t="shared" si="19"/>
        <v>128286.6360790676</v>
      </c>
      <c r="M50" s="5">
        <f>scrimecost*Meta!O47</f>
        <v>950.34999999999991</v>
      </c>
      <c r="N50" s="5">
        <f>L50-Grade8!L50</f>
        <v>3369.1726964973204</v>
      </c>
      <c r="O50" s="5">
        <f>Grade8!M50-M50</f>
        <v>47.725000000000023</v>
      </c>
      <c r="P50" s="22">
        <f t="shared" si="22"/>
        <v>409.02126990842004</v>
      </c>
      <c r="S50" s="22">
        <f t="shared" si="20"/>
        <v>3014.8734450840093</v>
      </c>
      <c r="T50" s="22">
        <f t="shared" si="21"/>
        <v>787.63257723344248</v>
      </c>
    </row>
    <row r="51" spans="1:20" x14ac:dyDescent="0.2">
      <c r="A51" s="5">
        <v>60</v>
      </c>
      <c r="B51" s="1">
        <f t="shared" si="13"/>
        <v>3.0379032788900342</v>
      </c>
      <c r="C51" s="5">
        <f t="shared" si="14"/>
        <v>72669.498154209155</v>
      </c>
      <c r="D51" s="5">
        <f t="shared" si="15"/>
        <v>69416.536759419221</v>
      </c>
      <c r="E51" s="5">
        <f t="shared" si="6"/>
        <v>59916.536759419221</v>
      </c>
      <c r="F51" s="5">
        <f t="shared" si="7"/>
        <v>22406.152927892297</v>
      </c>
      <c r="G51" s="5">
        <f t="shared" si="8"/>
        <v>47010.383831526924</v>
      </c>
      <c r="H51" s="22">
        <f t="shared" si="16"/>
        <v>32700.96713247443</v>
      </c>
      <c r="I51" s="5">
        <f t="shared" si="17"/>
        <v>77847.395837450313</v>
      </c>
      <c r="J51" s="26">
        <f t="shared" si="18"/>
        <v>0.21654600664375526</v>
      </c>
      <c r="L51" s="22">
        <f t="shared" si="19"/>
        <v>131493.80198104429</v>
      </c>
      <c r="M51" s="5">
        <f>scrimecost*Meta!O48</f>
        <v>522.12</v>
      </c>
      <c r="N51" s="5">
        <f>L51-Grade8!L51</f>
        <v>3453.4020139097993</v>
      </c>
      <c r="O51" s="5">
        <f>Grade8!M51-M51</f>
        <v>26.220000000000027</v>
      </c>
      <c r="P51" s="22">
        <f t="shared" si="22"/>
        <v>420.34149260879866</v>
      </c>
      <c r="S51" s="22">
        <f t="shared" si="20"/>
        <v>3069.2683467511861</v>
      </c>
      <c r="T51" s="22">
        <f t="shared" si="21"/>
        <v>778.27862347844393</v>
      </c>
    </row>
    <row r="52" spans="1:20" x14ac:dyDescent="0.2">
      <c r="A52" s="5">
        <v>61</v>
      </c>
      <c r="B52" s="1">
        <f t="shared" si="13"/>
        <v>3.1138508608622844</v>
      </c>
      <c r="C52" s="5">
        <f t="shared" si="14"/>
        <v>74486.23560806438</v>
      </c>
      <c r="D52" s="5">
        <f t="shared" si="15"/>
        <v>71129.720178404707</v>
      </c>
      <c r="E52" s="5">
        <f t="shared" si="6"/>
        <v>61629.720178404707</v>
      </c>
      <c r="F52" s="5">
        <f t="shared" si="7"/>
        <v>23136.825656089608</v>
      </c>
      <c r="G52" s="5">
        <f t="shared" si="8"/>
        <v>47992.894522315095</v>
      </c>
      <c r="H52" s="22">
        <f t="shared" si="16"/>
        <v>33518.491310786281</v>
      </c>
      <c r="I52" s="5">
        <f t="shared" si="17"/>
        <v>79600.831828386552</v>
      </c>
      <c r="J52" s="26">
        <f t="shared" si="18"/>
        <v>0.21843851350896121</v>
      </c>
      <c r="L52" s="22">
        <f t="shared" si="19"/>
        <v>134781.1470305704</v>
      </c>
      <c r="M52" s="5">
        <f>scrimecost*Meta!O49</f>
        <v>522.12</v>
      </c>
      <c r="N52" s="5">
        <f>L52-Grade8!L52</f>
        <v>3539.737064257497</v>
      </c>
      <c r="O52" s="5">
        <f>Grade8!M52-M52</f>
        <v>26.220000000000027</v>
      </c>
      <c r="P52" s="22">
        <f t="shared" si="22"/>
        <v>431.94472087668686</v>
      </c>
      <c r="S52" s="22">
        <f t="shared" si="20"/>
        <v>3146.4265098349706</v>
      </c>
      <c r="T52" s="22">
        <f t="shared" si="21"/>
        <v>774.39669622564702</v>
      </c>
    </row>
    <row r="53" spans="1:20" x14ac:dyDescent="0.2">
      <c r="A53" s="5">
        <v>62</v>
      </c>
      <c r="B53" s="1">
        <f t="shared" si="13"/>
        <v>3.1916971323838421</v>
      </c>
      <c r="C53" s="5">
        <f t="shared" si="14"/>
        <v>76348.391498266006</v>
      </c>
      <c r="D53" s="5">
        <f t="shared" si="15"/>
        <v>72885.733182864831</v>
      </c>
      <c r="E53" s="5">
        <f t="shared" si="6"/>
        <v>63385.733182864831</v>
      </c>
      <c r="F53" s="5">
        <f t="shared" si="7"/>
        <v>23885.76520249185</v>
      </c>
      <c r="G53" s="5">
        <f t="shared" si="8"/>
        <v>48999.967980372981</v>
      </c>
      <c r="H53" s="22">
        <f t="shared" si="16"/>
        <v>34356.45359355594</v>
      </c>
      <c r="I53" s="5">
        <f t="shared" si="17"/>
        <v>81398.103719096223</v>
      </c>
      <c r="J53" s="26">
        <f t="shared" si="18"/>
        <v>0.22028486167013764</v>
      </c>
      <c r="L53" s="22">
        <f t="shared" si="19"/>
        <v>138150.67570633464</v>
      </c>
      <c r="M53" s="5">
        <f>scrimecost*Meta!O50</f>
        <v>522.12</v>
      </c>
      <c r="N53" s="5">
        <f>L53-Grade8!L53</f>
        <v>3628.2304908639344</v>
      </c>
      <c r="O53" s="5">
        <f>Grade8!M53-M53</f>
        <v>26.220000000000027</v>
      </c>
      <c r="P53" s="22">
        <f t="shared" si="22"/>
        <v>443.8380298512721</v>
      </c>
      <c r="S53" s="22">
        <f t="shared" si="20"/>
        <v>3225.5136269958848</v>
      </c>
      <c r="T53" s="22">
        <f t="shared" si="21"/>
        <v>770.53157038542213</v>
      </c>
    </row>
    <row r="54" spans="1:20" x14ac:dyDescent="0.2">
      <c r="A54" s="5">
        <v>63</v>
      </c>
      <c r="B54" s="1">
        <f t="shared" si="13"/>
        <v>3.2714895606934378</v>
      </c>
      <c r="C54" s="5">
        <f t="shared" si="14"/>
        <v>78257.101285722645</v>
      </c>
      <c r="D54" s="5">
        <f t="shared" si="15"/>
        <v>74685.646512436448</v>
      </c>
      <c r="E54" s="5">
        <f t="shared" si="6"/>
        <v>65185.646512436448</v>
      </c>
      <c r="F54" s="5">
        <f t="shared" si="7"/>
        <v>24653.428237554144</v>
      </c>
      <c r="G54" s="5">
        <f t="shared" si="8"/>
        <v>50032.218274882303</v>
      </c>
      <c r="H54" s="22">
        <f t="shared" si="16"/>
        <v>35215.364933394842</v>
      </c>
      <c r="I54" s="5">
        <f t="shared" si="17"/>
        <v>83240.307407073647</v>
      </c>
      <c r="J54" s="26">
        <f t="shared" si="18"/>
        <v>0.22208617694933419</v>
      </c>
      <c r="L54" s="22">
        <f t="shared" si="19"/>
        <v>141604.44259899302</v>
      </c>
      <c r="M54" s="5">
        <f>scrimecost*Meta!O51</f>
        <v>522.12</v>
      </c>
      <c r="N54" s="5">
        <f>L54-Grade8!L54</f>
        <v>3718.9362531355582</v>
      </c>
      <c r="O54" s="5">
        <f>Grade8!M54-M54</f>
        <v>26.220000000000027</v>
      </c>
      <c r="P54" s="22">
        <f t="shared" si="22"/>
        <v>456.02867155022199</v>
      </c>
      <c r="S54" s="22">
        <f t="shared" si="20"/>
        <v>3306.5779220858426</v>
      </c>
      <c r="T54" s="22">
        <f t="shared" si="21"/>
        <v>766.68325053726915</v>
      </c>
    </row>
    <row r="55" spans="1:20" x14ac:dyDescent="0.2">
      <c r="A55" s="5">
        <v>64</v>
      </c>
      <c r="B55" s="1">
        <f t="shared" si="13"/>
        <v>3.3532767997107733</v>
      </c>
      <c r="C55" s="5">
        <f t="shared" si="14"/>
        <v>80213.528817865707</v>
      </c>
      <c r="D55" s="5">
        <f t="shared" si="15"/>
        <v>76530.557675247357</v>
      </c>
      <c r="E55" s="5">
        <f t="shared" si="6"/>
        <v>67030.557675247357</v>
      </c>
      <c r="F55" s="5">
        <f t="shared" si="7"/>
        <v>25440.282848493</v>
      </c>
      <c r="G55" s="5">
        <f t="shared" si="8"/>
        <v>51090.274826754357</v>
      </c>
      <c r="H55" s="22">
        <f t="shared" si="16"/>
        <v>36095.749056729699</v>
      </c>
      <c r="I55" s="5">
        <f t="shared" si="17"/>
        <v>85128.566187250457</v>
      </c>
      <c r="J55" s="26">
        <f t="shared" si="18"/>
        <v>0.22384355770952602</v>
      </c>
      <c r="L55" s="22">
        <f t="shared" si="19"/>
        <v>145144.55366396782</v>
      </c>
      <c r="M55" s="5">
        <f>scrimecost*Meta!O52</f>
        <v>522.12</v>
      </c>
      <c r="N55" s="5">
        <f>L55-Grade8!L55</f>
        <v>3811.9096594639122</v>
      </c>
      <c r="O55" s="5">
        <f>Grade8!M55-M55</f>
        <v>26.220000000000027</v>
      </c>
      <c r="P55" s="22">
        <f t="shared" si="22"/>
        <v>468.52407929164571</v>
      </c>
      <c r="S55" s="22">
        <f t="shared" si="20"/>
        <v>3389.6688245530027</v>
      </c>
      <c r="T55" s="22">
        <f t="shared" si="21"/>
        <v>762.85173857325185</v>
      </c>
    </row>
    <row r="56" spans="1:20" x14ac:dyDescent="0.2">
      <c r="A56" s="5">
        <v>65</v>
      </c>
      <c r="B56" s="1">
        <f t="shared" si="13"/>
        <v>3.4371087197035428</v>
      </c>
      <c r="C56" s="5">
        <f t="shared" si="14"/>
        <v>82218.867038312354</v>
      </c>
      <c r="D56" s="5">
        <f t="shared" si="15"/>
        <v>78421.591617128535</v>
      </c>
      <c r="E56" s="5">
        <f t="shared" si="6"/>
        <v>68921.591617128535</v>
      </c>
      <c r="F56" s="5">
        <f t="shared" si="7"/>
        <v>26246.80882470532</v>
      </c>
      <c r="G56" s="5">
        <f t="shared" si="8"/>
        <v>52174.782792423212</v>
      </c>
      <c r="H56" s="22">
        <f t="shared" si="16"/>
        <v>36998.142783147945</v>
      </c>
      <c r="I56" s="5">
        <f t="shared" si="17"/>
        <v>87064.03143693172</v>
      </c>
      <c r="J56" s="26">
        <f t="shared" si="18"/>
        <v>0.22555807552434717</v>
      </c>
      <c r="L56" s="22">
        <f t="shared" si="19"/>
        <v>148773.16750556702</v>
      </c>
      <c r="M56" s="5">
        <f>scrimecost*Meta!O53</f>
        <v>164.88</v>
      </c>
      <c r="N56" s="5">
        <f>L56-Grade8!L56</f>
        <v>3907.2074009505159</v>
      </c>
      <c r="O56" s="5">
        <f>Grade8!M56-M56</f>
        <v>8.2800000000000011</v>
      </c>
      <c r="P56" s="22">
        <f t="shared" si="22"/>
        <v>481.3318722266049</v>
      </c>
      <c r="S56" s="22">
        <f t="shared" si="20"/>
        <v>3457.4172595818732</v>
      </c>
      <c r="T56" s="22">
        <f t="shared" si="21"/>
        <v>755.23189766987593</v>
      </c>
    </row>
    <row r="57" spans="1:20" x14ac:dyDescent="0.2">
      <c r="A57" s="5">
        <v>66</v>
      </c>
      <c r="C57" s="5"/>
      <c r="H57" s="21"/>
      <c r="I57" s="5"/>
      <c r="M57" s="5">
        <f>scrimecost*Meta!O54</f>
        <v>164.88</v>
      </c>
      <c r="N57" s="5">
        <f>L57-Grade8!L57</f>
        <v>0</v>
      </c>
      <c r="O57" s="5">
        <f>Grade8!M57-M57</f>
        <v>8.2800000000000011</v>
      </c>
      <c r="S57" s="22">
        <f t="shared" si="20"/>
        <v>8.0398800000000001</v>
      </c>
      <c r="T57" s="22">
        <f t="shared" si="21"/>
        <v>1.7046049796072744</v>
      </c>
    </row>
    <row r="58" spans="1:20" x14ac:dyDescent="0.2">
      <c r="A58" s="5">
        <v>67</v>
      </c>
      <c r="C58" s="5"/>
      <c r="H58" s="21"/>
      <c r="I58" s="5"/>
      <c r="M58" s="5">
        <f>scrimecost*Meta!O55</f>
        <v>164.88</v>
      </c>
      <c r="N58" s="5">
        <f>L58-Grade8!L58</f>
        <v>0</v>
      </c>
      <c r="O58" s="5">
        <f>Grade8!M58-M58</f>
        <v>8.2800000000000011</v>
      </c>
      <c r="S58" s="22">
        <f t="shared" si="20"/>
        <v>8.0398800000000001</v>
      </c>
      <c r="T58" s="22">
        <f t="shared" si="21"/>
        <v>1.654510052600328</v>
      </c>
    </row>
    <row r="59" spans="1:20" x14ac:dyDescent="0.2">
      <c r="A59" s="5">
        <v>68</v>
      </c>
      <c r="H59" s="21"/>
      <c r="I59" s="5"/>
      <c r="M59" s="5">
        <f>scrimecost*Meta!O56</f>
        <v>164.88</v>
      </c>
      <c r="N59" s="5">
        <f>L59-Grade8!L59</f>
        <v>0</v>
      </c>
      <c r="O59" s="5">
        <f>Grade8!M59-M59</f>
        <v>8.2800000000000011</v>
      </c>
      <c r="S59" s="22">
        <f t="shared" si="20"/>
        <v>8.0398800000000001</v>
      </c>
      <c r="T59" s="22">
        <f t="shared" si="21"/>
        <v>1.6058873151867792</v>
      </c>
    </row>
    <row r="60" spans="1:20" x14ac:dyDescent="0.2">
      <c r="A60" s="5">
        <v>69</v>
      </c>
      <c r="H60" s="21"/>
      <c r="I60" s="5"/>
      <c r="M60" s="5">
        <f>scrimecost*Meta!O57</f>
        <v>164.88</v>
      </c>
      <c r="N60" s="5">
        <f>L60-Grade8!L60</f>
        <v>0</v>
      </c>
      <c r="O60" s="5">
        <f>Grade8!M60-M60</f>
        <v>8.2800000000000011</v>
      </c>
      <c r="S60" s="22">
        <f t="shared" si="20"/>
        <v>8.0398800000000001</v>
      </c>
      <c r="T60" s="22">
        <f t="shared" si="21"/>
        <v>1.5586935026624271</v>
      </c>
    </row>
    <row r="61" spans="1:20" x14ac:dyDescent="0.2">
      <c r="A61" s="5">
        <v>70</v>
      </c>
      <c r="H61" s="21"/>
      <c r="I61" s="5"/>
      <c r="M61" s="5">
        <f>scrimecost*Meta!O58</f>
        <v>164.88</v>
      </c>
      <c r="N61" s="5">
        <f>L61-Grade8!L61</f>
        <v>0</v>
      </c>
      <c r="O61" s="5">
        <f>Grade8!M61-M61</f>
        <v>8.2800000000000011</v>
      </c>
      <c r="S61" s="22">
        <f t="shared" si="20"/>
        <v>8.0398800000000001</v>
      </c>
      <c r="T61" s="22">
        <f t="shared" si="21"/>
        <v>1.5128866217860937</v>
      </c>
    </row>
    <row r="62" spans="1:20" x14ac:dyDescent="0.2">
      <c r="A62" s="5">
        <v>71</v>
      </c>
      <c r="H62" s="21"/>
      <c r="I62" s="5"/>
      <c r="M62" s="5">
        <f>scrimecost*Meta!O59</f>
        <v>164.88</v>
      </c>
      <c r="N62" s="5">
        <f>L62-Grade8!L62</f>
        <v>0</v>
      </c>
      <c r="O62" s="5">
        <f>Grade8!M62-M62</f>
        <v>8.2800000000000011</v>
      </c>
      <c r="S62" s="22">
        <f t="shared" si="20"/>
        <v>8.0398800000000001</v>
      </c>
      <c r="T62" s="22">
        <f t="shared" si="21"/>
        <v>1.4684259134138697</v>
      </c>
    </row>
    <row r="63" spans="1:20" x14ac:dyDescent="0.2">
      <c r="A63" s="5">
        <v>72</v>
      </c>
      <c r="H63" s="21"/>
      <c r="M63" s="5">
        <f>scrimecost*Meta!O60</f>
        <v>164.88</v>
      </c>
      <c r="N63" s="5">
        <f>L63-Grade8!L63</f>
        <v>0</v>
      </c>
      <c r="O63" s="5">
        <f>Grade8!M63-M63</f>
        <v>8.2800000000000011</v>
      </c>
      <c r="S63" s="22">
        <f t="shared" si="20"/>
        <v>8.0398800000000001</v>
      </c>
      <c r="T63" s="22">
        <f t="shared" si="21"/>
        <v>1.4252718162314695</v>
      </c>
    </row>
    <row r="64" spans="1:20" x14ac:dyDescent="0.2">
      <c r="A64" s="5">
        <v>73</v>
      </c>
      <c r="H64" s="21"/>
      <c r="M64" s="5">
        <f>scrimecost*Meta!O61</f>
        <v>164.88</v>
      </c>
      <c r="N64" s="5">
        <f>L64-Grade8!L64</f>
        <v>0</v>
      </c>
      <c r="O64" s="5">
        <f>Grade8!M64-M64</f>
        <v>8.2800000000000011</v>
      </c>
      <c r="S64" s="22">
        <f t="shared" si="20"/>
        <v>8.0398800000000001</v>
      </c>
      <c r="T64" s="22">
        <f t="shared" si="21"/>
        <v>1.3833859315524146</v>
      </c>
    </row>
    <row r="65" spans="1:20" x14ac:dyDescent="0.2">
      <c r="A65" s="5">
        <v>74</v>
      </c>
      <c r="H65" s="21"/>
      <c r="M65" s="5">
        <f>scrimecost*Meta!O62</f>
        <v>164.88</v>
      </c>
      <c r="N65" s="5">
        <f>L65-Grade8!L65</f>
        <v>0</v>
      </c>
      <c r="O65" s="5">
        <f>Grade8!M65-M65</f>
        <v>8.2800000000000011</v>
      </c>
      <c r="S65" s="22">
        <f t="shared" si="20"/>
        <v>8.0398800000000001</v>
      </c>
      <c r="T65" s="22">
        <f t="shared" si="21"/>
        <v>1.3427309891507324</v>
      </c>
    </row>
    <row r="66" spans="1:20" x14ac:dyDescent="0.2">
      <c r="A66" s="5">
        <v>75</v>
      </c>
      <c r="H66" s="21"/>
      <c r="M66" s="5">
        <f>scrimecost*Meta!O63</f>
        <v>164.88</v>
      </c>
      <c r="N66" s="5">
        <f>L66-Grade8!L66</f>
        <v>0</v>
      </c>
      <c r="O66" s="5">
        <f>Grade8!M66-M66</f>
        <v>8.2800000000000011</v>
      </c>
      <c r="S66" s="22">
        <f t="shared" si="20"/>
        <v>8.0398800000000001</v>
      </c>
      <c r="T66" s="22">
        <f t="shared" si="21"/>
        <v>1.3032708140977605</v>
      </c>
    </row>
    <row r="67" spans="1:20" x14ac:dyDescent="0.2">
      <c r="A67" s="5">
        <v>76</v>
      </c>
      <c r="H67" s="21"/>
      <c r="M67" s="5">
        <f>scrimecost*Meta!O64</f>
        <v>164.88</v>
      </c>
      <c r="N67" s="5">
        <f>L67-Grade8!L67</f>
        <v>0</v>
      </c>
      <c r="O67" s="5">
        <f>Grade8!M67-M67</f>
        <v>8.2800000000000011</v>
      </c>
      <c r="S67" s="22">
        <f t="shared" si="20"/>
        <v>8.0398800000000001</v>
      </c>
      <c r="T67" s="22">
        <f t="shared" si="21"/>
        <v>1.2649702945735524</v>
      </c>
    </row>
    <row r="68" spans="1:20" x14ac:dyDescent="0.2">
      <c r="A68" s="5">
        <v>77</v>
      </c>
      <c r="H68" s="21"/>
      <c r="M68" s="5">
        <f>scrimecost*Meta!O65</f>
        <v>164.88</v>
      </c>
      <c r="N68" s="5">
        <f>L68-Grade8!L68</f>
        <v>0</v>
      </c>
      <c r="O68" s="5">
        <f>Grade8!M68-M68</f>
        <v>8.2800000000000011</v>
      </c>
      <c r="S68" s="22">
        <f t="shared" si="20"/>
        <v>8.0398800000000001</v>
      </c>
      <c r="T68" s="22">
        <f t="shared" si="21"/>
        <v>1.2277953506242409</v>
      </c>
    </row>
    <row r="69" spans="1:20" x14ac:dyDescent="0.2">
      <c r="A69" s="5">
        <v>78</v>
      </c>
      <c r="H69" s="21"/>
      <c r="M69" s="5">
        <f>scrimecost*Meta!O66</f>
        <v>164.88</v>
      </c>
      <c r="N69" s="5">
        <f>L69-Grade8!L69</f>
        <v>0</v>
      </c>
      <c r="O69" s="5">
        <f>Grade8!M69-M69</f>
        <v>8.2800000000000011</v>
      </c>
      <c r="S69" s="22">
        <f>IF(A69&lt;startage,1,0)*(N69-Q69-R69)+IF(A69&gt;=startage,1,0)*completionprob*(N69*spart+O69+P69)</f>
        <v>8.0398800000000001</v>
      </c>
      <c r="T69" s="22">
        <f>S69/sreturn^(A69-startage+1)</f>
        <v>1.1917129038375613</v>
      </c>
    </row>
    <row r="70" spans="1:20" x14ac:dyDescent="0.2">
      <c r="A70" s="5">
        <v>79</v>
      </c>
      <c r="H70" s="21"/>
      <c r="M70" s="5"/>
      <c r="S70" s="22">
        <f>SUM(T5:T69)</f>
        <v>-3.0934339534383071E-8</v>
      </c>
    </row>
    <row r="71" spans="1:20" x14ac:dyDescent="0.2">
      <c r="A71" s="5">
        <v>80</v>
      </c>
      <c r="H71" s="21"/>
      <c r="M71" s="5"/>
    </row>
    <row r="72" spans="1:20" x14ac:dyDescent="0.2">
      <c r="A72" s="5">
        <v>81</v>
      </c>
      <c r="H72" s="21"/>
      <c r="M72" s="5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6" sqref="S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Meta!A4+6</f>
        <v>16</v>
      </c>
      <c r="C2" s="7">
        <f>Meta!B4</f>
        <v>49040</v>
      </c>
      <c r="D2" s="7">
        <f>Meta!C4</f>
        <v>22068</v>
      </c>
      <c r="E2" s="1">
        <f>Meta!D4</f>
        <v>5.5E-2</v>
      </c>
      <c r="F2" s="1">
        <f>Meta!F4</f>
        <v>0.73499999999999999</v>
      </c>
      <c r="G2" s="1">
        <f>Meta!I4</f>
        <v>1.9496869757628374</v>
      </c>
      <c r="H2" s="1">
        <f>Meta!E4</f>
        <v>0.97099999999999997</v>
      </c>
      <c r="I2" s="13"/>
      <c r="J2" s="1">
        <f>Meta!X3</f>
        <v>0.78600000000000003</v>
      </c>
      <c r="K2" s="1">
        <f>Meta!D3</f>
        <v>5.7000000000000002E-2</v>
      </c>
      <c r="L2" s="29"/>
      <c r="N2" s="22">
        <f>Meta!T4</f>
        <v>64428</v>
      </c>
      <c r="O2" s="22">
        <f>Meta!U4</f>
        <v>28296</v>
      </c>
      <c r="P2" s="1">
        <f>Meta!V4</f>
        <v>4.1000000000000002E-2</v>
      </c>
      <c r="Q2" s="1">
        <f>Meta!X4</f>
        <v>0.79900000000000004</v>
      </c>
      <c r="R2" s="22">
        <f>Meta!W4</f>
        <v>2182</v>
      </c>
      <c r="T2" s="12">
        <f>IRR(S5:S69)+1</f>
        <v>1.0319044292546429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B6" s="1">
        <v>1</v>
      </c>
      <c r="C6" s="5">
        <f>0.1*Grade9!C6</f>
        <v>2392.0938714270255</v>
      </c>
      <c r="D6" s="5">
        <f t="shared" ref="D6:D36" si="0">IF(A6&lt;startage,1,0)*(C6*(1-initialunempprob))+IF(A6=startage,1,0)*(C6*(1-unempprob))+IF(A6&gt;startage,1,0)*(C6*(1-unempprob)+unempprob*300*52)</f>
        <v>2255.7445207556848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172.56445583780987</v>
      </c>
      <c r="G6" s="5">
        <f t="shared" ref="G6:G56" si="3">D6-F6</f>
        <v>2083.1800649178749</v>
      </c>
      <c r="H6" s="22">
        <f>0.1*Grade9!H6</f>
        <v>1076.4321352726693</v>
      </c>
      <c r="I6" s="5">
        <f t="shared" ref="I6:I36" si="4">G6+IF(A6&lt;startage,1,0)*(H6*(1-initialunempprob))+IF(A6&gt;=startage,1,0)*(H6*(1-unempprob))</f>
        <v>3098.2555684800018</v>
      </c>
      <c r="J6" s="26">
        <f t="shared" ref="J6:J37" si="5">(F6-(IF(A6&gt;startage,1,0)*(unempprob*300*52)))/(IF(A6&lt;startage,1,0)*((C6+H6)*(1-initialunempprob))+IF(A6&gt;=startage,1,0)*((C6+H6)*(1-unempprob)))</f>
        <v>5.275877442195899E-2</v>
      </c>
      <c r="L6" s="22">
        <f>0.1*Grade9!L6</f>
        <v>4328.439384320639</v>
      </c>
      <c r="M6" s="5">
        <f>scrimecost*Meta!O3</f>
        <v>3360.28</v>
      </c>
      <c r="N6" s="5">
        <f>L6-Grade9!L6</f>
        <v>-38955.954458885746</v>
      </c>
      <c r="O6" s="5"/>
      <c r="P6" s="22"/>
      <c r="Q6" s="22">
        <f>0.05*feel*Grade9!G6</f>
        <v>251.89415086205358</v>
      </c>
      <c r="R6" s="22">
        <f>hstuition</f>
        <v>11298</v>
      </c>
      <c r="S6" s="22">
        <f t="shared" ref="S6:S37" si="6">IF(A6&lt;startage,1,0)*(N6-Q6-R6)+IF(A6&gt;=startage,1,0)*completionprob*(N6*spart+O6+P6)</f>
        <v>-50505.848609747802</v>
      </c>
      <c r="T6" s="22">
        <f t="shared" ref="T6:T37" si="7">S6/sreturn^(A6-startage+1)</f>
        <v>-50505.848609747802</v>
      </c>
    </row>
    <row r="7" spans="1:20" x14ac:dyDescent="0.2">
      <c r="A7" s="5">
        <v>16</v>
      </c>
      <c r="B7" s="1">
        <f t="shared" ref="B7:B36" si="8">(1+experiencepremium)^(A7-startage)</f>
        <v>1</v>
      </c>
      <c r="C7" s="5">
        <f t="shared" ref="C7:C36" si="9">pretaxincome*B7/expnorm</f>
        <v>25152.75560109465</v>
      </c>
      <c r="D7" s="5">
        <f t="shared" si="0"/>
        <v>23769.354043034444</v>
      </c>
      <c r="E7" s="5">
        <f t="shared" si="1"/>
        <v>14269.354043034444</v>
      </c>
      <c r="F7" s="5">
        <f t="shared" si="2"/>
        <v>4960.694095050746</v>
      </c>
      <c r="G7" s="5">
        <f t="shared" si="3"/>
        <v>18808.659947983699</v>
      </c>
      <c r="H7" s="22">
        <f t="shared" ref="H7:H36" si="10">benefits*B7/expnorm</f>
        <v>11318.740020492593</v>
      </c>
      <c r="I7" s="5">
        <f t="shared" si="4"/>
        <v>29504.869267349197</v>
      </c>
      <c r="J7" s="26">
        <f t="shared" si="5"/>
        <v>0.14393190219726956</v>
      </c>
      <c r="L7" s="22">
        <f t="shared" ref="L7:L36" si="11">(sincome+sbenefits)*(1-sunemp)*B7/expnorm</f>
        <v>45608.509009610687</v>
      </c>
      <c r="M7" s="5">
        <f>scrimecost*Meta!O4</f>
        <v>4501.4660000000003</v>
      </c>
      <c r="N7" s="5">
        <f>L7-Grade9!L7</f>
        <v>1242.0053203241405</v>
      </c>
      <c r="O7" s="5">
        <f>Grade9!M7-M7</f>
        <v>222.80400000000009</v>
      </c>
      <c r="P7" s="22">
        <f t="shared" ref="P7:P38" si="12">(spart-initialspart)*(L7*J7+nptrans)</f>
        <v>170.54075295574961</v>
      </c>
      <c r="Q7" s="22"/>
      <c r="R7" s="22"/>
      <c r="S7" s="22">
        <f t="shared" si="6"/>
        <v>1345.5215007817908</v>
      </c>
      <c r="T7" s="22">
        <f t="shared" si="7"/>
        <v>1303.9206564445869</v>
      </c>
    </row>
    <row r="8" spans="1:20" x14ac:dyDescent="0.2">
      <c r="A8" s="5">
        <v>17</v>
      </c>
      <c r="B8" s="1">
        <f t="shared" si="8"/>
        <v>1.0249999999999999</v>
      </c>
      <c r="C8" s="5">
        <f t="shared" si="9"/>
        <v>25781.574491122014</v>
      </c>
      <c r="D8" s="5">
        <f t="shared" si="0"/>
        <v>25221.5878941103</v>
      </c>
      <c r="E8" s="5">
        <f t="shared" si="1"/>
        <v>15721.5878941103</v>
      </c>
      <c r="F8" s="5">
        <f t="shared" si="2"/>
        <v>5434.8484474270126</v>
      </c>
      <c r="G8" s="5">
        <f t="shared" si="3"/>
        <v>19786.739446683288</v>
      </c>
      <c r="H8" s="22">
        <f t="shared" si="10"/>
        <v>11601.708521004906</v>
      </c>
      <c r="I8" s="5">
        <f t="shared" si="4"/>
        <v>30750.353999032923</v>
      </c>
      <c r="J8" s="26">
        <f t="shared" si="5"/>
        <v>0.12955592660821205</v>
      </c>
      <c r="L8" s="22">
        <f t="shared" si="11"/>
        <v>46748.721734850951</v>
      </c>
      <c r="M8" s="5">
        <f>scrimecost*Meta!O5</f>
        <v>5527.0059999999994</v>
      </c>
      <c r="N8" s="5">
        <f>L8-Grade9!L8</f>
        <v>1273.0554533322429</v>
      </c>
      <c r="O8" s="5">
        <f>Grade9!M8-M8</f>
        <v>273.56400000000031</v>
      </c>
      <c r="P8" s="22">
        <f t="shared" si="12"/>
        <v>163.93746150740515</v>
      </c>
      <c r="Q8" s="22"/>
      <c r="R8" s="22"/>
      <c r="S8" s="22">
        <f t="shared" si="6"/>
        <v>1412.4872584269915</v>
      </c>
      <c r="T8" s="22">
        <f t="shared" si="7"/>
        <v>1326.4949034643289</v>
      </c>
    </row>
    <row r="9" spans="1:20" x14ac:dyDescent="0.2">
      <c r="A9" s="5">
        <v>18</v>
      </c>
      <c r="B9" s="1">
        <f t="shared" si="8"/>
        <v>1.0506249999999999</v>
      </c>
      <c r="C9" s="5">
        <f t="shared" si="9"/>
        <v>26426.113853400064</v>
      </c>
      <c r="D9" s="5">
        <f t="shared" si="0"/>
        <v>25830.67759146306</v>
      </c>
      <c r="E9" s="5">
        <f t="shared" si="1"/>
        <v>16330.67759146306</v>
      </c>
      <c r="F9" s="5">
        <f t="shared" si="2"/>
        <v>5633.7162336126894</v>
      </c>
      <c r="G9" s="5">
        <f t="shared" si="3"/>
        <v>20196.96135785037</v>
      </c>
      <c r="H9" s="22">
        <f t="shared" si="10"/>
        <v>11891.751234030029</v>
      </c>
      <c r="I9" s="5">
        <f t="shared" si="4"/>
        <v>31434.666274008749</v>
      </c>
      <c r="J9" s="26">
        <f t="shared" si="5"/>
        <v>0.13188803605174604</v>
      </c>
      <c r="L9" s="22">
        <f t="shared" si="11"/>
        <v>47917.439778222222</v>
      </c>
      <c r="M9" s="5">
        <f>scrimecost*Meta!O6</f>
        <v>7002.0380000000005</v>
      </c>
      <c r="N9" s="5">
        <f>L9-Grade9!L9</f>
        <v>1304.8818396655479</v>
      </c>
      <c r="O9" s="5">
        <f>Grade9!M9-M9</f>
        <v>346.57200000000012</v>
      </c>
      <c r="P9" s="22">
        <f t="shared" si="12"/>
        <v>167.35858132470818</v>
      </c>
      <c r="Q9" s="22"/>
      <c r="R9" s="22"/>
      <c r="S9" s="22">
        <f t="shared" si="6"/>
        <v>1511.3917672521743</v>
      </c>
      <c r="T9" s="22">
        <f t="shared" si="7"/>
        <v>1375.4937534939961</v>
      </c>
    </row>
    <row r="10" spans="1:20" x14ac:dyDescent="0.2">
      <c r="A10" s="5">
        <v>19</v>
      </c>
      <c r="B10" s="1">
        <f t="shared" si="8"/>
        <v>1.0768906249999999</v>
      </c>
      <c r="C10" s="5">
        <f t="shared" si="9"/>
        <v>27086.766699735068</v>
      </c>
      <c r="D10" s="5">
        <f t="shared" si="0"/>
        <v>26454.994531249638</v>
      </c>
      <c r="E10" s="5">
        <f t="shared" si="1"/>
        <v>16954.994531249638</v>
      </c>
      <c r="F10" s="5">
        <f t="shared" si="2"/>
        <v>5837.5557144530067</v>
      </c>
      <c r="G10" s="5">
        <f t="shared" si="3"/>
        <v>20617.438816796632</v>
      </c>
      <c r="H10" s="22">
        <f t="shared" si="10"/>
        <v>12189.045014880779</v>
      </c>
      <c r="I10" s="5">
        <f t="shared" si="4"/>
        <v>32136.08635585897</v>
      </c>
      <c r="J10" s="26">
        <f t="shared" si="5"/>
        <v>0.13416326477714499</v>
      </c>
      <c r="L10" s="22">
        <f t="shared" si="11"/>
        <v>49115.375772677784</v>
      </c>
      <c r="M10" s="5">
        <f>scrimecost*Meta!O7</f>
        <v>7429.7099999999991</v>
      </c>
      <c r="N10" s="5">
        <f>L10-Grade9!L10</f>
        <v>1337.5038856571991</v>
      </c>
      <c r="O10" s="5">
        <f>Grade9!M10-M10</f>
        <v>367.74000000000069</v>
      </c>
      <c r="P10" s="22">
        <f t="shared" si="12"/>
        <v>170.86522913744381</v>
      </c>
      <c r="Q10" s="22"/>
      <c r="R10" s="22"/>
      <c r="S10" s="22">
        <f t="shared" si="6"/>
        <v>1560.6599795979978</v>
      </c>
      <c r="T10" s="22">
        <f t="shared" si="7"/>
        <v>1376.4181395027431</v>
      </c>
    </row>
    <row r="11" spans="1:20" x14ac:dyDescent="0.2">
      <c r="A11" s="5">
        <v>20</v>
      </c>
      <c r="B11" s="1">
        <f t="shared" si="8"/>
        <v>1.1038128906249998</v>
      </c>
      <c r="C11" s="5">
        <f t="shared" si="9"/>
        <v>27763.93586722844</v>
      </c>
      <c r="D11" s="5">
        <f t="shared" si="0"/>
        <v>27094.919394530873</v>
      </c>
      <c r="E11" s="5">
        <f t="shared" si="1"/>
        <v>17594.919394530873</v>
      </c>
      <c r="F11" s="5">
        <f t="shared" si="2"/>
        <v>6046.4911823143302</v>
      </c>
      <c r="G11" s="5">
        <f t="shared" si="3"/>
        <v>21048.428212216542</v>
      </c>
      <c r="H11" s="22">
        <f t="shared" si="10"/>
        <v>12493.771140252798</v>
      </c>
      <c r="I11" s="5">
        <f t="shared" si="4"/>
        <v>32855.041939755436</v>
      </c>
      <c r="J11" s="26">
        <f t="shared" si="5"/>
        <v>0.13638300011899759</v>
      </c>
      <c r="L11" s="22">
        <f t="shared" si="11"/>
        <v>50343.260166994718</v>
      </c>
      <c r="M11" s="5">
        <f>scrimecost*Meta!O8</f>
        <v>7130.7759999999998</v>
      </c>
      <c r="N11" s="5">
        <f>L11-Grade9!L11</f>
        <v>1370.9414827986257</v>
      </c>
      <c r="O11" s="5">
        <f>Grade9!M11-M11</f>
        <v>352.94399999999951</v>
      </c>
      <c r="P11" s="22">
        <f t="shared" si="12"/>
        <v>174.45954314549772</v>
      </c>
      <c r="Q11" s="22"/>
      <c r="R11" s="22"/>
      <c r="S11" s="22">
        <f t="shared" si="6"/>
        <v>1575.7250000524527</v>
      </c>
      <c r="T11" s="22">
        <f t="shared" si="7"/>
        <v>1346.7377769266543</v>
      </c>
    </row>
    <row r="12" spans="1:20" x14ac:dyDescent="0.2">
      <c r="A12" s="5">
        <v>21</v>
      </c>
      <c r="B12" s="1">
        <f t="shared" si="8"/>
        <v>1.1314082128906247</v>
      </c>
      <c r="C12" s="5">
        <f t="shared" si="9"/>
        <v>28458.034263909147</v>
      </c>
      <c r="D12" s="5">
        <f t="shared" si="0"/>
        <v>27750.842379394144</v>
      </c>
      <c r="E12" s="5">
        <f t="shared" si="1"/>
        <v>18250.842379394144</v>
      </c>
      <c r="F12" s="5">
        <f t="shared" si="2"/>
        <v>6260.6500368721881</v>
      </c>
      <c r="G12" s="5">
        <f t="shared" si="3"/>
        <v>21490.192342521957</v>
      </c>
      <c r="H12" s="22">
        <f t="shared" si="10"/>
        <v>12806.115418759116</v>
      </c>
      <c r="I12" s="5">
        <f t="shared" si="4"/>
        <v>33591.971413249325</v>
      </c>
      <c r="J12" s="26">
        <f t="shared" si="5"/>
        <v>0.13854859557446361</v>
      </c>
      <c r="L12" s="22">
        <f t="shared" si="11"/>
        <v>51601.841671169583</v>
      </c>
      <c r="M12" s="5">
        <f>scrimecost*Meta!O9</f>
        <v>6570.0020000000004</v>
      </c>
      <c r="N12" s="5">
        <f>L12-Grade9!L12</f>
        <v>1405.2150198685849</v>
      </c>
      <c r="O12" s="5">
        <f>Grade9!M12-M12</f>
        <v>325.1880000000001</v>
      </c>
      <c r="P12" s="22">
        <f t="shared" si="12"/>
        <v>178.14371500375307</v>
      </c>
      <c r="Q12" s="22"/>
      <c r="R12" s="22"/>
      <c r="S12" s="22">
        <f t="shared" si="6"/>
        <v>1578.9416589182688</v>
      </c>
      <c r="T12" s="22">
        <f t="shared" si="7"/>
        <v>1307.7635358634857</v>
      </c>
    </row>
    <row r="13" spans="1:20" x14ac:dyDescent="0.2">
      <c r="A13" s="5">
        <v>22</v>
      </c>
      <c r="B13" s="1">
        <f t="shared" si="8"/>
        <v>1.1596934182128902</v>
      </c>
      <c r="C13" s="5">
        <f t="shared" si="9"/>
        <v>29169.485120506873</v>
      </c>
      <c r="D13" s="5">
        <f t="shared" si="0"/>
        <v>28423.163438878993</v>
      </c>
      <c r="E13" s="5">
        <f t="shared" si="1"/>
        <v>18923.163438878993</v>
      </c>
      <c r="F13" s="5">
        <f t="shared" si="2"/>
        <v>6480.1628627939917</v>
      </c>
      <c r="G13" s="5">
        <f t="shared" si="3"/>
        <v>21943.000576085004</v>
      </c>
      <c r="H13" s="22">
        <f t="shared" si="10"/>
        <v>13126.268304228095</v>
      </c>
      <c r="I13" s="5">
        <f t="shared" si="4"/>
        <v>34347.324123580554</v>
      </c>
      <c r="J13" s="26">
        <f t="shared" si="5"/>
        <v>0.14066137162857675</v>
      </c>
      <c r="L13" s="22">
        <f t="shared" si="11"/>
        <v>52891.887712948817</v>
      </c>
      <c r="M13" s="5">
        <f>scrimecost*Meta!O10</f>
        <v>5991.7719999999999</v>
      </c>
      <c r="N13" s="5">
        <f>L13-Grade9!L13</f>
        <v>1440.3453953652934</v>
      </c>
      <c r="O13" s="5">
        <f>Grade9!M13-M13</f>
        <v>296.56800000000021</v>
      </c>
      <c r="P13" s="22">
        <f t="shared" si="12"/>
        <v>181.91999115846477</v>
      </c>
      <c r="Q13" s="22"/>
      <c r="R13" s="22"/>
      <c r="S13" s="22">
        <f t="shared" si="6"/>
        <v>1582.0735671557297</v>
      </c>
      <c r="T13" s="22">
        <f t="shared" si="7"/>
        <v>1269.8439039915411</v>
      </c>
    </row>
    <row r="14" spans="1:20" x14ac:dyDescent="0.2">
      <c r="A14" s="5">
        <v>23</v>
      </c>
      <c r="B14" s="1">
        <f t="shared" si="8"/>
        <v>1.1886857536682125</v>
      </c>
      <c r="C14" s="5">
        <f t="shared" si="9"/>
        <v>29898.722248519549</v>
      </c>
      <c r="D14" s="5">
        <f t="shared" si="0"/>
        <v>29112.292524850971</v>
      </c>
      <c r="E14" s="5">
        <f t="shared" si="1"/>
        <v>19612.292524850971</v>
      </c>
      <c r="F14" s="5">
        <f t="shared" si="2"/>
        <v>6705.1635093638415</v>
      </c>
      <c r="G14" s="5">
        <f t="shared" si="3"/>
        <v>22407.129015487131</v>
      </c>
      <c r="H14" s="22">
        <f t="shared" si="10"/>
        <v>13454.425011833797</v>
      </c>
      <c r="I14" s="5">
        <f t="shared" si="4"/>
        <v>35121.560651670065</v>
      </c>
      <c r="J14" s="26">
        <f t="shared" si="5"/>
        <v>0.14272261655941884</v>
      </c>
      <c r="L14" s="22">
        <f t="shared" si="11"/>
        <v>54214.184905772541</v>
      </c>
      <c r="M14" s="5">
        <f>scrimecost*Meta!O11</f>
        <v>5585.92</v>
      </c>
      <c r="N14" s="5">
        <f>L14-Grade9!L14</f>
        <v>1476.3540302494366</v>
      </c>
      <c r="O14" s="5">
        <f>Grade9!M14-M14</f>
        <v>276.48000000000047</v>
      </c>
      <c r="P14" s="22">
        <f t="shared" si="12"/>
        <v>185.79067421704426</v>
      </c>
      <c r="Q14" s="22"/>
      <c r="R14" s="22"/>
      <c r="S14" s="22">
        <f t="shared" si="6"/>
        <v>1594.2630955991406</v>
      </c>
      <c r="T14" s="22">
        <f t="shared" si="7"/>
        <v>1240.0642301354103</v>
      </c>
    </row>
    <row r="15" spans="1:20" x14ac:dyDescent="0.2">
      <c r="A15" s="5">
        <v>24</v>
      </c>
      <c r="B15" s="1">
        <f t="shared" si="8"/>
        <v>1.2184028975099177</v>
      </c>
      <c r="C15" s="5">
        <f t="shared" si="9"/>
        <v>30646.190304732532</v>
      </c>
      <c r="D15" s="5">
        <f t="shared" si="0"/>
        <v>29818.64983797224</v>
      </c>
      <c r="E15" s="5">
        <f t="shared" si="1"/>
        <v>20318.64983797224</v>
      </c>
      <c r="F15" s="5">
        <f t="shared" si="2"/>
        <v>6935.7891720979369</v>
      </c>
      <c r="G15" s="5">
        <f t="shared" si="3"/>
        <v>22882.860665874301</v>
      </c>
      <c r="H15" s="22">
        <f t="shared" si="10"/>
        <v>13790.78563712964</v>
      </c>
      <c r="I15" s="5">
        <f t="shared" si="4"/>
        <v>35915.153092961809</v>
      </c>
      <c r="J15" s="26">
        <f t="shared" si="5"/>
        <v>0.14473358722365509</v>
      </c>
      <c r="L15" s="22">
        <f t="shared" si="11"/>
        <v>55569.539528416855</v>
      </c>
      <c r="M15" s="5">
        <f>scrimecost*Meta!O12</f>
        <v>5328.4440000000004</v>
      </c>
      <c r="N15" s="5">
        <f>L15-Grade9!L15</f>
        <v>1513.2628810056776</v>
      </c>
      <c r="O15" s="5">
        <f>Grade9!M15-M15</f>
        <v>263.73599999999988</v>
      </c>
      <c r="P15" s="22">
        <f t="shared" si="12"/>
        <v>189.75812435208826</v>
      </c>
      <c r="Q15" s="22"/>
      <c r="R15" s="22"/>
      <c r="S15" s="22">
        <f t="shared" si="6"/>
        <v>1614.3760224536313</v>
      </c>
      <c r="T15" s="22">
        <f t="shared" si="7"/>
        <v>1216.8846400365783</v>
      </c>
    </row>
    <row r="16" spans="1:20" x14ac:dyDescent="0.2">
      <c r="A16" s="5">
        <v>25</v>
      </c>
      <c r="B16" s="1">
        <f t="shared" si="8"/>
        <v>1.2488629699476654</v>
      </c>
      <c r="C16" s="5">
        <f t="shared" si="9"/>
        <v>31412.345062350843</v>
      </c>
      <c r="D16" s="5">
        <f t="shared" si="0"/>
        <v>30542.666083921544</v>
      </c>
      <c r="E16" s="5">
        <f t="shared" si="1"/>
        <v>21042.666083921544</v>
      </c>
      <c r="F16" s="5">
        <f t="shared" si="2"/>
        <v>7172.1804764003846</v>
      </c>
      <c r="G16" s="5">
        <f t="shared" si="3"/>
        <v>23370.485607521157</v>
      </c>
      <c r="H16" s="22">
        <f t="shared" si="10"/>
        <v>14135.555278057878</v>
      </c>
      <c r="I16" s="5">
        <f t="shared" si="4"/>
        <v>36728.58534528585</v>
      </c>
      <c r="J16" s="26">
        <f t="shared" si="5"/>
        <v>0.14669550982290991</v>
      </c>
      <c r="L16" s="22">
        <f t="shared" si="11"/>
        <v>56958.778016627264</v>
      </c>
      <c r="M16" s="5">
        <f>scrimecost*Meta!O13</f>
        <v>4436.0059999999994</v>
      </c>
      <c r="N16" s="5">
        <f>L16-Grade9!L16</f>
        <v>1551.0944530308116</v>
      </c>
      <c r="O16" s="5">
        <f>Grade9!M16-M16</f>
        <v>219.56400000000031</v>
      </c>
      <c r="P16" s="22">
        <f t="shared" si="12"/>
        <v>193.82476074050834</v>
      </c>
      <c r="Q16" s="22"/>
      <c r="R16" s="22"/>
      <c r="S16" s="22">
        <f t="shared" si="6"/>
        <v>1604.7845450794755</v>
      </c>
      <c r="T16" s="22">
        <f t="shared" si="7"/>
        <v>1172.2546587195025</v>
      </c>
    </row>
    <row r="17" spans="1:20" x14ac:dyDescent="0.2">
      <c r="A17" s="5">
        <v>26</v>
      </c>
      <c r="B17" s="1">
        <f t="shared" si="8"/>
        <v>1.2800845441963571</v>
      </c>
      <c r="C17" s="5">
        <f t="shared" si="9"/>
        <v>32197.653688909613</v>
      </c>
      <c r="D17" s="5">
        <f t="shared" si="0"/>
        <v>31284.782736019584</v>
      </c>
      <c r="E17" s="5">
        <f t="shared" si="1"/>
        <v>21784.782736019584</v>
      </c>
      <c r="F17" s="5">
        <f t="shared" si="2"/>
        <v>7414.4815633103935</v>
      </c>
      <c r="G17" s="5">
        <f t="shared" si="3"/>
        <v>23870.301172709191</v>
      </c>
      <c r="H17" s="22">
        <f t="shared" si="10"/>
        <v>14488.944160009327</v>
      </c>
      <c r="I17" s="5">
        <f t="shared" si="4"/>
        <v>37562.353403918001</v>
      </c>
      <c r="J17" s="26">
        <f t="shared" si="5"/>
        <v>0.14860958065145119</v>
      </c>
      <c r="L17" s="22">
        <f t="shared" si="11"/>
        <v>58382.747467042944</v>
      </c>
      <c r="M17" s="5">
        <f>scrimecost*Meta!O14</f>
        <v>4436.0059999999994</v>
      </c>
      <c r="N17" s="5">
        <f>L17-Grade9!L17</f>
        <v>1589.8718143565784</v>
      </c>
      <c r="O17" s="5">
        <f>Grade9!M17-M17</f>
        <v>219.56400000000031</v>
      </c>
      <c r="P17" s="22">
        <f t="shared" si="12"/>
        <v>197.99306303863892</v>
      </c>
      <c r="Q17" s="22"/>
      <c r="R17" s="22"/>
      <c r="S17" s="22">
        <f t="shared" si="6"/>
        <v>1638.9165680709687</v>
      </c>
      <c r="T17" s="22">
        <f t="shared" si="7"/>
        <v>1160.1725966240133</v>
      </c>
    </row>
    <row r="18" spans="1:20" x14ac:dyDescent="0.2">
      <c r="A18" s="5">
        <v>27</v>
      </c>
      <c r="B18" s="1">
        <f t="shared" si="8"/>
        <v>1.312086657801266</v>
      </c>
      <c r="C18" s="5">
        <f t="shared" si="9"/>
        <v>33002.595031132354</v>
      </c>
      <c r="D18" s="5">
        <f t="shared" si="0"/>
        <v>32045.452304420072</v>
      </c>
      <c r="E18" s="5">
        <f t="shared" si="1"/>
        <v>22545.452304420072</v>
      </c>
      <c r="F18" s="5">
        <f t="shared" si="2"/>
        <v>7662.8401773931537</v>
      </c>
      <c r="G18" s="5">
        <f t="shared" si="3"/>
        <v>24382.612127026918</v>
      </c>
      <c r="H18" s="22">
        <f t="shared" si="10"/>
        <v>14851.167764009559</v>
      </c>
      <c r="I18" s="5">
        <f t="shared" si="4"/>
        <v>38416.965664015952</v>
      </c>
      <c r="J18" s="26">
        <f t="shared" si="5"/>
        <v>0.15047696682563785</v>
      </c>
      <c r="L18" s="22">
        <f t="shared" si="11"/>
        <v>59842.316153719017</v>
      </c>
      <c r="M18" s="5">
        <f>scrimecost*Meta!O15</f>
        <v>4436.0059999999994</v>
      </c>
      <c r="N18" s="5">
        <f>L18-Grade9!L18</f>
        <v>1629.6186097154932</v>
      </c>
      <c r="O18" s="5">
        <f>Grade9!M18-M18</f>
        <v>219.56400000000031</v>
      </c>
      <c r="P18" s="22">
        <f t="shared" si="12"/>
        <v>202.26557289422277</v>
      </c>
      <c r="Q18" s="22"/>
      <c r="R18" s="22"/>
      <c r="S18" s="22">
        <f t="shared" si="6"/>
        <v>1673.901891637252</v>
      </c>
      <c r="T18" s="22">
        <f t="shared" si="7"/>
        <v>1148.3024227866326</v>
      </c>
    </row>
    <row r="19" spans="1:20" x14ac:dyDescent="0.2">
      <c r="A19" s="5">
        <v>28</v>
      </c>
      <c r="B19" s="1">
        <f t="shared" si="8"/>
        <v>1.3448888242462975</v>
      </c>
      <c r="C19" s="5">
        <f t="shared" si="9"/>
        <v>33827.65990691066</v>
      </c>
      <c r="D19" s="5">
        <f t="shared" si="0"/>
        <v>32825.138612030569</v>
      </c>
      <c r="E19" s="5">
        <f t="shared" si="1"/>
        <v>23325.138612030569</v>
      </c>
      <c r="F19" s="5">
        <f t="shared" si="2"/>
        <v>7917.4077568279808</v>
      </c>
      <c r="G19" s="5">
        <f t="shared" si="3"/>
        <v>24907.730855202586</v>
      </c>
      <c r="H19" s="22">
        <f t="shared" si="10"/>
        <v>15222.446958109796</v>
      </c>
      <c r="I19" s="5">
        <f t="shared" si="4"/>
        <v>39292.943230616343</v>
      </c>
      <c r="J19" s="26">
        <f t="shared" si="5"/>
        <v>0.15229880699557602</v>
      </c>
      <c r="L19" s="22">
        <f t="shared" si="11"/>
        <v>61338.374057561989</v>
      </c>
      <c r="M19" s="5">
        <f>scrimecost*Meta!O16</f>
        <v>4436.0059999999994</v>
      </c>
      <c r="N19" s="5">
        <f>L19-Grade9!L19</f>
        <v>1670.3590749583818</v>
      </c>
      <c r="O19" s="5">
        <f>Grade9!M19-M19</f>
        <v>219.56400000000031</v>
      </c>
      <c r="P19" s="22">
        <f t="shared" si="12"/>
        <v>206.64489549619623</v>
      </c>
      <c r="Q19" s="22"/>
      <c r="R19" s="22"/>
      <c r="S19" s="22">
        <f t="shared" si="6"/>
        <v>1709.7618482926932</v>
      </c>
      <c r="T19" s="22">
        <f t="shared" si="7"/>
        <v>1136.6386677384828</v>
      </c>
    </row>
    <row r="20" spans="1:20" x14ac:dyDescent="0.2">
      <c r="A20" s="5">
        <v>29</v>
      </c>
      <c r="B20" s="1">
        <f t="shared" si="8"/>
        <v>1.3785110448524549</v>
      </c>
      <c r="C20" s="5">
        <f t="shared" si="9"/>
        <v>34673.351404583424</v>
      </c>
      <c r="D20" s="5">
        <f t="shared" si="0"/>
        <v>33624.317077331332</v>
      </c>
      <c r="E20" s="5">
        <f t="shared" si="1"/>
        <v>24124.317077331332</v>
      </c>
      <c r="F20" s="5">
        <f t="shared" si="2"/>
        <v>8178.33952574868</v>
      </c>
      <c r="G20" s="5">
        <f t="shared" si="3"/>
        <v>25445.977551582651</v>
      </c>
      <c r="H20" s="22">
        <f t="shared" si="10"/>
        <v>15603.00813206254</v>
      </c>
      <c r="I20" s="5">
        <f t="shared" si="4"/>
        <v>40190.820236381755</v>
      </c>
      <c r="J20" s="26">
        <f t="shared" si="5"/>
        <v>0.15407621203941815</v>
      </c>
      <c r="L20" s="22">
        <f t="shared" si="11"/>
        <v>62871.833409001039</v>
      </c>
      <c r="M20" s="5">
        <f>scrimecost*Meta!O17</f>
        <v>4436.0059999999994</v>
      </c>
      <c r="N20" s="5">
        <f>L20-Grade9!L20</f>
        <v>1712.1180518323526</v>
      </c>
      <c r="O20" s="5">
        <f>Grade9!M20-M20</f>
        <v>219.56400000000031</v>
      </c>
      <c r="P20" s="22">
        <f t="shared" si="12"/>
        <v>211.13370116321903</v>
      </c>
      <c r="Q20" s="22"/>
      <c r="R20" s="22"/>
      <c r="S20" s="22">
        <f t="shared" si="6"/>
        <v>1746.5183038645284</v>
      </c>
      <c r="T20" s="22">
        <f t="shared" si="7"/>
        <v>1125.1760238782044</v>
      </c>
    </row>
    <row r="21" spans="1:20" x14ac:dyDescent="0.2">
      <c r="A21" s="5">
        <v>30</v>
      </c>
      <c r="B21" s="1">
        <f t="shared" si="8"/>
        <v>1.4129738209737661</v>
      </c>
      <c r="C21" s="5">
        <f t="shared" si="9"/>
        <v>35540.185189698008</v>
      </c>
      <c r="D21" s="5">
        <f t="shared" si="0"/>
        <v>34443.475004264619</v>
      </c>
      <c r="E21" s="5">
        <f t="shared" si="1"/>
        <v>24943.475004264619</v>
      </c>
      <c r="F21" s="5">
        <f t="shared" si="2"/>
        <v>8445.7945888923987</v>
      </c>
      <c r="G21" s="5">
        <f t="shared" si="3"/>
        <v>25997.680415372219</v>
      </c>
      <c r="H21" s="22">
        <f t="shared" si="10"/>
        <v>15993.083335364103</v>
      </c>
      <c r="I21" s="5">
        <f t="shared" si="4"/>
        <v>41111.144167291292</v>
      </c>
      <c r="J21" s="26">
        <f t="shared" si="5"/>
        <v>0.15581026574072759</v>
      </c>
      <c r="L21" s="22">
        <f t="shared" si="11"/>
        <v>64443.62924422606</v>
      </c>
      <c r="M21" s="5">
        <f>scrimecost*Meta!O18</f>
        <v>3654.85</v>
      </c>
      <c r="N21" s="5">
        <f>L21-Grade9!L21</f>
        <v>1754.92100312814</v>
      </c>
      <c r="O21" s="5">
        <f>Grade9!M21-M21</f>
        <v>180.90000000000009</v>
      </c>
      <c r="P21" s="22">
        <f t="shared" si="12"/>
        <v>215.73472697191741</v>
      </c>
      <c r="Q21" s="22"/>
      <c r="R21" s="22"/>
      <c r="S21" s="22">
        <f t="shared" si="6"/>
        <v>1746.6509268256336</v>
      </c>
      <c r="T21" s="22">
        <f t="shared" si="7"/>
        <v>1090.4706220099986</v>
      </c>
    </row>
    <row r="22" spans="1:20" x14ac:dyDescent="0.2">
      <c r="A22" s="5">
        <v>31</v>
      </c>
      <c r="B22" s="1">
        <f t="shared" si="8"/>
        <v>1.4482981664981105</v>
      </c>
      <c r="C22" s="5">
        <f t="shared" si="9"/>
        <v>36428.689819440464</v>
      </c>
      <c r="D22" s="5">
        <f t="shared" si="0"/>
        <v>35283.111879371238</v>
      </c>
      <c r="E22" s="5">
        <f t="shared" si="1"/>
        <v>25783.111879371238</v>
      </c>
      <c r="F22" s="5">
        <f t="shared" si="2"/>
        <v>8719.9360286147094</v>
      </c>
      <c r="G22" s="5">
        <f t="shared" si="3"/>
        <v>26563.175850756528</v>
      </c>
      <c r="H22" s="22">
        <f t="shared" si="10"/>
        <v>16392.910418748208</v>
      </c>
      <c r="I22" s="5">
        <f t="shared" si="4"/>
        <v>42054.476196473581</v>
      </c>
      <c r="J22" s="26">
        <f t="shared" si="5"/>
        <v>0.1575020254493221</v>
      </c>
      <c r="L22" s="22">
        <f t="shared" si="11"/>
        <v>66054.719975331725</v>
      </c>
      <c r="M22" s="5">
        <f>scrimecost*Meta!O19</f>
        <v>3654.85</v>
      </c>
      <c r="N22" s="5">
        <f>L22-Grade9!L22</f>
        <v>1798.7940282063646</v>
      </c>
      <c r="O22" s="5">
        <f>Grade9!M22-M22</f>
        <v>180.90000000000009</v>
      </c>
      <c r="P22" s="22">
        <f t="shared" si="12"/>
        <v>220.45077842583325</v>
      </c>
      <c r="Q22" s="22"/>
      <c r="R22" s="22"/>
      <c r="S22" s="22">
        <f t="shared" si="6"/>
        <v>1785.2681779607999</v>
      </c>
      <c r="T22" s="22">
        <f t="shared" si="7"/>
        <v>1080.1195790463489</v>
      </c>
    </row>
    <row r="23" spans="1:20" x14ac:dyDescent="0.2">
      <c r="A23" s="5">
        <v>32</v>
      </c>
      <c r="B23" s="1">
        <f t="shared" si="8"/>
        <v>1.4845056206605631</v>
      </c>
      <c r="C23" s="5">
        <f t="shared" si="9"/>
        <v>37339.407064926469</v>
      </c>
      <c r="D23" s="5">
        <f t="shared" si="0"/>
        <v>36143.739676355508</v>
      </c>
      <c r="E23" s="5">
        <f t="shared" si="1"/>
        <v>26643.739676355508</v>
      </c>
      <c r="F23" s="5">
        <f t="shared" si="2"/>
        <v>9000.9310043300738</v>
      </c>
      <c r="G23" s="5">
        <f t="shared" si="3"/>
        <v>27142.808672025436</v>
      </c>
      <c r="H23" s="22">
        <f t="shared" si="10"/>
        <v>16802.73317921691</v>
      </c>
      <c r="I23" s="5">
        <f t="shared" si="4"/>
        <v>43021.391526385414</v>
      </c>
      <c r="J23" s="26">
        <f t="shared" si="5"/>
        <v>0.15915252272599967</v>
      </c>
      <c r="L23" s="22">
        <f t="shared" si="11"/>
        <v>67706.087974715003</v>
      </c>
      <c r="M23" s="5">
        <f>scrimecost*Meta!O20</f>
        <v>3654.85</v>
      </c>
      <c r="N23" s="5">
        <f>L23-Grade9!L23</f>
        <v>1843.7638789115153</v>
      </c>
      <c r="O23" s="5">
        <f>Grade9!M23-M23</f>
        <v>180.90000000000009</v>
      </c>
      <c r="P23" s="22">
        <f t="shared" si="12"/>
        <v>225.28473116609689</v>
      </c>
      <c r="Q23" s="22"/>
      <c r="R23" s="22"/>
      <c r="S23" s="22">
        <f t="shared" si="6"/>
        <v>1824.8508603743221</v>
      </c>
      <c r="T23" s="22">
        <f t="shared" si="7"/>
        <v>1069.93224125439</v>
      </c>
    </row>
    <row r="24" spans="1:20" x14ac:dyDescent="0.2">
      <c r="A24" s="5">
        <v>33</v>
      </c>
      <c r="B24" s="1">
        <f t="shared" si="8"/>
        <v>1.521618261177077</v>
      </c>
      <c r="C24" s="5">
        <f t="shared" si="9"/>
        <v>38272.892241549627</v>
      </c>
      <c r="D24" s="5">
        <f t="shared" si="0"/>
        <v>37025.883168264394</v>
      </c>
      <c r="E24" s="5">
        <f t="shared" si="1"/>
        <v>27525.883168264394</v>
      </c>
      <c r="F24" s="5">
        <f t="shared" si="2"/>
        <v>9288.9508544383243</v>
      </c>
      <c r="G24" s="5">
        <f t="shared" si="3"/>
        <v>27736.93231382607</v>
      </c>
      <c r="H24" s="22">
        <f t="shared" si="10"/>
        <v>17222.801508697332</v>
      </c>
      <c r="I24" s="5">
        <f t="shared" si="4"/>
        <v>44012.479739545044</v>
      </c>
      <c r="J24" s="26">
        <f t="shared" si="5"/>
        <v>0.16076276397153877</v>
      </c>
      <c r="L24" s="22">
        <f t="shared" si="11"/>
        <v>69398.740174082879</v>
      </c>
      <c r="M24" s="5">
        <f>scrimecost*Meta!O21</f>
        <v>3654.85</v>
      </c>
      <c r="N24" s="5">
        <f>L24-Grade9!L24</f>
        <v>1889.857975884297</v>
      </c>
      <c r="O24" s="5">
        <f>Grade9!M24-M24</f>
        <v>180.90000000000009</v>
      </c>
      <c r="P24" s="22">
        <f t="shared" si="12"/>
        <v>230.23953272486719</v>
      </c>
      <c r="Q24" s="22"/>
      <c r="R24" s="22"/>
      <c r="S24" s="22">
        <f t="shared" si="6"/>
        <v>1865.4231098481844</v>
      </c>
      <c r="T24" s="22">
        <f t="shared" si="7"/>
        <v>1059.9045931834939</v>
      </c>
    </row>
    <row r="25" spans="1:20" x14ac:dyDescent="0.2">
      <c r="A25" s="5">
        <v>34</v>
      </c>
      <c r="B25" s="1">
        <f t="shared" si="8"/>
        <v>1.559658717706504</v>
      </c>
      <c r="C25" s="5">
        <f t="shared" si="9"/>
        <v>39229.714547588366</v>
      </c>
      <c r="D25" s="5">
        <f t="shared" si="0"/>
        <v>37930.080247471007</v>
      </c>
      <c r="E25" s="5">
        <f t="shared" si="1"/>
        <v>28430.080247471007</v>
      </c>
      <c r="F25" s="5">
        <f t="shared" si="2"/>
        <v>9584.1712007992828</v>
      </c>
      <c r="G25" s="5">
        <f t="shared" si="3"/>
        <v>28345.909046671724</v>
      </c>
      <c r="H25" s="22">
        <f t="shared" si="10"/>
        <v>17653.371546414768</v>
      </c>
      <c r="I25" s="5">
        <f t="shared" si="4"/>
        <v>45028.345158033684</v>
      </c>
      <c r="J25" s="26">
        <f t="shared" si="5"/>
        <v>0.16233373104035742</v>
      </c>
      <c r="L25" s="22">
        <f t="shared" si="11"/>
        <v>71133.708678434938</v>
      </c>
      <c r="M25" s="5">
        <f>scrimecost*Meta!O22</f>
        <v>3654.85</v>
      </c>
      <c r="N25" s="5">
        <f>L25-Grade9!L25</f>
        <v>1937.1044252814027</v>
      </c>
      <c r="O25" s="5">
        <f>Grade9!M25-M25</f>
        <v>180.90000000000009</v>
      </c>
      <c r="P25" s="22">
        <f t="shared" si="12"/>
        <v>235.31820432260673</v>
      </c>
      <c r="Q25" s="22"/>
      <c r="R25" s="22"/>
      <c r="S25" s="22">
        <f t="shared" si="6"/>
        <v>1907.0096655588966</v>
      </c>
      <c r="T25" s="22">
        <f t="shared" si="7"/>
        <v>1050.0327365340963</v>
      </c>
    </row>
    <row r="26" spans="1:20" x14ac:dyDescent="0.2">
      <c r="A26" s="5">
        <v>35</v>
      </c>
      <c r="B26" s="1">
        <f t="shared" si="8"/>
        <v>1.5986501856491666</v>
      </c>
      <c r="C26" s="5">
        <f t="shared" si="9"/>
        <v>40210.457411278076</v>
      </c>
      <c r="D26" s="5">
        <f t="shared" si="0"/>
        <v>38856.882253657779</v>
      </c>
      <c r="E26" s="5">
        <f t="shared" si="1"/>
        <v>29356.882253657779</v>
      </c>
      <c r="F26" s="5">
        <f t="shared" si="2"/>
        <v>9886.772055819265</v>
      </c>
      <c r="G26" s="5">
        <f t="shared" si="3"/>
        <v>28970.110197838512</v>
      </c>
      <c r="H26" s="22">
        <f t="shared" si="10"/>
        <v>18094.705835075136</v>
      </c>
      <c r="I26" s="5">
        <f t="shared" si="4"/>
        <v>46069.607211984519</v>
      </c>
      <c r="J26" s="26">
        <f t="shared" si="5"/>
        <v>0.16386638183920488</v>
      </c>
      <c r="L26" s="22">
        <f t="shared" si="11"/>
        <v>72912.051395395814</v>
      </c>
      <c r="M26" s="5">
        <f>scrimecost*Meta!O23</f>
        <v>2762.4119999999998</v>
      </c>
      <c r="N26" s="5">
        <f>L26-Grade9!L26</f>
        <v>1985.5320359134494</v>
      </c>
      <c r="O26" s="5">
        <f>Grade9!M26-M26</f>
        <v>136.72800000000007</v>
      </c>
      <c r="P26" s="22">
        <f t="shared" si="12"/>
        <v>240.52384271028984</v>
      </c>
      <c r="Q26" s="22"/>
      <c r="R26" s="22"/>
      <c r="S26" s="22">
        <f t="shared" si="6"/>
        <v>1906.744873162387</v>
      </c>
      <c r="T26" s="22">
        <f t="shared" si="7"/>
        <v>1017.4265246511198</v>
      </c>
    </row>
    <row r="27" spans="1:20" x14ac:dyDescent="0.2">
      <c r="A27" s="5">
        <v>36</v>
      </c>
      <c r="B27" s="1">
        <f t="shared" si="8"/>
        <v>1.6386164402903955</v>
      </c>
      <c r="C27" s="5">
        <f t="shared" si="9"/>
        <v>41215.718846560027</v>
      </c>
      <c r="D27" s="5">
        <f t="shared" si="0"/>
        <v>39806.854309999224</v>
      </c>
      <c r="E27" s="5">
        <f t="shared" si="1"/>
        <v>30306.854309999224</v>
      </c>
      <c r="F27" s="5">
        <f t="shared" si="2"/>
        <v>10196.937932214747</v>
      </c>
      <c r="G27" s="5">
        <f t="shared" si="3"/>
        <v>29609.916377784477</v>
      </c>
      <c r="H27" s="22">
        <f t="shared" si="10"/>
        <v>18547.073480952011</v>
      </c>
      <c r="I27" s="5">
        <f t="shared" si="4"/>
        <v>47136.900817284128</v>
      </c>
      <c r="J27" s="26">
        <f t="shared" si="5"/>
        <v>0.16536165091125121</v>
      </c>
      <c r="L27" s="22">
        <f t="shared" si="11"/>
        <v>74734.852680280703</v>
      </c>
      <c r="M27" s="5">
        <f>scrimecost*Meta!O24</f>
        <v>2762.4119999999998</v>
      </c>
      <c r="N27" s="5">
        <f>L27-Grade9!L27</f>
        <v>2035.170336811294</v>
      </c>
      <c r="O27" s="5">
        <f>Grade9!M27-M27</f>
        <v>136.72800000000007</v>
      </c>
      <c r="P27" s="22">
        <f t="shared" si="12"/>
        <v>245.85962205766495</v>
      </c>
      <c r="Q27" s="22"/>
      <c r="R27" s="22"/>
      <c r="S27" s="22">
        <f t="shared" si="6"/>
        <v>1950.4367482559619</v>
      </c>
      <c r="T27" s="22">
        <f t="shared" si="7"/>
        <v>1008.5626075023978</v>
      </c>
    </row>
    <row r="28" spans="1:20" x14ac:dyDescent="0.2">
      <c r="A28" s="5">
        <v>37</v>
      </c>
      <c r="B28" s="1">
        <f t="shared" si="8"/>
        <v>1.6795818512976552</v>
      </c>
      <c r="C28" s="5">
        <f t="shared" si="9"/>
        <v>42246.111817724021</v>
      </c>
      <c r="D28" s="5">
        <f t="shared" si="0"/>
        <v>40780.575667749195</v>
      </c>
      <c r="E28" s="5">
        <f t="shared" si="1"/>
        <v>31280.575667749195</v>
      </c>
      <c r="F28" s="5">
        <f t="shared" si="2"/>
        <v>10514.857955520112</v>
      </c>
      <c r="G28" s="5">
        <f t="shared" si="3"/>
        <v>30265.717712229081</v>
      </c>
      <c r="H28" s="22">
        <f t="shared" si="10"/>
        <v>19010.75031797581</v>
      </c>
      <c r="I28" s="5">
        <f t="shared" si="4"/>
        <v>48230.876762716216</v>
      </c>
      <c r="J28" s="26">
        <f t="shared" si="5"/>
        <v>0.16682045000593049</v>
      </c>
      <c r="L28" s="22">
        <f t="shared" si="11"/>
        <v>76603.223997287714</v>
      </c>
      <c r="M28" s="5">
        <f>scrimecost*Meta!O25</f>
        <v>2762.4119999999998</v>
      </c>
      <c r="N28" s="5">
        <f>L28-Grade9!L28</f>
        <v>2086.0495952315541</v>
      </c>
      <c r="O28" s="5">
        <f>Grade9!M28-M28</f>
        <v>136.72800000000007</v>
      </c>
      <c r="P28" s="22">
        <f t="shared" si="12"/>
        <v>251.32879588872441</v>
      </c>
      <c r="Q28" s="22"/>
      <c r="R28" s="22"/>
      <c r="S28" s="22">
        <f t="shared" si="6"/>
        <v>1995.2209202268527</v>
      </c>
      <c r="T28" s="22">
        <f t="shared" si="7"/>
        <v>999.82157697359594</v>
      </c>
    </row>
    <row r="29" spans="1:20" x14ac:dyDescent="0.2">
      <c r="A29" s="5">
        <v>38</v>
      </c>
      <c r="B29" s="1">
        <f t="shared" si="8"/>
        <v>1.7215713975800966</v>
      </c>
      <c r="C29" s="5">
        <f t="shared" si="9"/>
        <v>43302.264613167121</v>
      </c>
      <c r="D29" s="5">
        <f t="shared" si="0"/>
        <v>41778.640059442929</v>
      </c>
      <c r="E29" s="5">
        <f t="shared" si="1"/>
        <v>32278.640059442929</v>
      </c>
      <c r="F29" s="5">
        <f t="shared" si="2"/>
        <v>10840.725979408116</v>
      </c>
      <c r="G29" s="5">
        <f t="shared" si="3"/>
        <v>30937.91408003481</v>
      </c>
      <c r="H29" s="22">
        <f t="shared" si="10"/>
        <v>19486.019075925204</v>
      </c>
      <c r="I29" s="5">
        <f t="shared" si="4"/>
        <v>49352.202106784127</v>
      </c>
      <c r="J29" s="26">
        <f t="shared" si="5"/>
        <v>0.16824366863488599</v>
      </c>
      <c r="L29" s="22">
        <f t="shared" si="11"/>
        <v>78518.304597219903</v>
      </c>
      <c r="M29" s="5">
        <f>scrimecost*Meta!O26</f>
        <v>2762.4119999999998</v>
      </c>
      <c r="N29" s="5">
        <f>L29-Grade9!L29</f>
        <v>2138.2008351123368</v>
      </c>
      <c r="O29" s="5">
        <f>Grade9!M29-M29</f>
        <v>136.72800000000007</v>
      </c>
      <c r="P29" s="22">
        <f t="shared" si="12"/>
        <v>256.93469906556049</v>
      </c>
      <c r="Q29" s="22"/>
      <c r="R29" s="22"/>
      <c r="S29" s="22">
        <f t="shared" si="6"/>
        <v>2041.1246964970287</v>
      </c>
      <c r="T29" s="22">
        <f t="shared" si="7"/>
        <v>991.20064511426801</v>
      </c>
    </row>
    <row r="30" spans="1:20" x14ac:dyDescent="0.2">
      <c r="A30" s="5">
        <v>39</v>
      </c>
      <c r="B30" s="1">
        <f t="shared" si="8"/>
        <v>1.7646106825195991</v>
      </c>
      <c r="C30" s="5">
        <f t="shared" si="9"/>
        <v>44384.821228496301</v>
      </c>
      <c r="D30" s="5">
        <f t="shared" si="0"/>
        <v>42801.656060929003</v>
      </c>
      <c r="E30" s="5">
        <f t="shared" si="1"/>
        <v>33301.656060929003</v>
      </c>
      <c r="F30" s="5">
        <f t="shared" si="2"/>
        <v>11174.74070389332</v>
      </c>
      <c r="G30" s="5">
        <f t="shared" si="3"/>
        <v>31626.915357035683</v>
      </c>
      <c r="H30" s="22">
        <f t="shared" si="10"/>
        <v>19973.169552823336</v>
      </c>
      <c r="I30" s="5">
        <f t="shared" si="4"/>
        <v>50501.560584453735</v>
      </c>
      <c r="J30" s="26">
        <f t="shared" si="5"/>
        <v>0.1696321746143547</v>
      </c>
      <c r="L30" s="22">
        <f t="shared" si="11"/>
        <v>80481.26221215041</v>
      </c>
      <c r="M30" s="5">
        <f>scrimecost*Meta!O27</f>
        <v>2762.4119999999998</v>
      </c>
      <c r="N30" s="5">
        <f>L30-Grade9!L30</f>
        <v>2191.655855990175</v>
      </c>
      <c r="O30" s="5">
        <f>Grade9!M30-M30</f>
        <v>136.72800000000007</v>
      </c>
      <c r="P30" s="22">
        <f t="shared" si="12"/>
        <v>262.68074982181736</v>
      </c>
      <c r="Q30" s="22"/>
      <c r="R30" s="22"/>
      <c r="S30" s="22">
        <f t="shared" si="6"/>
        <v>2088.1760671739862</v>
      </c>
      <c r="T30" s="22">
        <f t="shared" si="7"/>
        <v>982.69710340420011</v>
      </c>
    </row>
    <row r="31" spans="1:20" x14ac:dyDescent="0.2">
      <c r="A31" s="5">
        <v>40</v>
      </c>
      <c r="B31" s="1">
        <f t="shared" si="8"/>
        <v>1.8087259495825889</v>
      </c>
      <c r="C31" s="5">
        <f t="shared" si="9"/>
        <v>45494.441759208705</v>
      </c>
      <c r="D31" s="5">
        <f t="shared" si="0"/>
        <v>43850.247462452222</v>
      </c>
      <c r="E31" s="5">
        <f t="shared" si="1"/>
        <v>34350.247462452222</v>
      </c>
      <c r="F31" s="5">
        <f t="shared" si="2"/>
        <v>11517.10579649065</v>
      </c>
      <c r="G31" s="5">
        <f t="shared" si="3"/>
        <v>32333.141665961572</v>
      </c>
      <c r="H31" s="22">
        <f t="shared" si="10"/>
        <v>20472.498791643917</v>
      </c>
      <c r="I31" s="5">
        <f t="shared" si="4"/>
        <v>51679.653024065075</v>
      </c>
      <c r="J31" s="26">
        <f t="shared" si="5"/>
        <v>0.17098681459432413</v>
      </c>
      <c r="L31" s="22">
        <f t="shared" si="11"/>
        <v>82493.293767454161</v>
      </c>
      <c r="M31" s="5">
        <f>scrimecost*Meta!O28</f>
        <v>2467.8420000000001</v>
      </c>
      <c r="N31" s="5">
        <f>L31-Grade9!L31</f>
        <v>2246.4472523899167</v>
      </c>
      <c r="O31" s="5">
        <f>Grade9!M31-M31</f>
        <v>122.14800000000014</v>
      </c>
      <c r="P31" s="22">
        <f t="shared" si="12"/>
        <v>268.57045184698057</v>
      </c>
      <c r="Q31" s="22"/>
      <c r="R31" s="22"/>
      <c r="S31" s="22">
        <f t="shared" si="6"/>
        <v>2122.2465421178349</v>
      </c>
      <c r="T31" s="22">
        <f t="shared" si="7"/>
        <v>967.85192910752301</v>
      </c>
    </row>
    <row r="32" spans="1:20" x14ac:dyDescent="0.2">
      <c r="A32" s="5">
        <v>41</v>
      </c>
      <c r="B32" s="1">
        <f t="shared" si="8"/>
        <v>1.8539440983221533</v>
      </c>
      <c r="C32" s="5">
        <f t="shared" si="9"/>
        <v>46631.802803188919</v>
      </c>
      <c r="D32" s="5">
        <f t="shared" si="0"/>
        <v>44925.053649013527</v>
      </c>
      <c r="E32" s="5">
        <f t="shared" si="1"/>
        <v>35425.053649013527</v>
      </c>
      <c r="F32" s="5">
        <f t="shared" si="2"/>
        <v>11960.535381304271</v>
      </c>
      <c r="G32" s="5">
        <f t="shared" si="3"/>
        <v>32964.518267709253</v>
      </c>
      <c r="H32" s="22">
        <f t="shared" si="10"/>
        <v>20984.311261435014</v>
      </c>
      <c r="I32" s="5">
        <f t="shared" si="4"/>
        <v>52794.692409765339</v>
      </c>
      <c r="J32" s="26">
        <f t="shared" si="5"/>
        <v>0.17375613567473081</v>
      </c>
      <c r="L32" s="22">
        <f t="shared" si="11"/>
        <v>84555.626111640493</v>
      </c>
      <c r="M32" s="5">
        <f>scrimecost*Meta!O29</f>
        <v>2467.8420000000001</v>
      </c>
      <c r="N32" s="5">
        <f>L32-Grade9!L32</f>
        <v>2302.6084336996573</v>
      </c>
      <c r="O32" s="5">
        <f>Grade9!M32-M32</f>
        <v>122.14800000000014</v>
      </c>
      <c r="P32" s="22">
        <f t="shared" si="12"/>
        <v>276.19876495530849</v>
      </c>
      <c r="Q32" s="22"/>
      <c r="R32" s="22"/>
      <c r="S32" s="22">
        <f t="shared" si="6"/>
        <v>2173.2251072803761</v>
      </c>
      <c r="T32" s="22">
        <f t="shared" si="7"/>
        <v>960.45787684126401</v>
      </c>
    </row>
    <row r="33" spans="1:20" x14ac:dyDescent="0.2">
      <c r="A33" s="5">
        <v>42</v>
      </c>
      <c r="B33" s="1">
        <f t="shared" si="8"/>
        <v>1.9002927007802071</v>
      </c>
      <c r="C33" s="5">
        <f t="shared" si="9"/>
        <v>47797.597873268634</v>
      </c>
      <c r="D33" s="5">
        <f t="shared" si="0"/>
        <v>46026.729990238855</v>
      </c>
      <c r="E33" s="5">
        <f t="shared" si="1"/>
        <v>36526.729990238855</v>
      </c>
      <c r="F33" s="5">
        <f t="shared" si="2"/>
        <v>12430.400340836872</v>
      </c>
      <c r="G33" s="5">
        <f t="shared" si="3"/>
        <v>33596.329649401981</v>
      </c>
      <c r="H33" s="22">
        <f t="shared" si="10"/>
        <v>21508.919042970887</v>
      </c>
      <c r="I33" s="5">
        <f t="shared" si="4"/>
        <v>53922.258145009473</v>
      </c>
      <c r="J33" s="26">
        <f t="shared" si="5"/>
        <v>0.17669227702496859</v>
      </c>
      <c r="L33" s="22">
        <f t="shared" si="11"/>
        <v>86669.516764431508</v>
      </c>
      <c r="M33" s="5">
        <f>scrimecost*Meta!O30</f>
        <v>2467.8420000000001</v>
      </c>
      <c r="N33" s="5">
        <f>L33-Grade9!L33</f>
        <v>2360.1736445421557</v>
      </c>
      <c r="O33" s="5">
        <f>Grade9!M33-M33</f>
        <v>122.14800000000014</v>
      </c>
      <c r="P33" s="22">
        <f t="shared" si="12"/>
        <v>284.28184545489444</v>
      </c>
      <c r="Q33" s="22"/>
      <c r="R33" s="22"/>
      <c r="S33" s="22">
        <f t="shared" si="6"/>
        <v>2225.7345384081991</v>
      </c>
      <c r="T33" s="22">
        <f t="shared" si="7"/>
        <v>953.25150002852581</v>
      </c>
    </row>
    <row r="34" spans="1:20" x14ac:dyDescent="0.2">
      <c r="A34" s="5">
        <v>43</v>
      </c>
      <c r="B34" s="1">
        <f t="shared" si="8"/>
        <v>1.9478000182997122</v>
      </c>
      <c r="C34" s="5">
        <f t="shared" si="9"/>
        <v>48992.537820100348</v>
      </c>
      <c r="D34" s="5">
        <f t="shared" si="0"/>
        <v>47155.948239994825</v>
      </c>
      <c r="E34" s="5">
        <f t="shared" si="1"/>
        <v>37655.948239994825</v>
      </c>
      <c r="F34" s="5">
        <f t="shared" si="2"/>
        <v>12912.011924357794</v>
      </c>
      <c r="G34" s="5">
        <f t="shared" si="3"/>
        <v>34243.936315637031</v>
      </c>
      <c r="H34" s="22">
        <f t="shared" si="10"/>
        <v>22046.642019045157</v>
      </c>
      <c r="I34" s="5">
        <f t="shared" si="4"/>
        <v>55078.013023634703</v>
      </c>
      <c r="J34" s="26">
        <f t="shared" si="5"/>
        <v>0.17955680517154213</v>
      </c>
      <c r="L34" s="22">
        <f t="shared" si="11"/>
        <v>88836.254683542284</v>
      </c>
      <c r="M34" s="5">
        <f>scrimecost*Meta!O31</f>
        <v>2467.8420000000001</v>
      </c>
      <c r="N34" s="5">
        <f>L34-Grade9!L34</f>
        <v>2419.1779856556968</v>
      </c>
      <c r="O34" s="5">
        <f>Grade9!M34-M34</f>
        <v>122.14800000000014</v>
      </c>
      <c r="P34" s="22">
        <f t="shared" si="12"/>
        <v>292.56700296697016</v>
      </c>
      <c r="Q34" s="22"/>
      <c r="R34" s="22"/>
      <c r="S34" s="22">
        <f t="shared" si="6"/>
        <v>2279.5567053142017</v>
      </c>
      <c r="T34" s="22">
        <f t="shared" si="7"/>
        <v>946.11745662419514</v>
      </c>
    </row>
    <row r="35" spans="1:20" x14ac:dyDescent="0.2">
      <c r="A35" s="5">
        <v>44</v>
      </c>
      <c r="B35" s="1">
        <f t="shared" si="8"/>
        <v>1.9964950187572048</v>
      </c>
      <c r="C35" s="5">
        <f t="shared" si="9"/>
        <v>50217.351265602847</v>
      </c>
      <c r="D35" s="5">
        <f t="shared" si="0"/>
        <v>48313.396945994689</v>
      </c>
      <c r="E35" s="5">
        <f t="shared" si="1"/>
        <v>38813.396945994689</v>
      </c>
      <c r="F35" s="5">
        <f t="shared" si="2"/>
        <v>13405.663797466736</v>
      </c>
      <c r="G35" s="5">
        <f t="shared" si="3"/>
        <v>34907.733148527957</v>
      </c>
      <c r="H35" s="22">
        <f t="shared" si="10"/>
        <v>22597.808069521285</v>
      </c>
      <c r="I35" s="5">
        <f t="shared" si="4"/>
        <v>56262.661774225569</v>
      </c>
      <c r="J35" s="26">
        <f t="shared" si="5"/>
        <v>0.18235146677795527</v>
      </c>
      <c r="L35" s="22">
        <f t="shared" si="11"/>
        <v>91057.16105063085</v>
      </c>
      <c r="M35" s="5">
        <f>scrimecost*Meta!O32</f>
        <v>2467.8420000000001</v>
      </c>
      <c r="N35" s="5">
        <f>L35-Grade9!L35</f>
        <v>2479.6574352971074</v>
      </c>
      <c r="O35" s="5">
        <f>Grade9!M35-M35</f>
        <v>122.14800000000014</v>
      </c>
      <c r="P35" s="22">
        <f t="shared" si="12"/>
        <v>301.05928941684772</v>
      </c>
      <c r="Q35" s="22"/>
      <c r="R35" s="22"/>
      <c r="S35" s="22">
        <f t="shared" si="6"/>
        <v>2334.7244263928787</v>
      </c>
      <c r="T35" s="22">
        <f t="shared" si="7"/>
        <v>939.05451703465087</v>
      </c>
    </row>
    <row r="36" spans="1:20" x14ac:dyDescent="0.2">
      <c r="A36" s="5">
        <v>45</v>
      </c>
      <c r="B36" s="1">
        <f t="shared" si="8"/>
        <v>2.0464073942261352</v>
      </c>
      <c r="C36" s="5">
        <f t="shared" si="9"/>
        <v>51472.785047242935</v>
      </c>
      <c r="D36" s="5">
        <f t="shared" si="0"/>
        <v>49499.781869644568</v>
      </c>
      <c r="E36" s="5">
        <f t="shared" si="1"/>
        <v>39999.781869644568</v>
      </c>
      <c r="F36" s="5">
        <f t="shared" si="2"/>
        <v>13911.656967403409</v>
      </c>
      <c r="G36" s="5">
        <f t="shared" si="3"/>
        <v>35588.124902241158</v>
      </c>
      <c r="H36" s="22">
        <f t="shared" si="10"/>
        <v>23162.75327125932</v>
      </c>
      <c r="I36" s="5">
        <f t="shared" si="4"/>
        <v>57476.926743581214</v>
      </c>
      <c r="J36" s="26">
        <f t="shared" si="5"/>
        <v>0.18507796590616332</v>
      </c>
      <c r="L36" s="22">
        <f t="shared" si="11"/>
        <v>93333.590076896624</v>
      </c>
      <c r="M36" s="5">
        <f>scrimecost*Meta!O33</f>
        <v>2092.538</v>
      </c>
      <c r="N36" s="5">
        <f>L36-Grade9!L36</f>
        <v>2541.6488711795537</v>
      </c>
      <c r="O36" s="5">
        <f>Grade9!M36-M36</f>
        <v>103.57200000000012</v>
      </c>
      <c r="P36" s="22">
        <f t="shared" si="12"/>
        <v>309.76388302797233</v>
      </c>
      <c r="Q36" s="22"/>
      <c r="R36" s="22"/>
      <c r="S36" s="22">
        <f t="shared" si="6"/>
        <v>2373.2340444985239</v>
      </c>
      <c r="T36" s="22">
        <f t="shared" si="7"/>
        <v>925.03096801753418</v>
      </c>
    </row>
    <row r="37" spans="1:20" x14ac:dyDescent="0.2">
      <c r="A37" s="5">
        <v>46</v>
      </c>
      <c r="B37" s="1">
        <f t="shared" ref="B37:B56" si="13">(1+experiencepremium)^(A37-startage)</f>
        <v>2.097567579081788</v>
      </c>
      <c r="C37" s="5">
        <f t="shared" ref="C37:C56" si="14">pretaxincome*B37/expnorm</f>
        <v>52759.604673423994</v>
      </c>
      <c r="D37" s="5">
        <f t="shared" ref="D37:D56" si="15">IF(A37&lt;startage,1,0)*(C37*(1-initialunempprob))+IF(A37=startage,1,0)*(C37*(1-unempprob))+IF(A37&gt;startage,1,0)*(C37*(1-unempprob)+unempprob*300*52)</f>
        <v>50715.826416385673</v>
      </c>
      <c r="E37" s="5">
        <f t="shared" si="1"/>
        <v>41215.826416385673</v>
      </c>
      <c r="F37" s="5">
        <f t="shared" si="2"/>
        <v>14430.299966588489</v>
      </c>
      <c r="G37" s="5">
        <f t="shared" si="3"/>
        <v>36285.52644979718</v>
      </c>
      <c r="H37" s="22">
        <f t="shared" ref="H37:H56" si="16">benefits*B37/expnorm</f>
        <v>23741.822103040795</v>
      </c>
      <c r="I37" s="5">
        <f t="shared" ref="I37:I56" si="17">G37+IF(A37&lt;startage,1,0)*(H37*(1-initialunempprob))+IF(A37&gt;=startage,1,0)*(H37*(1-unempprob))</f>
        <v>58721.548337170731</v>
      </c>
      <c r="J37" s="26">
        <f t="shared" si="5"/>
        <v>0.18773796505563448</v>
      </c>
      <c r="L37" s="22">
        <f t="shared" ref="L37:L56" si="18">(sincome+sbenefits)*(1-sunemp)*B37/expnorm</f>
        <v>95666.929828819004</v>
      </c>
      <c r="M37" s="5">
        <f>scrimecost*Meta!O34</f>
        <v>2092.538</v>
      </c>
      <c r="N37" s="5">
        <f>L37-Grade9!L37</f>
        <v>2605.1900929589756</v>
      </c>
      <c r="O37" s="5">
        <f>Grade9!M37-M37</f>
        <v>103.57200000000012</v>
      </c>
      <c r="P37" s="22">
        <f t="shared" si="12"/>
        <v>318.68609147937485</v>
      </c>
      <c r="Q37" s="22"/>
      <c r="R37" s="22"/>
      <c r="S37" s="22">
        <f t="shared" si="6"/>
        <v>2431.1946314567422</v>
      </c>
      <c r="T37" s="22">
        <f t="shared" si="7"/>
        <v>918.32404099060318</v>
      </c>
    </row>
    <row r="38" spans="1:20" x14ac:dyDescent="0.2">
      <c r="A38" s="5">
        <v>47</v>
      </c>
      <c r="B38" s="1">
        <f t="shared" si="13"/>
        <v>2.1500067685588333</v>
      </c>
      <c r="C38" s="5">
        <f t="shared" si="14"/>
        <v>54078.594790259609</v>
      </c>
      <c r="D38" s="5">
        <f t="shared" si="15"/>
        <v>51962.272076795329</v>
      </c>
      <c r="E38" s="5">
        <f t="shared" si="1"/>
        <v>42462.272076795329</v>
      </c>
      <c r="F38" s="5">
        <f t="shared" si="2"/>
        <v>14961.909040753209</v>
      </c>
      <c r="G38" s="5">
        <f t="shared" si="3"/>
        <v>37000.363036042123</v>
      </c>
      <c r="H38" s="22">
        <f t="shared" si="16"/>
        <v>24335.367655616825</v>
      </c>
      <c r="I38" s="5">
        <f t="shared" si="17"/>
        <v>59997.285470600022</v>
      </c>
      <c r="J38" s="26">
        <f t="shared" ref="J38:J56" si="19">(F38-(IF(A38&gt;startage,1,0)*(unempprob*300*52)))/(IF(A38&lt;startage,1,0)*((C38+H38)*(1-initialunempprob))+IF(A38&gt;=startage,1,0)*((C38+H38)*(1-unempprob)))</f>
        <v>0.19033308617706984</v>
      </c>
      <c r="L38" s="22">
        <f t="shared" si="18"/>
        <v>98058.603074539511</v>
      </c>
      <c r="M38" s="5">
        <f>scrimecost*Meta!O35</f>
        <v>2092.538</v>
      </c>
      <c r="N38" s="5">
        <f>L38-Grade9!L38</f>
        <v>2670.3198452829965</v>
      </c>
      <c r="O38" s="5">
        <f>Grade9!M38-M38</f>
        <v>103.57200000000012</v>
      </c>
      <c r="P38" s="22">
        <f t="shared" si="12"/>
        <v>327.8313551420627</v>
      </c>
      <c r="Q38" s="22"/>
      <c r="R38" s="22"/>
      <c r="S38" s="22">
        <f t="shared" ref="S38:S69" si="20">IF(A38&lt;startage,1,0)*(N38-Q38-R38)+IF(A38&gt;=startage,1,0)*completionprob*(N38*spart+O38+P38)</f>
        <v>2490.604233089005</v>
      </c>
      <c r="T38" s="22">
        <f t="shared" ref="T38:T69" si="21">S38/sreturn^(A38-startage+1)</f>
        <v>911.67799238552561</v>
      </c>
    </row>
    <row r="39" spans="1:20" x14ac:dyDescent="0.2">
      <c r="A39" s="5">
        <v>48</v>
      </c>
      <c r="B39" s="1">
        <f t="shared" si="13"/>
        <v>2.2037569377728037</v>
      </c>
      <c r="C39" s="5">
        <f t="shared" si="14"/>
        <v>55430.559660016079</v>
      </c>
      <c r="D39" s="5">
        <f t="shared" si="15"/>
        <v>53239.878878715193</v>
      </c>
      <c r="E39" s="5">
        <f t="shared" si="1"/>
        <v>43739.878878715193</v>
      </c>
      <c r="F39" s="5">
        <f t="shared" si="2"/>
        <v>15506.80834177203</v>
      </c>
      <c r="G39" s="5">
        <f t="shared" si="3"/>
        <v>37733.070536943167</v>
      </c>
      <c r="H39" s="22">
        <f t="shared" si="16"/>
        <v>24943.751847007239</v>
      </c>
      <c r="I39" s="5">
        <f t="shared" si="17"/>
        <v>61304.916032365007</v>
      </c>
      <c r="J39" s="26">
        <f t="shared" si="19"/>
        <v>0.19286491166139694</v>
      </c>
      <c r="L39" s="22">
        <f t="shared" si="18"/>
        <v>100510.06815140299</v>
      </c>
      <c r="M39" s="5">
        <f>scrimecost*Meta!O36</f>
        <v>2092.538</v>
      </c>
      <c r="N39" s="5">
        <f>L39-Grade9!L39</f>
        <v>2737.07784141507</v>
      </c>
      <c r="O39" s="5">
        <f>Grade9!M39-M39</f>
        <v>103.57200000000012</v>
      </c>
      <c r="P39" s="22">
        <f t="shared" ref="P39:P56" si="22">(spart-initialspart)*(L39*J39+nptrans)</f>
        <v>337.20525039631747</v>
      </c>
      <c r="Q39" s="22"/>
      <c r="R39" s="22"/>
      <c r="S39" s="22">
        <f t="shared" si="20"/>
        <v>2551.4990747620368</v>
      </c>
      <c r="T39" s="22">
        <f t="shared" si="21"/>
        <v>905.09192009709272</v>
      </c>
    </row>
    <row r="40" spans="1:20" x14ac:dyDescent="0.2">
      <c r="A40" s="5">
        <v>49</v>
      </c>
      <c r="B40" s="1">
        <f t="shared" si="13"/>
        <v>2.2588508612171236</v>
      </c>
      <c r="C40" s="5">
        <f t="shared" si="14"/>
        <v>56816.323651516483</v>
      </c>
      <c r="D40" s="5">
        <f t="shared" si="15"/>
        <v>54549.425850683074</v>
      </c>
      <c r="E40" s="5">
        <f t="shared" si="1"/>
        <v>45049.425850683074</v>
      </c>
      <c r="F40" s="5">
        <f t="shared" si="2"/>
        <v>16065.33012531633</v>
      </c>
      <c r="G40" s="5">
        <f t="shared" si="3"/>
        <v>38484.095725366744</v>
      </c>
      <c r="H40" s="22">
        <f t="shared" si="16"/>
        <v>25567.345643182416</v>
      </c>
      <c r="I40" s="5">
        <f t="shared" si="17"/>
        <v>62645.237358174127</v>
      </c>
      <c r="J40" s="26">
        <f t="shared" si="19"/>
        <v>0.19533498530464294</v>
      </c>
      <c r="L40" s="22">
        <f t="shared" si="18"/>
        <v>103022.81985518805</v>
      </c>
      <c r="M40" s="5">
        <f>scrimecost*Meta!O37</f>
        <v>2092.538</v>
      </c>
      <c r="N40" s="5">
        <f>L40-Grade9!L40</f>
        <v>2805.5047874504235</v>
      </c>
      <c r="O40" s="5">
        <f>Grade9!M40-M40</f>
        <v>103.57200000000012</v>
      </c>
      <c r="P40" s="22">
        <f t="shared" si="22"/>
        <v>346.81349303192877</v>
      </c>
      <c r="Q40" s="22"/>
      <c r="R40" s="22"/>
      <c r="S40" s="22">
        <f t="shared" si="20"/>
        <v>2613.9162874768776</v>
      </c>
      <c r="T40" s="22">
        <f t="shared" si="21"/>
        <v>898.56494335340801</v>
      </c>
    </row>
    <row r="41" spans="1:20" x14ac:dyDescent="0.2">
      <c r="A41" s="5">
        <v>50</v>
      </c>
      <c r="B41" s="1">
        <f t="shared" si="13"/>
        <v>2.3153221327475517</v>
      </c>
      <c r="C41" s="5">
        <f t="shared" si="14"/>
        <v>58236.731742804397</v>
      </c>
      <c r="D41" s="5">
        <f t="shared" si="15"/>
        <v>55891.711496950149</v>
      </c>
      <c r="E41" s="5">
        <f t="shared" si="1"/>
        <v>46391.711496950149</v>
      </c>
      <c r="F41" s="5">
        <f t="shared" si="2"/>
        <v>16637.814953449237</v>
      </c>
      <c r="G41" s="5">
        <f t="shared" si="3"/>
        <v>39253.896543500916</v>
      </c>
      <c r="H41" s="22">
        <f t="shared" si="16"/>
        <v>26206.529284261978</v>
      </c>
      <c r="I41" s="5">
        <f t="shared" si="17"/>
        <v>64019.066717128488</v>
      </c>
      <c r="J41" s="26">
        <f t="shared" si="19"/>
        <v>0.19774481324927315</v>
      </c>
      <c r="L41" s="22">
        <f t="shared" si="18"/>
        <v>105598.39035156775</v>
      </c>
      <c r="M41" s="5">
        <f>scrimecost*Meta!O38</f>
        <v>1514.308</v>
      </c>
      <c r="N41" s="5">
        <f>L41-Grade9!L41</f>
        <v>2875.6424071367073</v>
      </c>
      <c r="O41" s="5">
        <f>Grade9!M41-M41</f>
        <v>74.951999999999998</v>
      </c>
      <c r="P41" s="22">
        <f t="shared" si="22"/>
        <v>356.6619417334303</v>
      </c>
      <c r="Q41" s="22"/>
      <c r="R41" s="22"/>
      <c r="S41" s="22">
        <f t="shared" si="20"/>
        <v>2650.1039105096256</v>
      </c>
      <c r="T41" s="22">
        <f t="shared" si="21"/>
        <v>882.83841521924921</v>
      </c>
    </row>
    <row r="42" spans="1:20" x14ac:dyDescent="0.2">
      <c r="A42" s="5">
        <v>51</v>
      </c>
      <c r="B42" s="1">
        <f t="shared" si="13"/>
        <v>2.3732051860662402</v>
      </c>
      <c r="C42" s="5">
        <f t="shared" si="14"/>
        <v>59692.650036374493</v>
      </c>
      <c r="D42" s="5">
        <f t="shared" si="15"/>
        <v>57267.554284373895</v>
      </c>
      <c r="E42" s="5">
        <f t="shared" si="1"/>
        <v>47767.554284373895</v>
      </c>
      <c r="F42" s="5">
        <f t="shared" si="2"/>
        <v>17224.611902285469</v>
      </c>
      <c r="G42" s="5">
        <f t="shared" si="3"/>
        <v>40042.942382088426</v>
      </c>
      <c r="H42" s="22">
        <f t="shared" si="16"/>
        <v>26861.692516368523</v>
      </c>
      <c r="I42" s="5">
        <f t="shared" si="17"/>
        <v>65427.241810056679</v>
      </c>
      <c r="J42" s="26">
        <f t="shared" si="19"/>
        <v>0.200095864902571</v>
      </c>
      <c r="L42" s="22">
        <f t="shared" si="18"/>
        <v>108238.35011035693</v>
      </c>
      <c r="M42" s="5">
        <f>scrimecost*Meta!O39</f>
        <v>1514.308</v>
      </c>
      <c r="N42" s="5">
        <f>L42-Grade9!L42</f>
        <v>2947.5334673151083</v>
      </c>
      <c r="O42" s="5">
        <f>Grade9!M42-M42</f>
        <v>74.951999999999998</v>
      </c>
      <c r="P42" s="22">
        <f t="shared" si="22"/>
        <v>366.75660165246944</v>
      </c>
      <c r="Q42" s="22"/>
      <c r="R42" s="22"/>
      <c r="S42" s="22">
        <f t="shared" si="20"/>
        <v>2715.6809946181611</v>
      </c>
      <c r="T42" s="22">
        <f t="shared" si="21"/>
        <v>876.71330185016905</v>
      </c>
    </row>
    <row r="43" spans="1:20" x14ac:dyDescent="0.2">
      <c r="A43" s="5">
        <v>52</v>
      </c>
      <c r="B43" s="1">
        <f t="shared" si="13"/>
        <v>2.4325353157178964</v>
      </c>
      <c r="C43" s="5">
        <f t="shared" si="14"/>
        <v>61184.96628728386</v>
      </c>
      <c r="D43" s="5">
        <f t="shared" si="15"/>
        <v>58677.793141483242</v>
      </c>
      <c r="E43" s="5">
        <f t="shared" si="1"/>
        <v>49177.793141483242</v>
      </c>
      <c r="F43" s="5">
        <f t="shared" si="2"/>
        <v>17826.078774842601</v>
      </c>
      <c r="G43" s="5">
        <f t="shared" si="3"/>
        <v>40851.714366640641</v>
      </c>
      <c r="H43" s="22">
        <f t="shared" si="16"/>
        <v>27533.234829277739</v>
      </c>
      <c r="I43" s="5">
        <f t="shared" si="17"/>
        <v>66870.6212803081</v>
      </c>
      <c r="J43" s="26">
        <f t="shared" si="19"/>
        <v>0.20238957383261755</v>
      </c>
      <c r="L43" s="22">
        <f t="shared" si="18"/>
        <v>110944.30886311586</v>
      </c>
      <c r="M43" s="5">
        <f>scrimecost*Meta!O40</f>
        <v>1514.308</v>
      </c>
      <c r="N43" s="5">
        <f>L43-Grade9!L43</f>
        <v>3021.2218039979925</v>
      </c>
      <c r="O43" s="5">
        <f>Grade9!M43-M43</f>
        <v>74.951999999999998</v>
      </c>
      <c r="P43" s="22">
        <f t="shared" si="22"/>
        <v>377.10362806948439</v>
      </c>
      <c r="Q43" s="22"/>
      <c r="R43" s="22"/>
      <c r="S43" s="22">
        <f t="shared" si="20"/>
        <v>2782.8975058294282</v>
      </c>
      <c r="T43" s="22">
        <f t="shared" si="21"/>
        <v>870.63591391243426</v>
      </c>
    </row>
    <row r="44" spans="1:20" x14ac:dyDescent="0.2">
      <c r="A44" s="5">
        <v>53</v>
      </c>
      <c r="B44" s="1">
        <f t="shared" si="13"/>
        <v>2.4933486986108435</v>
      </c>
      <c r="C44" s="5">
        <f t="shared" si="14"/>
        <v>62714.590444465954</v>
      </c>
      <c r="D44" s="5">
        <f t="shared" si="15"/>
        <v>60123.287970020327</v>
      </c>
      <c r="E44" s="5">
        <f t="shared" si="1"/>
        <v>50623.287970020327</v>
      </c>
      <c r="F44" s="5">
        <f t="shared" si="2"/>
        <v>18442.58231921367</v>
      </c>
      <c r="G44" s="5">
        <f t="shared" si="3"/>
        <v>41680.70565080666</v>
      </c>
      <c r="H44" s="22">
        <f t="shared" si="16"/>
        <v>28221.56570000968</v>
      </c>
      <c r="I44" s="5">
        <f t="shared" si="17"/>
        <v>68350.085237315798</v>
      </c>
      <c r="J44" s="26">
        <f t="shared" si="19"/>
        <v>0.20462733864241919</v>
      </c>
      <c r="L44" s="22">
        <f t="shared" si="18"/>
        <v>113717.91658469375</v>
      </c>
      <c r="M44" s="5">
        <f>scrimecost*Meta!O41</f>
        <v>1514.308</v>
      </c>
      <c r="N44" s="5">
        <f>L44-Grade9!L44</f>
        <v>3096.7523490979802</v>
      </c>
      <c r="O44" s="5">
        <f>Grade9!M44-M44</f>
        <v>74.951999999999998</v>
      </c>
      <c r="P44" s="22">
        <f t="shared" si="22"/>
        <v>387.70933014692491</v>
      </c>
      <c r="Q44" s="22"/>
      <c r="R44" s="22"/>
      <c r="S44" s="22">
        <f t="shared" si="20"/>
        <v>2851.7944298210014</v>
      </c>
      <c r="T44" s="22">
        <f t="shared" si="21"/>
        <v>864.60572361082791</v>
      </c>
    </row>
    <row r="45" spans="1:20" x14ac:dyDescent="0.2">
      <c r="A45" s="5">
        <v>54</v>
      </c>
      <c r="B45" s="1">
        <f t="shared" si="13"/>
        <v>2.555682416076114</v>
      </c>
      <c r="C45" s="5">
        <f t="shared" si="14"/>
        <v>64282.455205577593</v>
      </c>
      <c r="D45" s="5">
        <f t="shared" si="15"/>
        <v>61604.920169270823</v>
      </c>
      <c r="E45" s="5">
        <f t="shared" si="1"/>
        <v>52104.920169270823</v>
      </c>
      <c r="F45" s="5">
        <f t="shared" si="2"/>
        <v>19074.498452194006</v>
      </c>
      <c r="G45" s="5">
        <f t="shared" si="3"/>
        <v>42530.421717076817</v>
      </c>
      <c r="H45" s="22">
        <f t="shared" si="16"/>
        <v>28927.104842509914</v>
      </c>
      <c r="I45" s="5">
        <f t="shared" si="17"/>
        <v>69866.53579324868</v>
      </c>
      <c r="J45" s="26">
        <f t="shared" si="19"/>
        <v>0.20681052382271342</v>
      </c>
      <c r="L45" s="22">
        <f t="shared" si="18"/>
        <v>116560.86449931106</v>
      </c>
      <c r="M45" s="5">
        <f>scrimecost*Meta!O42</f>
        <v>1514.308</v>
      </c>
      <c r="N45" s="5">
        <f>L45-Grade9!L45</f>
        <v>3174.1711578253744</v>
      </c>
      <c r="O45" s="5">
        <f>Grade9!M45-M45</f>
        <v>74.951999999999998</v>
      </c>
      <c r="P45" s="22">
        <f t="shared" si="22"/>
        <v>398.58017477630131</v>
      </c>
      <c r="Q45" s="22"/>
      <c r="R45" s="22"/>
      <c r="S45" s="22">
        <f t="shared" si="20"/>
        <v>2922.4137769122908</v>
      </c>
      <c r="T45" s="22">
        <f t="shared" si="21"/>
        <v>858.62221312692293</v>
      </c>
    </row>
    <row r="46" spans="1:20" x14ac:dyDescent="0.2">
      <c r="A46" s="5">
        <v>55</v>
      </c>
      <c r="B46" s="1">
        <f t="shared" si="13"/>
        <v>2.6195744764780171</v>
      </c>
      <c r="C46" s="5">
        <f t="shared" si="14"/>
        <v>65889.516585717036</v>
      </c>
      <c r="D46" s="5">
        <f t="shared" si="15"/>
        <v>63123.593173502595</v>
      </c>
      <c r="E46" s="5">
        <f t="shared" si="1"/>
        <v>53623.593173502595</v>
      </c>
      <c r="F46" s="5">
        <f t="shared" si="2"/>
        <v>19722.212488498859</v>
      </c>
      <c r="G46" s="5">
        <f t="shared" si="3"/>
        <v>43401.380685003736</v>
      </c>
      <c r="H46" s="22">
        <f t="shared" si="16"/>
        <v>29650.282463572665</v>
      </c>
      <c r="I46" s="5">
        <f t="shared" si="17"/>
        <v>71420.897613079898</v>
      </c>
      <c r="J46" s="26">
        <f t="shared" si="19"/>
        <v>0.20894046058397611</v>
      </c>
      <c r="L46" s="22">
        <f t="shared" si="18"/>
        <v>119474.88611179386</v>
      </c>
      <c r="M46" s="5">
        <f>scrimecost*Meta!O43</f>
        <v>905.53</v>
      </c>
      <c r="N46" s="5">
        <f>L46-Grade9!L46</f>
        <v>3253.525436771044</v>
      </c>
      <c r="O46" s="5">
        <f>Grade9!M46-M46</f>
        <v>44.819999999999936</v>
      </c>
      <c r="P46" s="22">
        <f t="shared" si="22"/>
        <v>409.72279052141226</v>
      </c>
      <c r="Q46" s="22"/>
      <c r="R46" s="22"/>
      <c r="S46" s="22">
        <f t="shared" si="20"/>
        <v>2965.5404356809336</v>
      </c>
      <c r="T46" s="22">
        <f t="shared" si="21"/>
        <v>844.35443081292885</v>
      </c>
    </row>
    <row r="47" spans="1:20" x14ac:dyDescent="0.2">
      <c r="A47" s="5">
        <v>56</v>
      </c>
      <c r="B47" s="1">
        <f t="shared" si="13"/>
        <v>2.6850638383899672</v>
      </c>
      <c r="C47" s="5">
        <f t="shared" si="14"/>
        <v>67536.754500359952</v>
      </c>
      <c r="D47" s="5">
        <f t="shared" si="15"/>
        <v>64680.233002840148</v>
      </c>
      <c r="E47" s="5">
        <f t="shared" si="1"/>
        <v>55180.233002840148</v>
      </c>
      <c r="F47" s="5">
        <f t="shared" si="2"/>
        <v>20386.119375711321</v>
      </c>
      <c r="G47" s="5">
        <f t="shared" si="3"/>
        <v>44294.113627128827</v>
      </c>
      <c r="H47" s="22">
        <f t="shared" si="16"/>
        <v>30391.539525161978</v>
      </c>
      <c r="I47" s="5">
        <f t="shared" si="17"/>
        <v>73014.11847840689</v>
      </c>
      <c r="J47" s="26">
        <f t="shared" si="19"/>
        <v>0.21101844766813474</v>
      </c>
      <c r="L47" s="22">
        <f t="shared" si="18"/>
        <v>122461.75826458867</v>
      </c>
      <c r="M47" s="5">
        <f>scrimecost*Meta!O44</f>
        <v>905.53</v>
      </c>
      <c r="N47" s="5">
        <f>L47-Grade9!L47</f>
        <v>3334.8635726903012</v>
      </c>
      <c r="O47" s="5">
        <f>Grade9!M47-M47</f>
        <v>44.819999999999936</v>
      </c>
      <c r="P47" s="22">
        <f t="shared" si="22"/>
        <v>421.14397166015067</v>
      </c>
      <c r="Q47" s="22"/>
      <c r="R47" s="22"/>
      <c r="S47" s="22">
        <f t="shared" si="20"/>
        <v>3039.7348872187504</v>
      </c>
      <c r="T47" s="22">
        <f t="shared" si="21"/>
        <v>838.72032581319991</v>
      </c>
    </row>
    <row r="48" spans="1:20" x14ac:dyDescent="0.2">
      <c r="A48" s="5">
        <v>57</v>
      </c>
      <c r="B48" s="1">
        <f t="shared" si="13"/>
        <v>2.7521904343497163</v>
      </c>
      <c r="C48" s="5">
        <f t="shared" si="14"/>
        <v>69225.173362868954</v>
      </c>
      <c r="D48" s="5">
        <f t="shared" si="15"/>
        <v>66275.788827911165</v>
      </c>
      <c r="E48" s="5">
        <f t="shared" si="1"/>
        <v>56775.788827911165</v>
      </c>
      <c r="F48" s="5">
        <f t="shared" si="2"/>
        <v>21066.623935104111</v>
      </c>
      <c r="G48" s="5">
        <f t="shared" si="3"/>
        <v>45209.16489280705</v>
      </c>
      <c r="H48" s="22">
        <f t="shared" si="16"/>
        <v>31151.328013291026</v>
      </c>
      <c r="I48" s="5">
        <f t="shared" si="17"/>
        <v>74647.169865367061</v>
      </c>
      <c r="J48" s="26">
        <f t="shared" si="19"/>
        <v>0.21304575214048474</v>
      </c>
      <c r="L48" s="22">
        <f t="shared" si="18"/>
        <v>125523.3022212034</v>
      </c>
      <c r="M48" s="5">
        <f>scrimecost*Meta!O45</f>
        <v>905.53</v>
      </c>
      <c r="N48" s="5">
        <f>L48-Grade9!L48</f>
        <v>3418.2351620075642</v>
      </c>
      <c r="O48" s="5">
        <f>Grade9!M48-M48</f>
        <v>44.819999999999936</v>
      </c>
      <c r="P48" s="22">
        <f t="shared" si="22"/>
        <v>432.8506823273579</v>
      </c>
      <c r="Q48" s="22"/>
      <c r="R48" s="22"/>
      <c r="S48" s="22">
        <f t="shared" si="20"/>
        <v>3115.784200045031</v>
      </c>
      <c r="T48" s="22">
        <f t="shared" si="21"/>
        <v>833.12344115173528</v>
      </c>
    </row>
    <row r="49" spans="1:20" x14ac:dyDescent="0.2">
      <c r="A49" s="5">
        <v>58</v>
      </c>
      <c r="B49" s="1">
        <f t="shared" si="13"/>
        <v>2.8209951952084591</v>
      </c>
      <c r="C49" s="5">
        <f t="shared" si="14"/>
        <v>70955.802696940664</v>
      </c>
      <c r="D49" s="5">
        <f t="shared" si="15"/>
        <v>67911.233548608929</v>
      </c>
      <c r="E49" s="5">
        <f t="shared" si="1"/>
        <v>58411.233548608929</v>
      </c>
      <c r="F49" s="5">
        <f t="shared" si="2"/>
        <v>21764.141108481708</v>
      </c>
      <c r="G49" s="5">
        <f t="shared" si="3"/>
        <v>46147.09244012722</v>
      </c>
      <c r="H49" s="22">
        <f t="shared" si="16"/>
        <v>31930.111213623302</v>
      </c>
      <c r="I49" s="5">
        <f t="shared" si="17"/>
        <v>76321.047537001243</v>
      </c>
      <c r="J49" s="26">
        <f t="shared" si="19"/>
        <v>0.21502361016228955</v>
      </c>
      <c r="L49" s="22">
        <f t="shared" si="18"/>
        <v>128661.38477673348</v>
      </c>
      <c r="M49" s="5">
        <f>scrimecost*Meta!O46</f>
        <v>905.53</v>
      </c>
      <c r="N49" s="5">
        <f>L49-Grade9!L49</f>
        <v>3503.6910410577548</v>
      </c>
      <c r="O49" s="5">
        <f>Grade9!M49-M49</f>
        <v>44.819999999999936</v>
      </c>
      <c r="P49" s="22">
        <f t="shared" si="22"/>
        <v>444.85006076124512</v>
      </c>
      <c r="Q49" s="22"/>
      <c r="R49" s="22"/>
      <c r="S49" s="22">
        <f t="shared" si="20"/>
        <v>3193.7347456919661</v>
      </c>
      <c r="T49" s="22">
        <f t="shared" si="21"/>
        <v>827.56354254355983</v>
      </c>
    </row>
    <row r="50" spans="1:20" x14ac:dyDescent="0.2">
      <c r="A50" s="5">
        <v>59</v>
      </c>
      <c r="B50" s="1">
        <f t="shared" si="13"/>
        <v>2.8915200750886707</v>
      </c>
      <c r="C50" s="5">
        <f t="shared" si="14"/>
        <v>72729.697764364188</v>
      </c>
      <c r="D50" s="5">
        <f t="shared" si="15"/>
        <v>69587.56438732415</v>
      </c>
      <c r="E50" s="5">
        <f t="shared" si="1"/>
        <v>60087.56438732415</v>
      </c>
      <c r="F50" s="5">
        <f t="shared" si="2"/>
        <v>22479.096211193752</v>
      </c>
      <c r="G50" s="5">
        <f t="shared" si="3"/>
        <v>47108.468176130395</v>
      </c>
      <c r="H50" s="22">
        <f t="shared" si="16"/>
        <v>32728.363993963882</v>
      </c>
      <c r="I50" s="5">
        <f t="shared" si="17"/>
        <v>78036.772150426259</v>
      </c>
      <c r="J50" s="26">
        <f t="shared" si="19"/>
        <v>0.21695322774453815</v>
      </c>
      <c r="L50" s="22">
        <f t="shared" si="18"/>
        <v>131877.91939615182</v>
      </c>
      <c r="M50" s="5">
        <f>scrimecost*Meta!O47</f>
        <v>905.53</v>
      </c>
      <c r="N50" s="5">
        <f>L50-Grade9!L50</f>
        <v>3591.2833170842205</v>
      </c>
      <c r="O50" s="5">
        <f>Grade9!M50-M50</f>
        <v>44.819999999999936</v>
      </c>
      <c r="P50" s="22">
        <f t="shared" si="22"/>
        <v>457.14942365597966</v>
      </c>
      <c r="Q50" s="22"/>
      <c r="R50" s="22"/>
      <c r="S50" s="22">
        <f t="shared" si="20"/>
        <v>3273.6340549800902</v>
      </c>
      <c r="T50" s="22">
        <f t="shared" si="21"/>
        <v>822.04039681511267</v>
      </c>
    </row>
    <row r="51" spans="1:20" x14ac:dyDescent="0.2">
      <c r="A51" s="5">
        <v>60</v>
      </c>
      <c r="B51" s="1">
        <f t="shared" si="13"/>
        <v>2.9638080769658868</v>
      </c>
      <c r="C51" s="5">
        <f t="shared" si="14"/>
        <v>74547.940208473272</v>
      </c>
      <c r="D51" s="5">
        <f t="shared" si="15"/>
        <v>71305.803497007233</v>
      </c>
      <c r="E51" s="5">
        <f t="shared" si="1"/>
        <v>61805.803497007233</v>
      </c>
      <c r="F51" s="5">
        <f t="shared" si="2"/>
        <v>23211.925191473583</v>
      </c>
      <c r="G51" s="5">
        <f t="shared" si="3"/>
        <v>48093.878305533653</v>
      </c>
      <c r="H51" s="22">
        <f t="shared" si="16"/>
        <v>33546.573093812971</v>
      </c>
      <c r="I51" s="5">
        <f t="shared" si="17"/>
        <v>79795.389879186914</v>
      </c>
      <c r="J51" s="26">
        <f t="shared" si="19"/>
        <v>0.21883578148331723</v>
      </c>
      <c r="L51" s="22">
        <f t="shared" si="18"/>
        <v>135174.86738105558</v>
      </c>
      <c r="M51" s="5">
        <f>scrimecost*Meta!O48</f>
        <v>497.49600000000004</v>
      </c>
      <c r="N51" s="5">
        <f>L51-Grade9!L51</f>
        <v>3681.0654000112845</v>
      </c>
      <c r="O51" s="5">
        <f>Grade9!M51-M51</f>
        <v>24.623999999999967</v>
      </c>
      <c r="P51" s="22">
        <f t="shared" si="22"/>
        <v>469.75627062308223</v>
      </c>
      <c r="Q51" s="22"/>
      <c r="R51" s="22"/>
      <c r="S51" s="22">
        <f t="shared" si="20"/>
        <v>3335.9205310003676</v>
      </c>
      <c r="T51" s="22">
        <f t="shared" si="21"/>
        <v>811.78168718620248</v>
      </c>
    </row>
    <row r="52" spans="1:20" x14ac:dyDescent="0.2">
      <c r="A52" s="5">
        <v>61</v>
      </c>
      <c r="B52" s="1">
        <f t="shared" si="13"/>
        <v>3.0379032788900342</v>
      </c>
      <c r="C52" s="5">
        <f t="shared" si="14"/>
        <v>76411.638713685112</v>
      </c>
      <c r="D52" s="5">
        <f t="shared" si="15"/>
        <v>73066.998584432426</v>
      </c>
      <c r="E52" s="5">
        <f t="shared" si="1"/>
        <v>63566.998584432426</v>
      </c>
      <c r="F52" s="5">
        <f t="shared" si="2"/>
        <v>23963.07489626043</v>
      </c>
      <c r="G52" s="5">
        <f t="shared" si="3"/>
        <v>49103.923688171999</v>
      </c>
      <c r="H52" s="22">
        <f t="shared" si="16"/>
        <v>34385.237421158294</v>
      </c>
      <c r="I52" s="5">
        <f t="shared" si="17"/>
        <v>81597.973051166584</v>
      </c>
      <c r="J52" s="26">
        <f t="shared" si="19"/>
        <v>0.22067241927724815</v>
      </c>
      <c r="L52" s="22">
        <f t="shared" si="18"/>
        <v>138554.23906558196</v>
      </c>
      <c r="M52" s="5">
        <f>scrimecost*Meta!O49</f>
        <v>497.49600000000004</v>
      </c>
      <c r="N52" s="5">
        <f>L52-Grade9!L52</f>
        <v>3773.092035011563</v>
      </c>
      <c r="O52" s="5">
        <f>Grade9!M52-M52</f>
        <v>24.623999999999967</v>
      </c>
      <c r="P52" s="22">
        <f t="shared" si="22"/>
        <v>482.67828876436272</v>
      </c>
      <c r="Q52" s="22"/>
      <c r="R52" s="22"/>
      <c r="S52" s="22">
        <f t="shared" si="20"/>
        <v>3419.8647428211816</v>
      </c>
      <c r="T52" s="22">
        <f t="shared" si="21"/>
        <v>806.47889552800086</v>
      </c>
    </row>
    <row r="53" spans="1:20" x14ac:dyDescent="0.2">
      <c r="A53" s="5">
        <v>62</v>
      </c>
      <c r="B53" s="1">
        <f t="shared" si="13"/>
        <v>3.1138508608622844</v>
      </c>
      <c r="C53" s="5">
        <f t="shared" si="14"/>
        <v>78321.92968152721</v>
      </c>
      <c r="D53" s="5">
        <f t="shared" si="15"/>
        <v>74872.223549043207</v>
      </c>
      <c r="E53" s="5">
        <f t="shared" si="1"/>
        <v>65372.223549043207</v>
      </c>
      <c r="F53" s="5">
        <f t="shared" si="2"/>
        <v>24733.003343666926</v>
      </c>
      <c r="G53" s="5">
        <f t="shared" si="3"/>
        <v>50139.220205376281</v>
      </c>
      <c r="H53" s="22">
        <f t="shared" si="16"/>
        <v>35244.86835668725</v>
      </c>
      <c r="I53" s="5">
        <f t="shared" si="17"/>
        <v>83445.62080244573</v>
      </c>
      <c r="J53" s="26">
        <f t="shared" si="19"/>
        <v>0.2224642610274245</v>
      </c>
      <c r="L53" s="22">
        <f t="shared" si="18"/>
        <v>142018.09504222148</v>
      </c>
      <c r="M53" s="5">
        <f>scrimecost*Meta!O50</f>
        <v>497.49600000000004</v>
      </c>
      <c r="N53" s="5">
        <f>L53-Grade9!L53</f>
        <v>3867.4193358868361</v>
      </c>
      <c r="O53" s="5">
        <f>Grade9!M53-M53</f>
        <v>24.623999999999967</v>
      </c>
      <c r="P53" s="22">
        <f t="shared" si="22"/>
        <v>495.92335735917482</v>
      </c>
      <c r="Q53" s="22"/>
      <c r="R53" s="22"/>
      <c r="S53" s="22">
        <f t="shared" si="20"/>
        <v>3505.9075599375069</v>
      </c>
      <c r="T53" s="22">
        <f t="shared" si="21"/>
        <v>801.20760221498915</v>
      </c>
    </row>
    <row r="54" spans="1:20" x14ac:dyDescent="0.2">
      <c r="A54" s="5">
        <v>63</v>
      </c>
      <c r="B54" s="1">
        <f t="shared" si="13"/>
        <v>3.1916971323838421</v>
      </c>
      <c r="C54" s="5">
        <f t="shared" si="14"/>
        <v>80279.977923565413</v>
      </c>
      <c r="D54" s="5">
        <f t="shared" si="15"/>
        <v>76722.579137769309</v>
      </c>
      <c r="E54" s="5">
        <f t="shared" si="1"/>
        <v>67222.579137769309</v>
      </c>
      <c r="F54" s="5">
        <f t="shared" si="2"/>
        <v>25522.18000225861</v>
      </c>
      <c r="G54" s="5">
        <f t="shared" si="3"/>
        <v>51200.399135510699</v>
      </c>
      <c r="H54" s="22">
        <f t="shared" si="16"/>
        <v>36125.990065604441</v>
      </c>
      <c r="I54" s="5">
        <f t="shared" si="17"/>
        <v>85339.459747506888</v>
      </c>
      <c r="J54" s="26">
        <f t="shared" si="19"/>
        <v>0.22421239932027967</v>
      </c>
      <c r="L54" s="22">
        <f t="shared" si="18"/>
        <v>145568.54741827707</v>
      </c>
      <c r="M54" s="5">
        <f>scrimecost*Meta!O51</f>
        <v>497.49600000000004</v>
      </c>
      <c r="N54" s="5">
        <f>L54-Grade9!L54</f>
        <v>3964.1048192840535</v>
      </c>
      <c r="O54" s="5">
        <f>Grade9!M54-M54</f>
        <v>24.623999999999967</v>
      </c>
      <c r="P54" s="22">
        <f t="shared" si="22"/>
        <v>509.49955266885786</v>
      </c>
      <c r="Q54" s="22"/>
      <c r="R54" s="22"/>
      <c r="S54" s="22">
        <f t="shared" si="20"/>
        <v>3594.1014474817889</v>
      </c>
      <c r="T54" s="22">
        <f t="shared" si="21"/>
        <v>795.96771962129981</v>
      </c>
    </row>
    <row r="55" spans="1:20" x14ac:dyDescent="0.2">
      <c r="A55" s="5">
        <v>64</v>
      </c>
      <c r="B55" s="1">
        <f t="shared" si="13"/>
        <v>3.2714895606934378</v>
      </c>
      <c r="C55" s="5">
        <f t="shared" si="14"/>
        <v>82286.977371654546</v>
      </c>
      <c r="D55" s="5">
        <f t="shared" si="15"/>
        <v>78619.193616213539</v>
      </c>
      <c r="E55" s="5">
        <f t="shared" si="1"/>
        <v>69119.193616213539</v>
      </c>
      <c r="F55" s="5">
        <f t="shared" si="2"/>
        <v>26331.086077315071</v>
      </c>
      <c r="G55" s="5">
        <f t="shared" si="3"/>
        <v>52288.107538898468</v>
      </c>
      <c r="H55" s="22">
        <f t="shared" si="16"/>
        <v>37029.139817244548</v>
      </c>
      <c r="I55" s="5">
        <f t="shared" si="17"/>
        <v>87280.644666194567</v>
      </c>
      <c r="J55" s="26">
        <f t="shared" si="19"/>
        <v>0.22591790009379675</v>
      </c>
      <c r="L55" s="22">
        <f t="shared" si="18"/>
        <v>149207.76110373397</v>
      </c>
      <c r="M55" s="5">
        <f>scrimecost*Meta!O52</f>
        <v>497.49600000000004</v>
      </c>
      <c r="N55" s="5">
        <f>L55-Grade9!L55</f>
        <v>4063.207439766149</v>
      </c>
      <c r="O55" s="5">
        <f>Grade9!M55-M55</f>
        <v>24.623999999999967</v>
      </c>
      <c r="P55" s="22">
        <f t="shared" si="22"/>
        <v>523.41515286128254</v>
      </c>
      <c r="Q55" s="22"/>
      <c r="R55" s="22"/>
      <c r="S55" s="22">
        <f t="shared" si="20"/>
        <v>3684.5001822146369</v>
      </c>
      <c r="T55" s="22">
        <f t="shared" si="21"/>
        <v>790.75915690045406</v>
      </c>
    </row>
    <row r="56" spans="1:20" x14ac:dyDescent="0.2">
      <c r="A56" s="5">
        <v>65</v>
      </c>
      <c r="B56" s="1">
        <f t="shared" si="13"/>
        <v>3.3532767997107733</v>
      </c>
      <c r="C56" s="5">
        <f t="shared" si="14"/>
        <v>84344.151805945905</v>
      </c>
      <c r="D56" s="5">
        <f t="shared" si="15"/>
        <v>80563.223456618871</v>
      </c>
      <c r="E56" s="5">
        <f t="shared" si="1"/>
        <v>71063.223456618871</v>
      </c>
      <c r="F56" s="5">
        <f t="shared" si="2"/>
        <v>27160.214804247949</v>
      </c>
      <c r="G56" s="5">
        <f t="shared" si="3"/>
        <v>53403.008652370918</v>
      </c>
      <c r="H56" s="22">
        <f t="shared" si="16"/>
        <v>37954.868312675659</v>
      </c>
      <c r="I56" s="5">
        <f t="shared" si="17"/>
        <v>89270.359207849411</v>
      </c>
      <c r="J56" s="26">
        <f t="shared" si="19"/>
        <v>0.22758180328747207</v>
      </c>
      <c r="L56" s="22">
        <f t="shared" si="18"/>
        <v>152937.9551313273</v>
      </c>
      <c r="M56" s="5">
        <f>scrimecost*Meta!O53</f>
        <v>157.10399999999998</v>
      </c>
      <c r="N56" s="5">
        <f>L56-Grade9!L56</f>
        <v>4164.7876257602766</v>
      </c>
      <c r="O56" s="5">
        <f>Grade9!M56-M56</f>
        <v>7.7760000000000105</v>
      </c>
      <c r="P56" s="22">
        <f t="shared" si="22"/>
        <v>537.67864305851799</v>
      </c>
      <c r="Q56" s="22"/>
      <c r="R56" s="22"/>
      <c r="S56" s="22">
        <f t="shared" si="20"/>
        <v>3760.7994773157907</v>
      </c>
      <c r="T56" s="22">
        <f t="shared" si="21"/>
        <v>782.17935443471436</v>
      </c>
    </row>
    <row r="57" spans="1:20" x14ac:dyDescent="0.2">
      <c r="A57" s="5">
        <v>66</v>
      </c>
      <c r="C57" s="5"/>
      <c r="H57" s="21"/>
      <c r="I57" s="5"/>
      <c r="M57" s="5">
        <f>scrimecost*Meta!O54</f>
        <v>157.10399999999998</v>
      </c>
      <c r="N57" s="5">
        <f>L57-Grade9!L57</f>
        <v>0</v>
      </c>
      <c r="O57" s="5">
        <f>Grade9!M57-M57</f>
        <v>7.7760000000000105</v>
      </c>
      <c r="Q57" s="22"/>
      <c r="R57" s="22"/>
      <c r="S57" s="22">
        <f t="shared" si="20"/>
        <v>7.5504960000000096</v>
      </c>
      <c r="T57" s="22">
        <f t="shared" si="21"/>
        <v>1.5218161056972281</v>
      </c>
    </row>
    <row r="58" spans="1:20" x14ac:dyDescent="0.2">
      <c r="A58" s="5">
        <v>67</v>
      </c>
      <c r="C58" s="5"/>
      <c r="H58" s="21"/>
      <c r="I58" s="5"/>
      <c r="M58" s="5">
        <f>scrimecost*Meta!O55</f>
        <v>157.10399999999998</v>
      </c>
      <c r="N58" s="5">
        <f>L58-Grade9!L58</f>
        <v>0</v>
      </c>
      <c r="O58" s="5">
        <f>Grade9!M58-M58</f>
        <v>7.7760000000000105</v>
      </c>
      <c r="Q58" s="22"/>
      <c r="R58" s="22"/>
      <c r="S58" s="22">
        <f t="shared" si="20"/>
        <v>7.5504960000000096</v>
      </c>
      <c r="T58" s="22">
        <f t="shared" si="21"/>
        <v>1.4747645833795424</v>
      </c>
    </row>
    <row r="59" spans="1:20" x14ac:dyDescent="0.2">
      <c r="A59" s="5">
        <v>68</v>
      </c>
      <c r="H59" s="21"/>
      <c r="I59" s="5"/>
      <c r="M59" s="5">
        <f>scrimecost*Meta!O56</f>
        <v>157.10399999999998</v>
      </c>
      <c r="N59" s="5">
        <f>L59-Grade9!L59</f>
        <v>0</v>
      </c>
      <c r="O59" s="5">
        <f>Grade9!M59-M59</f>
        <v>7.7760000000000105</v>
      </c>
      <c r="Q59" s="22"/>
      <c r="R59" s="22"/>
      <c r="S59" s="22">
        <f t="shared" si="20"/>
        <v>7.5504960000000096</v>
      </c>
      <c r="T59" s="22">
        <f t="shared" si="21"/>
        <v>1.4291678003987085</v>
      </c>
    </row>
    <row r="60" spans="1:20" x14ac:dyDescent="0.2">
      <c r="A60" s="5">
        <v>69</v>
      </c>
      <c r="H60" s="21"/>
      <c r="I60" s="5"/>
      <c r="M60" s="5">
        <f>scrimecost*Meta!O57</f>
        <v>157.10399999999998</v>
      </c>
      <c r="N60" s="5">
        <f>L60-Grade9!L60</f>
        <v>0</v>
      </c>
      <c r="O60" s="5">
        <f>Grade9!M60-M60</f>
        <v>7.7760000000000105</v>
      </c>
      <c r="Q60" s="22"/>
      <c r="R60" s="22"/>
      <c r="S60" s="22">
        <f t="shared" si="20"/>
        <v>7.5504960000000096</v>
      </c>
      <c r="T60" s="22">
        <f t="shared" si="21"/>
        <v>1.3849807791124744</v>
      </c>
    </row>
    <row r="61" spans="1:20" x14ac:dyDescent="0.2">
      <c r="A61" s="5">
        <v>70</v>
      </c>
      <c r="H61" s="21"/>
      <c r="I61" s="5"/>
      <c r="M61" s="5">
        <f>scrimecost*Meta!O58</f>
        <v>157.10399999999998</v>
      </c>
      <c r="N61" s="5">
        <f>L61-Grade9!L61</f>
        <v>0</v>
      </c>
      <c r="O61" s="5">
        <f>Grade9!M61-M61</f>
        <v>7.7760000000000105</v>
      </c>
      <c r="Q61" s="22"/>
      <c r="R61" s="22"/>
      <c r="S61" s="22">
        <f t="shared" si="20"/>
        <v>7.5504960000000096</v>
      </c>
      <c r="T61" s="22">
        <f t="shared" si="21"/>
        <v>1.3421599324976858</v>
      </c>
    </row>
    <row r="62" spans="1:20" x14ac:dyDescent="0.2">
      <c r="A62" s="5">
        <v>71</v>
      </c>
      <c r="H62" s="21"/>
      <c r="I62" s="5"/>
      <c r="M62" s="5">
        <f>scrimecost*Meta!O59</f>
        <v>157.10399999999998</v>
      </c>
      <c r="N62" s="5">
        <f>L62-Grade9!L62</f>
        <v>0</v>
      </c>
      <c r="O62" s="5">
        <f>Grade9!M62-M62</f>
        <v>7.7760000000000105</v>
      </c>
      <c r="Q62" s="22"/>
      <c r="R62" s="22"/>
      <c r="S62" s="22">
        <f t="shared" si="20"/>
        <v>7.5504960000000096</v>
      </c>
      <c r="T62" s="22">
        <f t="shared" si="21"/>
        <v>1.3006630211551125</v>
      </c>
    </row>
    <row r="63" spans="1:20" x14ac:dyDescent="0.2">
      <c r="A63" s="5">
        <v>72</v>
      </c>
      <c r="H63" s="21"/>
      <c r="M63" s="5">
        <f>scrimecost*Meta!O60</f>
        <v>157.10399999999998</v>
      </c>
      <c r="N63" s="5">
        <f>L63-Grade9!L63</f>
        <v>0</v>
      </c>
      <c r="O63" s="5">
        <f>Grade9!M63-M63</f>
        <v>7.7760000000000105</v>
      </c>
      <c r="Q63" s="22"/>
      <c r="R63" s="22"/>
      <c r="S63" s="22">
        <f t="shared" si="20"/>
        <v>7.5504960000000096</v>
      </c>
      <c r="T63" s="22">
        <f t="shared" si="21"/>
        <v>1.2604491116436018</v>
      </c>
    </row>
    <row r="64" spans="1:20" x14ac:dyDescent="0.2">
      <c r="A64" s="5">
        <v>73</v>
      </c>
      <c r="H64" s="21"/>
      <c r="M64" s="5">
        <f>scrimecost*Meta!O61</f>
        <v>157.10399999999998</v>
      </c>
      <c r="N64" s="5">
        <f>L64-Grade9!L64</f>
        <v>0</v>
      </c>
      <c r="O64" s="5">
        <f>Grade9!M64-M64</f>
        <v>7.7760000000000105</v>
      </c>
      <c r="Q64" s="22"/>
      <c r="R64" s="22"/>
      <c r="S64" s="22">
        <f t="shared" si="20"/>
        <v>7.5504960000000096</v>
      </c>
      <c r="T64" s="22">
        <f t="shared" si="21"/>
        <v>1.2214785361024563</v>
      </c>
    </row>
    <row r="65" spans="1:20" x14ac:dyDescent="0.2">
      <c r="A65" s="5">
        <v>74</v>
      </c>
      <c r="H65" s="21"/>
      <c r="M65" s="5">
        <f>scrimecost*Meta!O62</f>
        <v>157.10399999999998</v>
      </c>
      <c r="N65" s="5">
        <f>L65-Grade9!L65</f>
        <v>0</v>
      </c>
      <c r="O65" s="5">
        <f>Grade9!M65-M65</f>
        <v>7.7760000000000105</v>
      </c>
      <c r="Q65" s="22"/>
      <c r="R65" s="22"/>
      <c r="S65" s="22">
        <f t="shared" si="20"/>
        <v>7.5504960000000096</v>
      </c>
      <c r="T65" s="22">
        <f t="shared" si="21"/>
        <v>1.1837128531222076</v>
      </c>
    </row>
    <row r="66" spans="1:20" x14ac:dyDescent="0.2">
      <c r="A66" s="5">
        <v>75</v>
      </c>
      <c r="H66" s="21"/>
      <c r="M66" s="5">
        <f>scrimecost*Meta!O63</f>
        <v>157.10399999999998</v>
      </c>
      <c r="N66" s="5">
        <f>L66-Grade9!L66</f>
        <v>0</v>
      </c>
      <c r="O66" s="5">
        <f>Grade9!M66-M66</f>
        <v>7.7760000000000105</v>
      </c>
      <c r="Q66" s="22"/>
      <c r="R66" s="22"/>
      <c r="S66" s="22">
        <f t="shared" si="20"/>
        <v>7.5504960000000096</v>
      </c>
      <c r="T66" s="22">
        <f t="shared" si="21"/>
        <v>1.1471148098251867</v>
      </c>
    </row>
    <row r="67" spans="1:20" x14ac:dyDescent="0.2">
      <c r="A67" s="5">
        <v>76</v>
      </c>
      <c r="H67" s="21"/>
      <c r="M67" s="5">
        <f>scrimecost*Meta!O64</f>
        <v>157.10399999999998</v>
      </c>
      <c r="N67" s="5">
        <f>L67-Grade9!L67</f>
        <v>0</v>
      </c>
      <c r="O67" s="5">
        <f>Grade9!M67-M67</f>
        <v>7.7760000000000105</v>
      </c>
      <c r="Q67" s="22"/>
      <c r="R67" s="22"/>
      <c r="S67" s="22">
        <f t="shared" si="20"/>
        <v>7.5504960000000096</v>
      </c>
      <c r="T67" s="22">
        <f t="shared" si="21"/>
        <v>1.1116483051184904</v>
      </c>
    </row>
    <row r="68" spans="1:20" x14ac:dyDescent="0.2">
      <c r="A68" s="5">
        <v>77</v>
      </c>
      <c r="H68" s="21"/>
      <c r="M68" s="5">
        <f>scrimecost*Meta!O65</f>
        <v>157.10399999999998</v>
      </c>
      <c r="N68" s="5">
        <f>L68-Grade9!L68</f>
        <v>0</v>
      </c>
      <c r="O68" s="5">
        <f>Grade9!M68-M68</f>
        <v>7.7760000000000105</v>
      </c>
      <c r="Q68" s="22"/>
      <c r="R68" s="22"/>
      <c r="S68" s="22">
        <f t="shared" si="20"/>
        <v>7.5504960000000096</v>
      </c>
      <c r="T68" s="22">
        <f t="shared" si="21"/>
        <v>1.0772783540830884</v>
      </c>
    </row>
    <row r="69" spans="1:20" x14ac:dyDescent="0.2">
      <c r="A69" s="5">
        <v>78</v>
      </c>
      <c r="H69" s="21"/>
      <c r="M69" s="5">
        <f>scrimecost*Meta!O66</f>
        <v>157.10399999999998</v>
      </c>
      <c r="N69" s="5">
        <f>L69-Grade9!L69</f>
        <v>0</v>
      </c>
      <c r="O69" s="5">
        <f>Grade9!M69-M69</f>
        <v>7.7760000000000105</v>
      </c>
      <c r="Q69" s="22"/>
      <c r="R69" s="22"/>
      <c r="S69" s="22">
        <f t="shared" si="20"/>
        <v>7.5504960000000096</v>
      </c>
      <c r="T69" s="22">
        <f t="shared" si="21"/>
        <v>1.0439710534639526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-1.6886270159943706E-11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8" sqref="P8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Meta!A5+6</f>
        <v>17</v>
      </c>
      <c r="C2" s="7">
        <f>Meta!B5</f>
        <v>50806</v>
      </c>
      <c r="D2" s="7">
        <f>Meta!C5</f>
        <v>22862</v>
      </c>
      <c r="E2" s="1">
        <f>Meta!D5</f>
        <v>5.2999999999999999E-2</v>
      </c>
      <c r="F2" s="1">
        <f>Meta!F5</f>
        <v>0.747</v>
      </c>
      <c r="G2" s="1">
        <f>Meta!I5</f>
        <v>1.9210422854781857</v>
      </c>
      <c r="H2" s="1">
        <f>Meta!E5</f>
        <v>0.97099999999999997</v>
      </c>
      <c r="I2" s="13"/>
      <c r="J2" s="1">
        <f>Meta!X4</f>
        <v>0.79900000000000004</v>
      </c>
      <c r="K2" s="1">
        <f>Meta!D4</f>
        <v>5.5E-2</v>
      </c>
      <c r="L2" s="29"/>
      <c r="N2" s="22">
        <f>Meta!T5</f>
        <v>66747</v>
      </c>
      <c r="O2" s="22">
        <f>Meta!U5</f>
        <v>29315</v>
      </c>
      <c r="P2" s="1">
        <f>Meta!V5</f>
        <v>0.04</v>
      </c>
      <c r="Q2" s="1">
        <f>Meta!X5</f>
        <v>0.81200000000000006</v>
      </c>
      <c r="R2" s="22">
        <f>Meta!W5</f>
        <v>2078</v>
      </c>
      <c r="T2" s="12">
        <f>IRR(S5:S69)+1</f>
        <v>1.030420975354891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B7" s="1">
        <v>1</v>
      </c>
      <c r="C7" s="5">
        <f>0.1*Grade10!C7</f>
        <v>2515.275560109465</v>
      </c>
      <c r="D7" s="5">
        <f t="shared" ref="D7:D36" si="0">IF(A7&lt;startage,1,0)*(C7*(1-initialunempprob))+IF(A7=startage,1,0)*(C7*(1-unempprob))+IF(A7&gt;startage,1,0)*(C7*(1-unempprob)+unempprob*300*52)</f>
        <v>2376.9354043034441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181.83555842921348</v>
      </c>
      <c r="G7" s="5">
        <f t="shared" ref="G7:G56" si="3">D7-F7</f>
        <v>2195.0998458742306</v>
      </c>
      <c r="H7" s="22">
        <f>0.1*Grade10!H7</f>
        <v>1131.8740020492594</v>
      </c>
      <c r="I7" s="5">
        <f t="shared" ref="I7:I36" si="4">G7+IF(A7&lt;startage,1,0)*(H7*(1-initialunempprob))+IF(A7&gt;=startage,1,0)*(H7*(1-unempprob))</f>
        <v>3264.7207778107804</v>
      </c>
      <c r="J7" s="26">
        <f t="shared" ref="J7:J38" si="5">(F7-(IF(A7&gt;startage,1,0)*(unempprob*300*52)))/(IF(A7&lt;startage,1,0)*((C7+H7)*(1-initialunempprob))+IF(A7&gt;=startage,1,0)*((C7+H7)*(1-unempprob)))</f>
        <v>5.2758620689655165E-2</v>
      </c>
      <c r="L7" s="22">
        <f>0.1*Grade10!L7</f>
        <v>4560.8509009610689</v>
      </c>
      <c r="M7" s="5">
        <f>scrimecost*Meta!O4</f>
        <v>4286.9140000000007</v>
      </c>
      <c r="N7" s="5">
        <f>L7-Grade10!L7</f>
        <v>-41047.658108649615</v>
      </c>
      <c r="O7" s="5"/>
      <c r="P7" s="22"/>
      <c r="Q7" s="22">
        <f>0.05*feel*Grade10!G7</f>
        <v>263.32123927177184</v>
      </c>
      <c r="R7" s="22">
        <f>hstuition</f>
        <v>11298</v>
      </c>
      <c r="S7" s="22">
        <f t="shared" ref="S7:S38" si="6">IF(A7&lt;startage,1,0)*(N7-Q7-R7)+IF(A7&gt;=startage,1,0)*completionprob*(N7*spart+O7+P7)</f>
        <v>-52608.979347921384</v>
      </c>
      <c r="T7" s="22">
        <f t="shared" ref="T7:T38" si="7">S7/sreturn^(A7-startage+1)</f>
        <v>-52608.979347921384</v>
      </c>
    </row>
    <row r="8" spans="1:20" x14ac:dyDescent="0.2">
      <c r="A8" s="5">
        <v>17</v>
      </c>
      <c r="B8" s="1">
        <f t="shared" ref="B8:B36" si="8">(1+experiencepremium)^(A8-startage)</f>
        <v>1</v>
      </c>
      <c r="C8" s="5">
        <f t="shared" ref="C8:C36" si="9">pretaxincome*B8/expnorm</f>
        <v>26447.101338715911</v>
      </c>
      <c r="D8" s="5">
        <f t="shared" si="0"/>
        <v>25045.404967763967</v>
      </c>
      <c r="E8" s="5">
        <f t="shared" si="1"/>
        <v>15545.404967763967</v>
      </c>
      <c r="F8" s="5">
        <f t="shared" si="2"/>
        <v>5377.3247219749355</v>
      </c>
      <c r="G8" s="5">
        <f t="shared" si="3"/>
        <v>19668.080245789031</v>
      </c>
      <c r="H8" s="22">
        <f t="shared" ref="H8:H36" si="10">benefits*B8/expnorm</f>
        <v>11900.831216898066</v>
      </c>
      <c r="I8" s="5">
        <f t="shared" si="4"/>
        <v>30938.167408191497</v>
      </c>
      <c r="J8" s="26">
        <f t="shared" si="5"/>
        <v>0.14807247283613476</v>
      </c>
      <c r="L8" s="22">
        <f t="shared" ref="L8:L36" si="11">(sincome+sbenefits)*(1-sunemp)*B8/expnorm</f>
        <v>48004.940181233287</v>
      </c>
      <c r="M8" s="5">
        <f>scrimecost*Meta!O5</f>
        <v>5263.5739999999996</v>
      </c>
      <c r="N8" s="5">
        <f>L8-Grade10!L8</f>
        <v>1256.218446382336</v>
      </c>
      <c r="O8" s="5">
        <f>Grade10!M8-M8</f>
        <v>263.43199999999979</v>
      </c>
      <c r="P8" s="22">
        <f t="shared" ref="P8:P39" si="12">(spart-initialspart)*(L8*J8+nptrans)</f>
        <v>177.60873261281739</v>
      </c>
      <c r="Q8" s="22"/>
      <c r="R8" s="22"/>
      <c r="S8" s="22">
        <f t="shared" si="6"/>
        <v>1418.7184978540911</v>
      </c>
      <c r="T8" s="22">
        <f t="shared" si="7"/>
        <v>1376.8338686675756</v>
      </c>
    </row>
    <row r="9" spans="1:20" x14ac:dyDescent="0.2">
      <c r="A9" s="5">
        <v>18</v>
      </c>
      <c r="B9" s="1">
        <f t="shared" si="8"/>
        <v>1.0249999999999999</v>
      </c>
      <c r="C9" s="5">
        <f t="shared" si="9"/>
        <v>27108.278872183808</v>
      </c>
      <c r="D9" s="5">
        <f t="shared" si="0"/>
        <v>26498.340091958064</v>
      </c>
      <c r="E9" s="5">
        <f t="shared" si="1"/>
        <v>16998.340091958064</v>
      </c>
      <c r="F9" s="5">
        <f t="shared" si="2"/>
        <v>5851.7080400243076</v>
      </c>
      <c r="G9" s="5">
        <f t="shared" si="3"/>
        <v>20646.632051933757</v>
      </c>
      <c r="H9" s="22">
        <f t="shared" si="10"/>
        <v>12198.351997320518</v>
      </c>
      <c r="I9" s="5">
        <f t="shared" si="4"/>
        <v>32198.471393396285</v>
      </c>
      <c r="J9" s="26">
        <f t="shared" si="5"/>
        <v>0.13499333259120341</v>
      </c>
      <c r="L9" s="22">
        <f t="shared" si="11"/>
        <v>49205.063685764122</v>
      </c>
      <c r="M9" s="5">
        <f>scrimecost*Meta!O6</f>
        <v>6668.3020000000006</v>
      </c>
      <c r="N9" s="5">
        <f>L9-Grade10!L9</f>
        <v>1287.6239075418998</v>
      </c>
      <c r="O9" s="5">
        <f>Grade10!M9-M9</f>
        <v>333.73599999999988</v>
      </c>
      <c r="P9" s="22">
        <f t="shared" si="12"/>
        <v>171.55262185494828</v>
      </c>
      <c r="Q9" s="22"/>
      <c r="R9" s="22"/>
      <c r="S9" s="22">
        <f t="shared" si="6"/>
        <v>1505.8648969703806</v>
      </c>
      <c r="T9" s="22">
        <f t="shared" si="7"/>
        <v>1418.2625273538808</v>
      </c>
    </row>
    <row r="10" spans="1:20" x14ac:dyDescent="0.2">
      <c r="A10" s="5">
        <v>19</v>
      </c>
      <c r="B10" s="1">
        <f t="shared" si="8"/>
        <v>1.0506249999999999</v>
      </c>
      <c r="C10" s="5">
        <f t="shared" si="9"/>
        <v>27785.985843988405</v>
      </c>
      <c r="D10" s="5">
        <f t="shared" si="0"/>
        <v>27140.128594257018</v>
      </c>
      <c r="E10" s="5">
        <f t="shared" si="1"/>
        <v>17640.128594257018</v>
      </c>
      <c r="F10" s="5">
        <f t="shared" si="2"/>
        <v>6061.2519860249158</v>
      </c>
      <c r="G10" s="5">
        <f t="shared" si="3"/>
        <v>21078.876608232102</v>
      </c>
      <c r="H10" s="22">
        <f t="shared" si="10"/>
        <v>12503.310797253531</v>
      </c>
      <c r="I10" s="5">
        <f t="shared" si="4"/>
        <v>32919.511933231195</v>
      </c>
      <c r="J10" s="26">
        <f t="shared" si="5"/>
        <v>0.13719287456219234</v>
      </c>
      <c r="L10" s="22">
        <f t="shared" si="11"/>
        <v>50435.190277908223</v>
      </c>
      <c r="M10" s="5">
        <f>scrimecost*Meta!O7</f>
        <v>7075.5899999999992</v>
      </c>
      <c r="N10" s="5">
        <f>L10-Grade10!L10</f>
        <v>1319.814505230439</v>
      </c>
      <c r="O10" s="5">
        <f>Grade10!M10-M10</f>
        <v>354.11999999999989</v>
      </c>
      <c r="P10" s="22">
        <f t="shared" si="12"/>
        <v>175.15353353312591</v>
      </c>
      <c r="Q10" s="22"/>
      <c r="R10" s="22"/>
      <c r="S10" s="22">
        <f t="shared" si="6"/>
        <v>1554.5349873386153</v>
      </c>
      <c r="T10" s="22">
        <f t="shared" si="7"/>
        <v>1420.8768192032142</v>
      </c>
    </row>
    <row r="11" spans="1:20" x14ac:dyDescent="0.2">
      <c r="A11" s="5">
        <v>20</v>
      </c>
      <c r="B11" s="1">
        <f t="shared" si="8"/>
        <v>1.0768906249999999</v>
      </c>
      <c r="C11" s="5">
        <f t="shared" si="9"/>
        <v>28480.635490088112</v>
      </c>
      <c r="D11" s="5">
        <f t="shared" si="0"/>
        <v>27797.96180911344</v>
      </c>
      <c r="E11" s="5">
        <f t="shared" si="1"/>
        <v>18297.96180911344</v>
      </c>
      <c r="F11" s="5">
        <f t="shared" si="2"/>
        <v>6276.034530675538</v>
      </c>
      <c r="G11" s="5">
        <f t="shared" si="3"/>
        <v>21521.927278437903</v>
      </c>
      <c r="H11" s="22">
        <f t="shared" si="10"/>
        <v>12815.893567184869</v>
      </c>
      <c r="I11" s="5">
        <f t="shared" si="4"/>
        <v>33658.578486561972</v>
      </c>
      <c r="J11" s="26">
        <f t="shared" si="5"/>
        <v>0.13933876916803514</v>
      </c>
      <c r="L11" s="22">
        <f t="shared" si="11"/>
        <v>51696.070034855926</v>
      </c>
      <c r="M11" s="5">
        <f>scrimecost*Meta!O8</f>
        <v>6790.9039999999995</v>
      </c>
      <c r="N11" s="5">
        <f>L11-Grade10!L11</f>
        <v>1352.8098678612077</v>
      </c>
      <c r="O11" s="5">
        <f>Grade10!M11-M11</f>
        <v>339.8720000000003</v>
      </c>
      <c r="P11" s="22">
        <f t="shared" si="12"/>
        <v>178.84446800325796</v>
      </c>
      <c r="Q11" s="22"/>
      <c r="R11" s="22"/>
      <c r="S11" s="22">
        <f t="shared" si="6"/>
        <v>1570.2993363660687</v>
      </c>
      <c r="T11" s="22">
        <f t="shared" si="7"/>
        <v>1392.9120150270464</v>
      </c>
    </row>
    <row r="12" spans="1:20" x14ac:dyDescent="0.2">
      <c r="A12" s="5">
        <v>21</v>
      </c>
      <c r="B12" s="1">
        <f t="shared" si="8"/>
        <v>1.1038128906249998</v>
      </c>
      <c r="C12" s="5">
        <f t="shared" si="9"/>
        <v>29192.651377340309</v>
      </c>
      <c r="D12" s="5">
        <f t="shared" si="0"/>
        <v>28472.240854341271</v>
      </c>
      <c r="E12" s="5">
        <f t="shared" si="1"/>
        <v>18972.240854341271</v>
      </c>
      <c r="F12" s="5">
        <f t="shared" si="2"/>
        <v>6496.1866389424249</v>
      </c>
      <c r="G12" s="5">
        <f t="shared" si="3"/>
        <v>21976.054215398846</v>
      </c>
      <c r="H12" s="22">
        <f t="shared" si="10"/>
        <v>13136.290906364487</v>
      </c>
      <c r="I12" s="5">
        <f t="shared" si="4"/>
        <v>34416.121703726014</v>
      </c>
      <c r="J12" s="26">
        <f t="shared" si="5"/>
        <v>0.14143232488105253</v>
      </c>
      <c r="L12" s="22">
        <f t="shared" si="11"/>
        <v>52988.471785727314</v>
      </c>
      <c r="M12" s="5">
        <f>scrimecost*Meta!O9</f>
        <v>6256.8580000000002</v>
      </c>
      <c r="N12" s="5">
        <f>L12-Grade10!L12</f>
        <v>1386.6301145577308</v>
      </c>
      <c r="O12" s="5">
        <f>Grade10!M12-M12</f>
        <v>313.14400000000023</v>
      </c>
      <c r="P12" s="22">
        <f t="shared" si="12"/>
        <v>182.62767583514329</v>
      </c>
      <c r="Q12" s="22"/>
      <c r="R12" s="22"/>
      <c r="S12" s="22">
        <f t="shared" si="6"/>
        <v>1574.6855843191963</v>
      </c>
      <c r="T12" s="22">
        <f t="shared" si="7"/>
        <v>1355.5651604526058</v>
      </c>
    </row>
    <row r="13" spans="1:20" x14ac:dyDescent="0.2">
      <c r="A13" s="5">
        <v>22</v>
      </c>
      <c r="B13" s="1">
        <f t="shared" si="8"/>
        <v>1.1314082128906247</v>
      </c>
      <c r="C13" s="5">
        <f t="shared" si="9"/>
        <v>29922.467661773815</v>
      </c>
      <c r="D13" s="5">
        <f t="shared" si="0"/>
        <v>29163.3768756998</v>
      </c>
      <c r="E13" s="5">
        <f t="shared" si="1"/>
        <v>19663.3768756998</v>
      </c>
      <c r="F13" s="5">
        <f t="shared" si="2"/>
        <v>6721.8425499159839</v>
      </c>
      <c r="G13" s="5">
        <f t="shared" si="3"/>
        <v>22441.534325783818</v>
      </c>
      <c r="H13" s="22">
        <f t="shared" si="10"/>
        <v>13464.698179023599</v>
      </c>
      <c r="I13" s="5">
        <f t="shared" si="4"/>
        <v>35192.603501319165</v>
      </c>
      <c r="J13" s="26">
        <f t="shared" si="5"/>
        <v>0.14347481825960604</v>
      </c>
      <c r="L13" s="22">
        <f t="shared" si="11"/>
        <v>54313.183580370496</v>
      </c>
      <c r="M13" s="5">
        <f>scrimecost*Meta!O10</f>
        <v>5706.1880000000001</v>
      </c>
      <c r="N13" s="5">
        <f>L13-Grade10!L13</f>
        <v>1421.2958674216788</v>
      </c>
      <c r="O13" s="5">
        <f>Grade10!M13-M13</f>
        <v>285.58399999999983</v>
      </c>
      <c r="P13" s="22">
        <f t="shared" si="12"/>
        <v>186.50546386282576</v>
      </c>
      <c r="Q13" s="22"/>
      <c r="R13" s="22"/>
      <c r="S13" s="22">
        <f t="shared" si="6"/>
        <v>1579.0224386711611</v>
      </c>
      <c r="T13" s="22">
        <f t="shared" si="7"/>
        <v>1319.1681516363687</v>
      </c>
    </row>
    <row r="14" spans="1:20" x14ac:dyDescent="0.2">
      <c r="A14" s="5">
        <v>23</v>
      </c>
      <c r="B14" s="1">
        <f t="shared" si="8"/>
        <v>1.1596934182128902</v>
      </c>
      <c r="C14" s="5">
        <f t="shared" si="9"/>
        <v>30670.529353318161</v>
      </c>
      <c r="D14" s="5">
        <f t="shared" si="0"/>
        <v>29871.791297592295</v>
      </c>
      <c r="E14" s="5">
        <f t="shared" si="1"/>
        <v>20371.791297592295</v>
      </c>
      <c r="F14" s="5">
        <f t="shared" si="2"/>
        <v>6953.1398586638843</v>
      </c>
      <c r="G14" s="5">
        <f t="shared" si="3"/>
        <v>22918.651438928413</v>
      </c>
      <c r="H14" s="22">
        <f t="shared" si="10"/>
        <v>13801.315633499189</v>
      </c>
      <c r="I14" s="5">
        <f t="shared" si="4"/>
        <v>35988.497343852141</v>
      </c>
      <c r="J14" s="26">
        <f t="shared" si="5"/>
        <v>0.1454674947264876</v>
      </c>
      <c r="L14" s="22">
        <f t="shared" si="11"/>
        <v>55671.013169879756</v>
      </c>
      <c r="M14" s="5">
        <f>scrimecost*Meta!O11</f>
        <v>5319.68</v>
      </c>
      <c r="N14" s="5">
        <f>L14-Grade10!L14</f>
        <v>1456.8282641072146</v>
      </c>
      <c r="O14" s="5">
        <f>Grade10!M14-M14</f>
        <v>266.23999999999978</v>
      </c>
      <c r="P14" s="22">
        <f t="shared" si="12"/>
        <v>190.48019659120035</v>
      </c>
      <c r="Q14" s="22"/>
      <c r="R14" s="22"/>
      <c r="S14" s="22">
        <f t="shared" si="6"/>
        <v>1592.1144693819169</v>
      </c>
      <c r="T14" s="22">
        <f t="shared" si="7"/>
        <v>1290.8371468889595</v>
      </c>
    </row>
    <row r="15" spans="1:20" x14ac:dyDescent="0.2">
      <c r="A15" s="5">
        <v>24</v>
      </c>
      <c r="B15" s="1">
        <f t="shared" si="8"/>
        <v>1.1886857536682125</v>
      </c>
      <c r="C15" s="5">
        <f t="shared" si="9"/>
        <v>31437.292587151118</v>
      </c>
      <c r="D15" s="5">
        <f t="shared" si="0"/>
        <v>30597.916080032108</v>
      </c>
      <c r="E15" s="5">
        <f t="shared" si="1"/>
        <v>21097.916080032108</v>
      </c>
      <c r="F15" s="5">
        <f t="shared" si="2"/>
        <v>7190.2196001304837</v>
      </c>
      <c r="G15" s="5">
        <f t="shared" si="3"/>
        <v>23407.696479901624</v>
      </c>
      <c r="H15" s="22">
        <f t="shared" si="10"/>
        <v>14146.348524336669</v>
      </c>
      <c r="I15" s="5">
        <f t="shared" si="4"/>
        <v>36804.288532448452</v>
      </c>
      <c r="J15" s="26">
        <f t="shared" si="5"/>
        <v>0.14741156932832328</v>
      </c>
      <c r="L15" s="22">
        <f t="shared" si="11"/>
        <v>57062.788499126757</v>
      </c>
      <c r="M15" s="5">
        <f>scrimecost*Meta!O12</f>
        <v>5074.4760000000006</v>
      </c>
      <c r="N15" s="5">
        <f>L15-Grade10!L15</f>
        <v>1493.2489707099012</v>
      </c>
      <c r="O15" s="5">
        <f>Grade10!M15-M15</f>
        <v>253.96799999999985</v>
      </c>
      <c r="P15" s="22">
        <f t="shared" si="12"/>
        <v>194.55429763778432</v>
      </c>
      <c r="Q15" s="22"/>
      <c r="R15" s="22"/>
      <c r="S15" s="22">
        <f t="shared" si="6"/>
        <v>1612.8702884604513</v>
      </c>
      <c r="T15" s="22">
        <f t="shared" si="7"/>
        <v>1269.0593010288849</v>
      </c>
    </row>
    <row r="16" spans="1:20" x14ac:dyDescent="0.2">
      <c r="A16" s="5">
        <v>25</v>
      </c>
      <c r="B16" s="1">
        <f t="shared" si="8"/>
        <v>1.2184028975099177</v>
      </c>
      <c r="C16" s="5">
        <f t="shared" si="9"/>
        <v>32223.224901829893</v>
      </c>
      <c r="D16" s="5">
        <f t="shared" si="0"/>
        <v>31342.193982032906</v>
      </c>
      <c r="E16" s="5">
        <f t="shared" si="1"/>
        <v>21842.193982032906</v>
      </c>
      <c r="F16" s="5">
        <f t="shared" si="2"/>
        <v>7433.2263351337442</v>
      </c>
      <c r="G16" s="5">
        <f t="shared" si="3"/>
        <v>23908.96764689916</v>
      </c>
      <c r="H16" s="22">
        <f t="shared" si="10"/>
        <v>14500.007237445085</v>
      </c>
      <c r="I16" s="5">
        <f t="shared" si="4"/>
        <v>37640.47450075965</v>
      </c>
      <c r="J16" s="26">
        <f t="shared" si="5"/>
        <v>0.14930822747645559</v>
      </c>
      <c r="L16" s="22">
        <f t="shared" si="11"/>
        <v>58489.358211604915</v>
      </c>
      <c r="M16" s="5">
        <f>scrimecost*Meta!O13</f>
        <v>4224.5739999999996</v>
      </c>
      <c r="N16" s="5">
        <f>L16-Grade10!L16</f>
        <v>1530.5801949776505</v>
      </c>
      <c r="O16" s="5">
        <f>Grade10!M16-M16</f>
        <v>211.43199999999979</v>
      </c>
      <c r="P16" s="22">
        <f t="shared" si="12"/>
        <v>198.7302512105328</v>
      </c>
      <c r="Q16" s="22"/>
      <c r="R16" s="22"/>
      <c r="S16" s="22">
        <f t="shared" si="6"/>
        <v>1605.0565618159455</v>
      </c>
      <c r="T16" s="22">
        <f t="shared" si="7"/>
        <v>1225.6264522457593</v>
      </c>
    </row>
    <row r="17" spans="1:20" x14ac:dyDescent="0.2">
      <c r="A17" s="5">
        <v>26</v>
      </c>
      <c r="B17" s="1">
        <f t="shared" si="8"/>
        <v>1.2488629699476654</v>
      </c>
      <c r="C17" s="5">
        <f t="shared" si="9"/>
        <v>33028.805524375632</v>
      </c>
      <c r="D17" s="5">
        <f t="shared" si="0"/>
        <v>32105.07883158372</v>
      </c>
      <c r="E17" s="5">
        <f t="shared" si="1"/>
        <v>22605.07883158372</v>
      </c>
      <c r="F17" s="5">
        <f t="shared" si="2"/>
        <v>7682.3082385120852</v>
      </c>
      <c r="G17" s="5">
        <f t="shared" si="3"/>
        <v>24422.770593071633</v>
      </c>
      <c r="H17" s="22">
        <f t="shared" si="10"/>
        <v>14862.507418381208</v>
      </c>
      <c r="I17" s="5">
        <f t="shared" si="4"/>
        <v>38497.565118278639</v>
      </c>
      <c r="J17" s="26">
        <f t="shared" si="5"/>
        <v>0.15115862566975535</v>
      </c>
      <c r="L17" s="22">
        <f t="shared" si="11"/>
        <v>59951.592166895025</v>
      </c>
      <c r="M17" s="5">
        <f>scrimecost*Meta!O14</f>
        <v>4224.5739999999996</v>
      </c>
      <c r="N17" s="5">
        <f>L17-Grade10!L17</f>
        <v>1568.8446998520812</v>
      </c>
      <c r="O17" s="5">
        <f>Grade10!M17-M17</f>
        <v>211.43199999999979</v>
      </c>
      <c r="P17" s="22">
        <f t="shared" si="12"/>
        <v>203.01060362259997</v>
      </c>
      <c r="Q17" s="22"/>
      <c r="R17" s="22"/>
      <c r="S17" s="22">
        <f t="shared" si="6"/>
        <v>1639.3825094053175</v>
      </c>
      <c r="T17" s="22">
        <f t="shared" si="7"/>
        <v>1214.8800231090354</v>
      </c>
    </row>
    <row r="18" spans="1:20" x14ac:dyDescent="0.2">
      <c r="A18" s="5">
        <v>27</v>
      </c>
      <c r="B18" s="1">
        <f t="shared" si="8"/>
        <v>1.2800845441963571</v>
      </c>
      <c r="C18" s="5">
        <f t="shared" si="9"/>
        <v>33854.525662485023</v>
      </c>
      <c r="D18" s="5">
        <f t="shared" si="0"/>
        <v>32887.035802373313</v>
      </c>
      <c r="E18" s="5">
        <f t="shared" si="1"/>
        <v>23387.035802373313</v>
      </c>
      <c r="F18" s="5">
        <f t="shared" si="2"/>
        <v>7937.6171894748868</v>
      </c>
      <c r="G18" s="5">
        <f t="shared" si="3"/>
        <v>24949.418612898426</v>
      </c>
      <c r="H18" s="22">
        <f t="shared" si="10"/>
        <v>15234.070103840741</v>
      </c>
      <c r="I18" s="5">
        <f t="shared" si="4"/>
        <v>39376.083001235602</v>
      </c>
      <c r="J18" s="26">
        <f t="shared" si="5"/>
        <v>0.15296389219980397</v>
      </c>
      <c r="L18" s="22">
        <f t="shared" si="11"/>
        <v>61450.381971067407</v>
      </c>
      <c r="M18" s="5">
        <f>scrimecost*Meta!O15</f>
        <v>4224.5739999999996</v>
      </c>
      <c r="N18" s="5">
        <f>L18-Grade10!L18</f>
        <v>1608.0658173483898</v>
      </c>
      <c r="O18" s="5">
        <f>Grade10!M18-M18</f>
        <v>211.43199999999979</v>
      </c>
      <c r="P18" s="22">
        <f t="shared" si="12"/>
        <v>207.3979648449689</v>
      </c>
      <c r="Q18" s="22"/>
      <c r="R18" s="22"/>
      <c r="S18" s="22">
        <f t="shared" si="6"/>
        <v>1674.5666056844373</v>
      </c>
      <c r="T18" s="22">
        <f t="shared" si="7"/>
        <v>1204.3170339625765</v>
      </c>
    </row>
    <row r="19" spans="1:20" x14ac:dyDescent="0.2">
      <c r="A19" s="5">
        <v>28</v>
      </c>
      <c r="B19" s="1">
        <f t="shared" si="8"/>
        <v>1.312086657801266</v>
      </c>
      <c r="C19" s="5">
        <f t="shared" si="9"/>
        <v>34700.88880404715</v>
      </c>
      <c r="D19" s="5">
        <f t="shared" si="0"/>
        <v>33688.541697432651</v>
      </c>
      <c r="E19" s="5">
        <f t="shared" si="1"/>
        <v>24188.541697432651</v>
      </c>
      <c r="F19" s="5">
        <f t="shared" si="2"/>
        <v>8199.30886421176</v>
      </c>
      <c r="G19" s="5">
        <f t="shared" si="3"/>
        <v>25489.232833220893</v>
      </c>
      <c r="H19" s="22">
        <f t="shared" si="10"/>
        <v>15614.921856436758</v>
      </c>
      <c r="I19" s="5">
        <f t="shared" si="4"/>
        <v>40276.563831266503</v>
      </c>
      <c r="J19" s="26">
        <f t="shared" si="5"/>
        <v>0.15472512783887576</v>
      </c>
      <c r="L19" s="22">
        <f t="shared" si="11"/>
        <v>62986.641520344085</v>
      </c>
      <c r="M19" s="5">
        <f>scrimecost*Meta!O16</f>
        <v>4224.5739999999996</v>
      </c>
      <c r="N19" s="5">
        <f>L19-Grade10!L19</f>
        <v>1648.2674627820961</v>
      </c>
      <c r="O19" s="5">
        <f>Grade10!M19-M19</f>
        <v>211.43199999999979</v>
      </c>
      <c r="P19" s="22">
        <f t="shared" si="12"/>
        <v>211.895010097897</v>
      </c>
      <c r="Q19" s="22"/>
      <c r="R19" s="22"/>
      <c r="S19" s="22">
        <f t="shared" si="6"/>
        <v>1710.6303043705273</v>
      </c>
      <c r="T19" s="22">
        <f t="shared" si="7"/>
        <v>1193.9327731791359</v>
      </c>
    </row>
    <row r="20" spans="1:20" x14ac:dyDescent="0.2">
      <c r="A20" s="5">
        <v>29</v>
      </c>
      <c r="B20" s="1">
        <f t="shared" si="8"/>
        <v>1.3448888242462975</v>
      </c>
      <c r="C20" s="5">
        <f t="shared" si="9"/>
        <v>35568.411024148321</v>
      </c>
      <c r="D20" s="5">
        <f t="shared" si="0"/>
        <v>34510.085239868458</v>
      </c>
      <c r="E20" s="5">
        <f t="shared" si="1"/>
        <v>25010.085239868458</v>
      </c>
      <c r="F20" s="5">
        <f t="shared" si="2"/>
        <v>8467.5428308170522</v>
      </c>
      <c r="G20" s="5">
        <f t="shared" si="3"/>
        <v>26042.542409051406</v>
      </c>
      <c r="H20" s="22">
        <f t="shared" si="10"/>
        <v>16005.294902847674</v>
      </c>
      <c r="I20" s="5">
        <f t="shared" si="4"/>
        <v>41199.556682048154</v>
      </c>
      <c r="J20" s="26">
        <f t="shared" si="5"/>
        <v>0.15644340651114097</v>
      </c>
      <c r="L20" s="22">
        <f t="shared" si="11"/>
        <v>64561.307558352681</v>
      </c>
      <c r="M20" s="5">
        <f>scrimecost*Meta!O17</f>
        <v>4224.5739999999996</v>
      </c>
      <c r="N20" s="5">
        <f>L20-Grade10!L20</f>
        <v>1689.4741493516412</v>
      </c>
      <c r="O20" s="5">
        <f>Grade10!M20-M20</f>
        <v>211.43199999999979</v>
      </c>
      <c r="P20" s="22">
        <f t="shared" si="12"/>
        <v>216.50448148214838</v>
      </c>
      <c r="Q20" s="22"/>
      <c r="R20" s="22"/>
      <c r="S20" s="22">
        <f t="shared" si="6"/>
        <v>1747.595595523766</v>
      </c>
      <c r="T20" s="22">
        <f t="shared" si="7"/>
        <v>1183.7226645282626</v>
      </c>
    </row>
    <row r="21" spans="1:20" x14ac:dyDescent="0.2">
      <c r="A21" s="5">
        <v>30</v>
      </c>
      <c r="B21" s="1">
        <f t="shared" si="8"/>
        <v>1.3785110448524549</v>
      </c>
      <c r="C21" s="5">
        <f t="shared" si="9"/>
        <v>36457.621299752034</v>
      </c>
      <c r="D21" s="5">
        <f t="shared" si="0"/>
        <v>35352.16737086518</v>
      </c>
      <c r="E21" s="5">
        <f t="shared" si="1"/>
        <v>25852.16737086518</v>
      </c>
      <c r="F21" s="5">
        <f t="shared" si="2"/>
        <v>8742.4826465874812</v>
      </c>
      <c r="G21" s="5">
        <f t="shared" si="3"/>
        <v>26609.6847242777</v>
      </c>
      <c r="H21" s="22">
        <f t="shared" si="10"/>
        <v>16405.427275418864</v>
      </c>
      <c r="I21" s="5">
        <f t="shared" si="4"/>
        <v>42145.62435409936</v>
      </c>
      <c r="J21" s="26">
        <f t="shared" si="5"/>
        <v>0.15811977594749732</v>
      </c>
      <c r="L21" s="22">
        <f t="shared" si="11"/>
        <v>66175.340247311498</v>
      </c>
      <c r="M21" s="5">
        <f>scrimecost*Meta!O18</f>
        <v>3480.65</v>
      </c>
      <c r="N21" s="5">
        <f>L21-Grade10!L21</f>
        <v>1731.7110030854383</v>
      </c>
      <c r="O21" s="5">
        <f>Grade10!M21-M21</f>
        <v>174.19999999999982</v>
      </c>
      <c r="P21" s="22">
        <f t="shared" si="12"/>
        <v>221.22918965100607</v>
      </c>
      <c r="Q21" s="22"/>
      <c r="R21" s="22"/>
      <c r="S21" s="22">
        <f t="shared" si="6"/>
        <v>1749.3327469558467</v>
      </c>
      <c r="T21" s="22">
        <f t="shared" si="7"/>
        <v>1149.9176950445851</v>
      </c>
    </row>
    <row r="22" spans="1:20" x14ac:dyDescent="0.2">
      <c r="A22" s="5">
        <v>31</v>
      </c>
      <c r="B22" s="1">
        <f t="shared" si="8"/>
        <v>1.4129738209737661</v>
      </c>
      <c r="C22" s="5">
        <f t="shared" si="9"/>
        <v>37369.061832245825</v>
      </c>
      <c r="D22" s="5">
        <f t="shared" si="0"/>
        <v>36215.301555136801</v>
      </c>
      <c r="E22" s="5">
        <f t="shared" si="1"/>
        <v>26715.301555136801</v>
      </c>
      <c r="F22" s="5">
        <f t="shared" si="2"/>
        <v>9024.2959577521651</v>
      </c>
      <c r="G22" s="5">
        <f t="shared" si="3"/>
        <v>27191.005597384636</v>
      </c>
      <c r="H22" s="22">
        <f t="shared" si="10"/>
        <v>16815.562957304337</v>
      </c>
      <c r="I22" s="5">
        <f t="shared" si="4"/>
        <v>43115.343717951844</v>
      </c>
      <c r="J22" s="26">
        <f t="shared" si="5"/>
        <v>0.15975525832443024</v>
      </c>
      <c r="L22" s="22">
        <f t="shared" si="11"/>
        <v>67829.723753494283</v>
      </c>
      <c r="M22" s="5">
        <f>scrimecost*Meta!O19</f>
        <v>3480.65</v>
      </c>
      <c r="N22" s="5">
        <f>L22-Grade10!L22</f>
        <v>1775.0037781625579</v>
      </c>
      <c r="O22" s="5">
        <f>Grade10!M22-M22</f>
        <v>174.19999999999982</v>
      </c>
      <c r="P22" s="22">
        <f t="shared" si="12"/>
        <v>226.07201552408506</v>
      </c>
      <c r="Q22" s="22"/>
      <c r="R22" s="22"/>
      <c r="S22" s="22">
        <f t="shared" si="6"/>
        <v>1788.1694059737115</v>
      </c>
      <c r="T22" s="22">
        <f t="shared" si="7"/>
        <v>1140.7442818281427</v>
      </c>
    </row>
    <row r="23" spans="1:20" x14ac:dyDescent="0.2">
      <c r="A23" s="5">
        <v>32</v>
      </c>
      <c r="B23" s="1">
        <f t="shared" si="8"/>
        <v>1.4482981664981105</v>
      </c>
      <c r="C23" s="5">
        <f t="shared" si="9"/>
        <v>38303.288378051977</v>
      </c>
      <c r="D23" s="5">
        <f t="shared" si="0"/>
        <v>37100.01409401522</v>
      </c>
      <c r="E23" s="5">
        <f t="shared" si="1"/>
        <v>27600.01409401522</v>
      </c>
      <c r="F23" s="5">
        <f t="shared" si="2"/>
        <v>9313.1546016959692</v>
      </c>
      <c r="G23" s="5">
        <f t="shared" si="3"/>
        <v>27786.85949231925</v>
      </c>
      <c r="H23" s="22">
        <f t="shared" si="10"/>
        <v>17235.952031236946</v>
      </c>
      <c r="I23" s="5">
        <f t="shared" si="4"/>
        <v>44109.306065900637</v>
      </c>
      <c r="J23" s="26">
        <f t="shared" si="5"/>
        <v>0.16135085088729165</v>
      </c>
      <c r="L23" s="22">
        <f t="shared" si="11"/>
        <v>69525.466847331641</v>
      </c>
      <c r="M23" s="5">
        <f>scrimecost*Meta!O20</f>
        <v>3480.65</v>
      </c>
      <c r="N23" s="5">
        <f>L23-Grade10!L23</f>
        <v>1819.3788726166385</v>
      </c>
      <c r="O23" s="5">
        <f>Grade10!M23-M23</f>
        <v>174.19999999999982</v>
      </c>
      <c r="P23" s="22">
        <f t="shared" si="12"/>
        <v>231.03591204399109</v>
      </c>
      <c r="Q23" s="22"/>
      <c r="R23" s="22"/>
      <c r="S23" s="22">
        <f t="shared" si="6"/>
        <v>1827.9769814670492</v>
      </c>
      <c r="T23" s="22">
        <f t="shared" si="7"/>
        <v>1131.7113520569967</v>
      </c>
    </row>
    <row r="24" spans="1:20" x14ac:dyDescent="0.2">
      <c r="A24" s="5">
        <v>33</v>
      </c>
      <c r="B24" s="1">
        <f t="shared" si="8"/>
        <v>1.4845056206605631</v>
      </c>
      <c r="C24" s="5">
        <f t="shared" si="9"/>
        <v>39260.870587503276</v>
      </c>
      <c r="D24" s="5">
        <f t="shared" si="0"/>
        <v>38006.844446365605</v>
      </c>
      <c r="E24" s="5">
        <f t="shared" si="1"/>
        <v>28506.844446365605</v>
      </c>
      <c r="F24" s="5">
        <f t="shared" si="2"/>
        <v>9609.2347117383706</v>
      </c>
      <c r="G24" s="5">
        <f t="shared" si="3"/>
        <v>28397.609734627236</v>
      </c>
      <c r="H24" s="22">
        <f t="shared" si="10"/>
        <v>17666.850832017866</v>
      </c>
      <c r="I24" s="5">
        <f t="shared" si="4"/>
        <v>45128.117472548154</v>
      </c>
      <c r="J24" s="26">
        <f t="shared" si="5"/>
        <v>0.16290752655837601</v>
      </c>
      <c r="L24" s="22">
        <f t="shared" si="11"/>
        <v>71263.603518514923</v>
      </c>
      <c r="M24" s="5">
        <f>scrimecost*Meta!O21</f>
        <v>3480.65</v>
      </c>
      <c r="N24" s="5">
        <f>L24-Grade10!L24</f>
        <v>1864.863344432044</v>
      </c>
      <c r="O24" s="5">
        <f>Grade10!M24-M24</f>
        <v>174.19999999999982</v>
      </c>
      <c r="P24" s="22">
        <f t="shared" si="12"/>
        <v>236.12390597689483</v>
      </c>
      <c r="Q24" s="22"/>
      <c r="R24" s="22"/>
      <c r="S24" s="22">
        <f t="shared" si="6"/>
        <v>1868.7797463476986</v>
      </c>
      <c r="T24" s="22">
        <f t="shared" si="7"/>
        <v>1122.8154439781417</v>
      </c>
    </row>
    <row r="25" spans="1:20" x14ac:dyDescent="0.2">
      <c r="A25" s="5">
        <v>34</v>
      </c>
      <c r="B25" s="1">
        <f t="shared" si="8"/>
        <v>1.521618261177077</v>
      </c>
      <c r="C25" s="5">
        <f t="shared" si="9"/>
        <v>40242.392352190851</v>
      </c>
      <c r="D25" s="5">
        <f t="shared" si="0"/>
        <v>38936.345557524735</v>
      </c>
      <c r="E25" s="5">
        <f t="shared" si="1"/>
        <v>29436.345557524735</v>
      </c>
      <c r="F25" s="5">
        <f t="shared" si="2"/>
        <v>9912.7168245318262</v>
      </c>
      <c r="G25" s="5">
        <f t="shared" si="3"/>
        <v>29023.628732992911</v>
      </c>
      <c r="H25" s="22">
        <f t="shared" si="10"/>
        <v>18108.522102818315</v>
      </c>
      <c r="I25" s="5">
        <f t="shared" si="4"/>
        <v>46172.39916436185</v>
      </c>
      <c r="J25" s="26">
        <f t="shared" si="5"/>
        <v>0.16442623453016553</v>
      </c>
      <c r="L25" s="22">
        <f t="shared" si="11"/>
        <v>73045.193606477798</v>
      </c>
      <c r="M25" s="5">
        <f>scrimecost*Meta!O22</f>
        <v>3480.65</v>
      </c>
      <c r="N25" s="5">
        <f>L25-Grade10!L25</f>
        <v>1911.4849280428607</v>
      </c>
      <c r="O25" s="5">
        <f>Grade10!M25-M25</f>
        <v>174.19999999999982</v>
      </c>
      <c r="P25" s="22">
        <f t="shared" si="12"/>
        <v>241.33909975812108</v>
      </c>
      <c r="Q25" s="22"/>
      <c r="R25" s="22"/>
      <c r="S25" s="22">
        <f t="shared" si="6"/>
        <v>1910.6025803503851</v>
      </c>
      <c r="T25" s="22">
        <f t="shared" si="7"/>
        <v>1114.0531944319507</v>
      </c>
    </row>
    <row r="26" spans="1:20" x14ac:dyDescent="0.2">
      <c r="A26" s="5">
        <v>35</v>
      </c>
      <c r="B26" s="1">
        <f t="shared" si="8"/>
        <v>1.559658717706504</v>
      </c>
      <c r="C26" s="5">
        <f t="shared" si="9"/>
        <v>41248.452160995621</v>
      </c>
      <c r="D26" s="5">
        <f t="shared" si="0"/>
        <v>39889.084196462856</v>
      </c>
      <c r="E26" s="5">
        <f t="shared" si="1"/>
        <v>30389.084196462856</v>
      </c>
      <c r="F26" s="5">
        <f t="shared" si="2"/>
        <v>10223.785990145123</v>
      </c>
      <c r="G26" s="5">
        <f t="shared" si="3"/>
        <v>29665.298206317733</v>
      </c>
      <c r="H26" s="22">
        <f t="shared" si="10"/>
        <v>18561.235155388771</v>
      </c>
      <c r="I26" s="5">
        <f t="shared" si="4"/>
        <v>47242.787898470895</v>
      </c>
      <c r="J26" s="26">
        <f t="shared" si="5"/>
        <v>0.16590790084410659</v>
      </c>
      <c r="L26" s="22">
        <f t="shared" si="11"/>
        <v>74871.323446639755</v>
      </c>
      <c r="M26" s="5">
        <f>scrimecost*Meta!O23</f>
        <v>2630.748</v>
      </c>
      <c r="N26" s="5">
        <f>L26-Grade10!L26</f>
        <v>1959.272051243941</v>
      </c>
      <c r="O26" s="5">
        <f>Grade10!M26-M26</f>
        <v>131.66399999999976</v>
      </c>
      <c r="P26" s="22">
        <f t="shared" si="12"/>
        <v>246.68467338387805</v>
      </c>
      <c r="Q26" s="22"/>
      <c r="R26" s="22"/>
      <c r="S26" s="22">
        <f t="shared" si="6"/>
        <v>1912.1685292031332</v>
      </c>
      <c r="T26" s="22">
        <f t="shared" si="7"/>
        <v>1082.0492887500823</v>
      </c>
    </row>
    <row r="27" spans="1:20" x14ac:dyDescent="0.2">
      <c r="A27" s="5">
        <v>36</v>
      </c>
      <c r="B27" s="1">
        <f t="shared" si="8"/>
        <v>1.5986501856491666</v>
      </c>
      <c r="C27" s="5">
        <f t="shared" si="9"/>
        <v>42279.663465020516</v>
      </c>
      <c r="D27" s="5">
        <f t="shared" si="0"/>
        <v>40865.641301374431</v>
      </c>
      <c r="E27" s="5">
        <f t="shared" si="1"/>
        <v>31365.641301374431</v>
      </c>
      <c r="F27" s="5">
        <f t="shared" si="2"/>
        <v>10542.631884898752</v>
      </c>
      <c r="G27" s="5">
        <f t="shared" si="3"/>
        <v>30323.009416475681</v>
      </c>
      <c r="H27" s="22">
        <f t="shared" si="10"/>
        <v>19025.266034273493</v>
      </c>
      <c r="I27" s="5">
        <f t="shared" si="4"/>
        <v>48339.936350932679</v>
      </c>
      <c r="J27" s="26">
        <f t="shared" si="5"/>
        <v>0.16735342895526858</v>
      </c>
      <c r="L27" s="22">
        <f t="shared" si="11"/>
        <v>76743.106532805745</v>
      </c>
      <c r="M27" s="5">
        <f>scrimecost*Meta!O24</f>
        <v>2630.748</v>
      </c>
      <c r="N27" s="5">
        <f>L27-Grade10!L27</f>
        <v>2008.253852525042</v>
      </c>
      <c r="O27" s="5">
        <f>Grade10!M27-M27</f>
        <v>131.66399999999976</v>
      </c>
      <c r="P27" s="22">
        <f t="shared" si="12"/>
        <v>252.16388635027894</v>
      </c>
      <c r="Q27" s="22"/>
      <c r="R27" s="22"/>
      <c r="S27" s="22">
        <f t="shared" si="6"/>
        <v>1956.1086441771952</v>
      </c>
      <c r="T27" s="22">
        <f t="shared" si="7"/>
        <v>1074.2346564938885</v>
      </c>
    </row>
    <row r="28" spans="1:20" x14ac:dyDescent="0.2">
      <c r="A28" s="5">
        <v>37</v>
      </c>
      <c r="B28" s="1">
        <f t="shared" si="8"/>
        <v>1.6386164402903955</v>
      </c>
      <c r="C28" s="5">
        <f t="shared" si="9"/>
        <v>43336.655051646019</v>
      </c>
      <c r="D28" s="5">
        <f t="shared" si="0"/>
        <v>41866.612333908779</v>
      </c>
      <c r="E28" s="5">
        <f t="shared" si="1"/>
        <v>32366.612333908779</v>
      </c>
      <c r="F28" s="5">
        <f t="shared" si="2"/>
        <v>10869.448927021216</v>
      </c>
      <c r="G28" s="5">
        <f t="shared" si="3"/>
        <v>30997.163406887565</v>
      </c>
      <c r="H28" s="22">
        <f t="shared" si="10"/>
        <v>19500.897685130327</v>
      </c>
      <c r="I28" s="5">
        <f t="shared" si="4"/>
        <v>49464.513514705985</v>
      </c>
      <c r="J28" s="26">
        <f t="shared" si="5"/>
        <v>0.16876370028323145</v>
      </c>
      <c r="L28" s="22">
        <f t="shared" si="11"/>
        <v>78661.684196125861</v>
      </c>
      <c r="M28" s="5">
        <f>scrimecost*Meta!O25</f>
        <v>2630.748</v>
      </c>
      <c r="N28" s="5">
        <f>L28-Grade10!L28</f>
        <v>2058.4601988381473</v>
      </c>
      <c r="O28" s="5">
        <f>Grade10!M28-M28</f>
        <v>131.66399999999976</v>
      </c>
      <c r="P28" s="22">
        <f t="shared" si="12"/>
        <v>257.78007964083969</v>
      </c>
      <c r="Q28" s="22"/>
      <c r="R28" s="22"/>
      <c r="S28" s="22">
        <f t="shared" si="6"/>
        <v>2001.1472620255902</v>
      </c>
      <c r="T28" s="22">
        <f t="shared" si="7"/>
        <v>1066.5237852967309</v>
      </c>
    </row>
    <row r="29" spans="1:20" x14ac:dyDescent="0.2">
      <c r="A29" s="5">
        <v>38</v>
      </c>
      <c r="B29" s="1">
        <f t="shared" si="8"/>
        <v>1.6795818512976552</v>
      </c>
      <c r="C29" s="5">
        <f t="shared" si="9"/>
        <v>44420.071427937168</v>
      </c>
      <c r="D29" s="5">
        <f t="shared" si="0"/>
        <v>42892.607642256502</v>
      </c>
      <c r="E29" s="5">
        <f t="shared" si="1"/>
        <v>33392.607642256502</v>
      </c>
      <c r="F29" s="5">
        <f t="shared" si="2"/>
        <v>11204.436395196748</v>
      </c>
      <c r="G29" s="5">
        <f t="shared" si="3"/>
        <v>31688.171247059756</v>
      </c>
      <c r="H29" s="22">
        <f t="shared" si="10"/>
        <v>19988.420127258581</v>
      </c>
      <c r="I29" s="5">
        <f t="shared" si="4"/>
        <v>50617.205107573631</v>
      </c>
      <c r="J29" s="26">
        <f t="shared" si="5"/>
        <v>0.17013957474953678</v>
      </c>
      <c r="L29" s="22">
        <f t="shared" si="11"/>
        <v>80628.226301029019</v>
      </c>
      <c r="M29" s="5">
        <f>scrimecost*Meta!O26</f>
        <v>2630.748</v>
      </c>
      <c r="N29" s="5">
        <f>L29-Grade10!L29</f>
        <v>2109.9217038091156</v>
      </c>
      <c r="O29" s="5">
        <f>Grade10!M29-M29</f>
        <v>131.66399999999976</v>
      </c>
      <c r="P29" s="22">
        <f t="shared" si="12"/>
        <v>263.53667776366467</v>
      </c>
      <c r="Q29" s="22"/>
      <c r="R29" s="22"/>
      <c r="S29" s="22">
        <f t="shared" si="6"/>
        <v>2047.3118453202228</v>
      </c>
      <c r="T29" s="22">
        <f t="shared" si="7"/>
        <v>1058.9142797067207</v>
      </c>
    </row>
    <row r="30" spans="1:20" x14ac:dyDescent="0.2">
      <c r="A30" s="5">
        <v>39</v>
      </c>
      <c r="B30" s="1">
        <f t="shared" si="8"/>
        <v>1.7215713975800966</v>
      </c>
      <c r="C30" s="5">
        <f t="shared" si="9"/>
        <v>45530.573213635602</v>
      </c>
      <c r="D30" s="5">
        <f t="shared" si="0"/>
        <v>43944.252833312916</v>
      </c>
      <c r="E30" s="5">
        <f t="shared" si="1"/>
        <v>34444.252833312916</v>
      </c>
      <c r="F30" s="5">
        <f t="shared" si="2"/>
        <v>11547.798550076666</v>
      </c>
      <c r="G30" s="5">
        <f t="shared" si="3"/>
        <v>32396.454283236249</v>
      </c>
      <c r="H30" s="22">
        <f t="shared" si="10"/>
        <v>20488.130630440046</v>
      </c>
      <c r="I30" s="5">
        <f t="shared" si="4"/>
        <v>51798.713990262971</v>
      </c>
      <c r="J30" s="26">
        <f t="shared" si="5"/>
        <v>0.17148189130202973</v>
      </c>
      <c r="L30" s="22">
        <f t="shared" si="11"/>
        <v>82643.931958554735</v>
      </c>
      <c r="M30" s="5">
        <f>scrimecost*Meta!O27</f>
        <v>2630.748</v>
      </c>
      <c r="N30" s="5">
        <f>L30-Grade10!L30</f>
        <v>2162.6697464043245</v>
      </c>
      <c r="O30" s="5">
        <f>Grade10!M30-M30</f>
        <v>131.66399999999976</v>
      </c>
      <c r="P30" s="22">
        <f t="shared" si="12"/>
        <v>269.43719083956012</v>
      </c>
      <c r="Q30" s="22"/>
      <c r="R30" s="22"/>
      <c r="S30" s="22">
        <f t="shared" si="6"/>
        <v>2094.630543197195</v>
      </c>
      <c r="T30" s="22">
        <f t="shared" si="7"/>
        <v>1051.4038114788818</v>
      </c>
    </row>
    <row r="31" spans="1:20" x14ac:dyDescent="0.2">
      <c r="A31" s="5">
        <v>40</v>
      </c>
      <c r="B31" s="1">
        <f t="shared" si="8"/>
        <v>1.7646106825195991</v>
      </c>
      <c r="C31" s="5">
        <f t="shared" si="9"/>
        <v>46668.837543976493</v>
      </c>
      <c r="D31" s="5">
        <f t="shared" si="0"/>
        <v>45022.189154145737</v>
      </c>
      <c r="E31" s="5">
        <f t="shared" si="1"/>
        <v>35522.189154145737</v>
      </c>
      <c r="F31" s="5">
        <f t="shared" si="2"/>
        <v>12001.963674243158</v>
      </c>
      <c r="G31" s="5">
        <f t="shared" si="3"/>
        <v>33020.225479902583</v>
      </c>
      <c r="H31" s="22">
        <f t="shared" si="10"/>
        <v>21000.333896201049</v>
      </c>
      <c r="I31" s="5">
        <f t="shared" si="4"/>
        <v>52907.541679604976</v>
      </c>
      <c r="J31" s="26">
        <f t="shared" si="5"/>
        <v>0.1743865776661081</v>
      </c>
      <c r="L31" s="22">
        <f t="shared" si="11"/>
        <v>84710.030257518607</v>
      </c>
      <c r="M31" s="5">
        <f>scrimecost*Meta!O28</f>
        <v>2350.2179999999998</v>
      </c>
      <c r="N31" s="5">
        <f>L31-Grade10!L31</f>
        <v>2216.7364900644461</v>
      </c>
      <c r="O31" s="5">
        <f>Grade10!M31-M31</f>
        <v>117.62400000000025</v>
      </c>
      <c r="P31" s="22">
        <f t="shared" si="12"/>
        <v>277.24179951781502</v>
      </c>
      <c r="Q31" s="22"/>
      <c r="R31" s="22"/>
      <c r="S31" s="22">
        <f t="shared" si="6"/>
        <v>2131.205010396091</v>
      </c>
      <c r="T31" s="22">
        <f t="shared" si="7"/>
        <v>1038.1799875001368</v>
      </c>
    </row>
    <row r="32" spans="1:20" x14ac:dyDescent="0.2">
      <c r="A32" s="5">
        <v>41</v>
      </c>
      <c r="B32" s="1">
        <f t="shared" si="8"/>
        <v>1.8087259495825889</v>
      </c>
      <c r="C32" s="5">
        <f t="shared" si="9"/>
        <v>47835.558482575892</v>
      </c>
      <c r="D32" s="5">
        <f t="shared" si="0"/>
        <v>46127.073882999372</v>
      </c>
      <c r="E32" s="5">
        <f t="shared" si="1"/>
        <v>36627.073882999372</v>
      </c>
      <c r="F32" s="5">
        <f t="shared" si="2"/>
        <v>12473.197011099233</v>
      </c>
      <c r="G32" s="5">
        <f t="shared" si="3"/>
        <v>33653.876871900138</v>
      </c>
      <c r="H32" s="22">
        <f t="shared" si="10"/>
        <v>21525.342243606075</v>
      </c>
      <c r="I32" s="5">
        <f t="shared" si="4"/>
        <v>54038.375976595089</v>
      </c>
      <c r="J32" s="26">
        <f t="shared" si="5"/>
        <v>0.17730741055131791</v>
      </c>
      <c r="L32" s="22">
        <f t="shared" si="11"/>
        <v>86827.78101395657</v>
      </c>
      <c r="M32" s="5">
        <f>scrimecost*Meta!O29</f>
        <v>2350.2179999999998</v>
      </c>
      <c r="N32" s="5">
        <f>L32-Grade10!L32</f>
        <v>2272.1549023160769</v>
      </c>
      <c r="O32" s="5">
        <f>Grade10!M32-M32</f>
        <v>117.62400000000025</v>
      </c>
      <c r="P32" s="22">
        <f t="shared" si="12"/>
        <v>285.3397172015201</v>
      </c>
      <c r="Q32" s="22"/>
      <c r="R32" s="22"/>
      <c r="S32" s="22">
        <f t="shared" si="6"/>
        <v>2182.7628464435916</v>
      </c>
      <c r="T32" s="22">
        <f t="shared" si="7"/>
        <v>1031.9039780369835</v>
      </c>
    </row>
    <row r="33" spans="1:20" x14ac:dyDescent="0.2">
      <c r="A33" s="5">
        <v>42</v>
      </c>
      <c r="B33" s="1">
        <f t="shared" si="8"/>
        <v>1.8539440983221533</v>
      </c>
      <c r="C33" s="5">
        <f t="shared" si="9"/>
        <v>49031.447444640289</v>
      </c>
      <c r="D33" s="5">
        <f t="shared" si="0"/>
        <v>47259.580730074355</v>
      </c>
      <c r="E33" s="5">
        <f t="shared" si="1"/>
        <v>37759.580730074355</v>
      </c>
      <c r="F33" s="5">
        <f t="shared" si="2"/>
        <v>12956.211181376711</v>
      </c>
      <c r="G33" s="5">
        <f t="shared" si="3"/>
        <v>34303.369548697643</v>
      </c>
      <c r="H33" s="22">
        <f t="shared" si="10"/>
        <v>22063.475799696222</v>
      </c>
      <c r="I33" s="5">
        <f t="shared" si="4"/>
        <v>55197.481131009961</v>
      </c>
      <c r="J33" s="26">
        <f t="shared" si="5"/>
        <v>0.18015700361005921</v>
      </c>
      <c r="L33" s="22">
        <f t="shared" si="11"/>
        <v>88998.475539305466</v>
      </c>
      <c r="M33" s="5">
        <f>scrimecost*Meta!O30</f>
        <v>2350.2179999999998</v>
      </c>
      <c r="N33" s="5">
        <f>L33-Grade10!L33</f>
        <v>2328.9587748739577</v>
      </c>
      <c r="O33" s="5">
        <f>Grade10!M33-M33</f>
        <v>117.62400000000025</v>
      </c>
      <c r="P33" s="22">
        <f t="shared" si="12"/>
        <v>293.64008282731771</v>
      </c>
      <c r="Q33" s="22"/>
      <c r="R33" s="22"/>
      <c r="S33" s="22">
        <f t="shared" si="6"/>
        <v>2235.6096283922479</v>
      </c>
      <c r="T33" s="22">
        <f t="shared" si="7"/>
        <v>1025.685024177588</v>
      </c>
    </row>
    <row r="34" spans="1:20" x14ac:dyDescent="0.2">
      <c r="A34" s="5">
        <v>43</v>
      </c>
      <c r="B34" s="1">
        <f t="shared" si="8"/>
        <v>1.9002927007802071</v>
      </c>
      <c r="C34" s="5">
        <f t="shared" si="9"/>
        <v>50257.233630756287</v>
      </c>
      <c r="D34" s="5">
        <f t="shared" si="0"/>
        <v>48420.400248326201</v>
      </c>
      <c r="E34" s="5">
        <f t="shared" si="1"/>
        <v>38920.400248326201</v>
      </c>
      <c r="F34" s="5">
        <f t="shared" si="2"/>
        <v>13451.300705911126</v>
      </c>
      <c r="G34" s="5">
        <f t="shared" si="3"/>
        <v>34969.099542415075</v>
      </c>
      <c r="H34" s="22">
        <f t="shared" si="10"/>
        <v>22615.062694688626</v>
      </c>
      <c r="I34" s="5">
        <f t="shared" si="4"/>
        <v>56385.563914285201</v>
      </c>
      <c r="J34" s="26">
        <f t="shared" si="5"/>
        <v>0.18293709439907507</v>
      </c>
      <c r="L34" s="22">
        <f t="shared" si="11"/>
        <v>91223.437427788085</v>
      </c>
      <c r="M34" s="5">
        <f>scrimecost*Meta!O31</f>
        <v>2350.2179999999998</v>
      </c>
      <c r="N34" s="5">
        <f>L34-Grade10!L34</f>
        <v>2387.1827442458016</v>
      </c>
      <c r="O34" s="5">
        <f>Grade10!M34-M34</f>
        <v>117.62400000000025</v>
      </c>
      <c r="P34" s="22">
        <f t="shared" si="12"/>
        <v>302.14795759376028</v>
      </c>
      <c r="Q34" s="22"/>
      <c r="R34" s="22"/>
      <c r="S34" s="22">
        <f t="shared" si="6"/>
        <v>2289.7775798896323</v>
      </c>
      <c r="T34" s="22">
        <f t="shared" si="7"/>
        <v>1019.5221160874985</v>
      </c>
    </row>
    <row r="35" spans="1:20" x14ac:dyDescent="0.2">
      <c r="A35" s="5">
        <v>44</v>
      </c>
      <c r="B35" s="1">
        <f t="shared" si="8"/>
        <v>1.9478000182997122</v>
      </c>
      <c r="C35" s="5">
        <f t="shared" si="9"/>
        <v>51513.664471525197</v>
      </c>
      <c r="D35" s="5">
        <f t="shared" si="0"/>
        <v>49610.240254534365</v>
      </c>
      <c r="E35" s="5">
        <f t="shared" si="1"/>
        <v>40110.240254534365</v>
      </c>
      <c r="F35" s="5">
        <f t="shared" si="2"/>
        <v>13958.767468558906</v>
      </c>
      <c r="G35" s="5">
        <f t="shared" si="3"/>
        <v>35651.472785975457</v>
      </c>
      <c r="H35" s="22">
        <f t="shared" si="10"/>
        <v>23180.439262055839</v>
      </c>
      <c r="I35" s="5">
        <f t="shared" si="4"/>
        <v>57603.348767142335</v>
      </c>
      <c r="J35" s="26">
        <f t="shared" si="5"/>
        <v>0.18564937809567594</v>
      </c>
      <c r="L35" s="22">
        <f t="shared" si="11"/>
        <v>93504.023363482789</v>
      </c>
      <c r="M35" s="5">
        <f>scrimecost*Meta!O32</f>
        <v>2350.2179999999998</v>
      </c>
      <c r="N35" s="5">
        <f>L35-Grade10!L35</f>
        <v>2446.8623128519394</v>
      </c>
      <c r="O35" s="5">
        <f>Grade10!M35-M35</f>
        <v>117.62400000000025</v>
      </c>
      <c r="P35" s="22">
        <f t="shared" si="12"/>
        <v>310.86852922936401</v>
      </c>
      <c r="Q35" s="22"/>
      <c r="R35" s="22"/>
      <c r="S35" s="22">
        <f t="shared" si="6"/>
        <v>2345.2997301744499</v>
      </c>
      <c r="T35" s="22">
        <f t="shared" si="7"/>
        <v>1013.4142701963599</v>
      </c>
    </row>
    <row r="36" spans="1:20" x14ac:dyDescent="0.2">
      <c r="A36" s="5">
        <v>45</v>
      </c>
      <c r="B36" s="1">
        <f t="shared" si="8"/>
        <v>1.9964950187572048</v>
      </c>
      <c r="C36" s="5">
        <f t="shared" si="9"/>
        <v>52801.506083313325</v>
      </c>
      <c r="D36" s="5">
        <f t="shared" si="0"/>
        <v>50829.826260897717</v>
      </c>
      <c r="E36" s="5">
        <f t="shared" si="1"/>
        <v>41329.826260897717</v>
      </c>
      <c r="F36" s="5">
        <f t="shared" si="2"/>
        <v>14478.920900272877</v>
      </c>
      <c r="G36" s="5">
        <f t="shared" si="3"/>
        <v>36350.905360624842</v>
      </c>
      <c r="H36" s="22">
        <f t="shared" si="10"/>
        <v>23759.950243607233</v>
      </c>
      <c r="I36" s="5">
        <f t="shared" si="4"/>
        <v>58851.578241320894</v>
      </c>
      <c r="J36" s="26">
        <f t="shared" si="5"/>
        <v>0.18829550853138413</v>
      </c>
      <c r="L36" s="22">
        <f t="shared" si="11"/>
        <v>95841.623947569853</v>
      </c>
      <c r="M36" s="5">
        <f>scrimecost*Meta!O33</f>
        <v>1992.8019999999999</v>
      </c>
      <c r="N36" s="5">
        <f>L36-Grade10!L36</f>
        <v>2508.0338706732291</v>
      </c>
      <c r="O36" s="5">
        <f>Grade10!M36-M36</f>
        <v>99.736000000000104</v>
      </c>
      <c r="P36" s="22">
        <f t="shared" si="12"/>
        <v>319.80711515585779</v>
      </c>
      <c r="Q36" s="22"/>
      <c r="R36" s="22"/>
      <c r="S36" s="22">
        <f t="shared" si="6"/>
        <v>2384.8406862163874</v>
      </c>
      <c r="T36" s="22">
        <f t="shared" si="7"/>
        <v>1000.0767791757353</v>
      </c>
    </row>
    <row r="37" spans="1:20" x14ac:dyDescent="0.2">
      <c r="A37" s="5">
        <v>46</v>
      </c>
      <c r="B37" s="1">
        <f t="shared" ref="B37:B56" si="13">(1+experiencepremium)^(A37-startage)</f>
        <v>2.0464073942261352</v>
      </c>
      <c r="C37" s="5">
        <f t="shared" ref="C37:C56" si="14">pretaxincome*B37/expnorm</f>
        <v>54121.543735396161</v>
      </c>
      <c r="D37" s="5">
        <f t="shared" ref="D37:D56" si="15">IF(A37&lt;startage,1,0)*(C37*(1-initialunempprob))+IF(A37=startage,1,0)*(C37*(1-unempprob))+IF(A37&gt;startage,1,0)*(C37*(1-unempprob)+unempprob*300*52)</f>
        <v>52079.901917420168</v>
      </c>
      <c r="E37" s="5">
        <f t="shared" si="1"/>
        <v>42579.901917420168</v>
      </c>
      <c r="F37" s="5">
        <f t="shared" si="2"/>
        <v>15012.078167779702</v>
      </c>
      <c r="G37" s="5">
        <f t="shared" si="3"/>
        <v>37067.823749640462</v>
      </c>
      <c r="H37" s="22">
        <f t="shared" ref="H37:H56" si="16">benefits*B37/expnorm</f>
        <v>24353.948999697419</v>
      </c>
      <c r="I37" s="5">
        <f t="shared" ref="I37:I56" si="17">G37+IF(A37&lt;startage,1,0)*(H37*(1-initialunempprob))+IF(A37&gt;=startage,1,0)*(H37*(1-unempprob))</f>
        <v>60131.013452353916</v>
      </c>
      <c r="J37" s="26">
        <f t="shared" si="5"/>
        <v>0.19087709920036774</v>
      </c>
      <c r="L37" s="22">
        <f t="shared" ref="L37:L56" si="18">(sincome+sbenefits)*(1-sunemp)*B37/expnorm</f>
        <v>98237.664546259111</v>
      </c>
      <c r="M37" s="5">
        <f>scrimecost*Meta!O34</f>
        <v>1992.8019999999999</v>
      </c>
      <c r="N37" s="5">
        <f>L37-Grade10!L37</f>
        <v>2570.7347174401075</v>
      </c>
      <c r="O37" s="5">
        <f>Grade10!M37-M37</f>
        <v>99.736000000000104</v>
      </c>
      <c r="P37" s="22">
        <f t="shared" si="12"/>
        <v>328.96916573051408</v>
      </c>
      <c r="Q37" s="22"/>
      <c r="R37" s="22"/>
      <c r="S37" s="22">
        <f t="shared" si="6"/>
        <v>2443.1736453594167</v>
      </c>
      <c r="T37" s="22">
        <f t="shared" si="7"/>
        <v>994.29124538463566</v>
      </c>
    </row>
    <row r="38" spans="1:20" x14ac:dyDescent="0.2">
      <c r="A38" s="5">
        <v>47</v>
      </c>
      <c r="B38" s="1">
        <f t="shared" si="13"/>
        <v>2.097567579081788</v>
      </c>
      <c r="C38" s="5">
        <f t="shared" si="14"/>
        <v>55474.582328781049</v>
      </c>
      <c r="D38" s="5">
        <f t="shared" si="15"/>
        <v>53361.229465355653</v>
      </c>
      <c r="E38" s="5">
        <f t="shared" si="1"/>
        <v>43861.229465355653</v>
      </c>
      <c r="F38" s="5">
        <f t="shared" si="2"/>
        <v>15558.564366974188</v>
      </c>
      <c r="G38" s="5">
        <f t="shared" si="3"/>
        <v>37802.665098381462</v>
      </c>
      <c r="H38" s="22">
        <f t="shared" si="16"/>
        <v>24962.797724689848</v>
      </c>
      <c r="I38" s="5">
        <f t="shared" si="17"/>
        <v>61442.434543662748</v>
      </c>
      <c r="J38" s="26">
        <f t="shared" si="5"/>
        <v>0.1933957242432785</v>
      </c>
      <c r="L38" s="22">
        <f t="shared" si="18"/>
        <v>100693.60615991557</v>
      </c>
      <c r="M38" s="5">
        <f>scrimecost*Meta!O35</f>
        <v>1992.8019999999999</v>
      </c>
      <c r="N38" s="5">
        <f>L38-Grade10!L38</f>
        <v>2635.0030853760545</v>
      </c>
      <c r="O38" s="5">
        <f>Grade10!M38-M38</f>
        <v>99.736000000000104</v>
      </c>
      <c r="P38" s="22">
        <f t="shared" si="12"/>
        <v>338.36026756953646</v>
      </c>
      <c r="Q38" s="22"/>
      <c r="R38" s="22"/>
      <c r="S38" s="22">
        <f t="shared" si="6"/>
        <v>2502.9649284809411</v>
      </c>
      <c r="T38" s="22">
        <f t="shared" si="7"/>
        <v>988.55162469853133</v>
      </c>
    </row>
    <row r="39" spans="1:20" x14ac:dyDescent="0.2">
      <c r="A39" s="5">
        <v>48</v>
      </c>
      <c r="B39" s="1">
        <f t="shared" si="13"/>
        <v>2.1500067685588333</v>
      </c>
      <c r="C39" s="5">
        <f t="shared" si="14"/>
        <v>56861.446887000595</v>
      </c>
      <c r="D39" s="5">
        <f t="shared" si="15"/>
        <v>54674.590201989566</v>
      </c>
      <c r="E39" s="5">
        <f t="shared" si="1"/>
        <v>45174.590201989566</v>
      </c>
      <c r="F39" s="5">
        <f t="shared" si="2"/>
        <v>16118.712721148549</v>
      </c>
      <c r="G39" s="5">
        <f t="shared" si="3"/>
        <v>38555.877480841016</v>
      </c>
      <c r="H39" s="22">
        <f t="shared" si="16"/>
        <v>25586.867667807102</v>
      </c>
      <c r="I39" s="5">
        <f t="shared" si="17"/>
        <v>62786.641162254338</v>
      </c>
      <c r="J39" s="26">
        <f t="shared" ref="J39:J56" si="19">(F39-(IF(A39&gt;startage,1,0)*(unempprob*300*52)))/(IF(A39&lt;startage,1,0)*((C39+H39)*(1-initialunempprob))+IF(A39&gt;=startage,1,0)*((C39+H39)*(1-unempprob)))</f>
        <v>0.19585291940709398</v>
      </c>
      <c r="L39" s="22">
        <f t="shared" si="18"/>
        <v>103210.94631391348</v>
      </c>
      <c r="M39" s="5">
        <f>scrimecost*Meta!O36</f>
        <v>1992.8019999999999</v>
      </c>
      <c r="N39" s="5">
        <f>L39-Grade10!L39</f>
        <v>2700.8781625104893</v>
      </c>
      <c r="O39" s="5">
        <f>Grade10!M39-M39</f>
        <v>99.736000000000104</v>
      </c>
      <c r="P39" s="22">
        <f t="shared" si="12"/>
        <v>347.98614695453472</v>
      </c>
      <c r="Q39" s="22"/>
      <c r="R39" s="22"/>
      <c r="S39" s="22">
        <f t="shared" ref="S39:S69" si="20">IF(A39&lt;startage,1,0)*(N39-Q39-R39)+IF(A39&gt;=startage,1,0)*completionprob*(N39*spart+O39+P39)</f>
        <v>2564.2509936805736</v>
      </c>
      <c r="T39" s="22">
        <f t="shared" ref="T39:T69" si="21">S39/sreturn^(A39-startage+1)</f>
        <v>982.85721868179269</v>
      </c>
    </row>
    <row r="40" spans="1:20" x14ac:dyDescent="0.2">
      <c r="A40" s="5">
        <v>49</v>
      </c>
      <c r="B40" s="1">
        <f t="shared" si="13"/>
        <v>2.2037569377728037</v>
      </c>
      <c r="C40" s="5">
        <f t="shared" si="14"/>
        <v>58282.983059175596</v>
      </c>
      <c r="D40" s="5">
        <f t="shared" si="15"/>
        <v>56020.784957039286</v>
      </c>
      <c r="E40" s="5">
        <f t="shared" si="1"/>
        <v>46520.784957039286</v>
      </c>
      <c r="F40" s="5">
        <f t="shared" si="2"/>
        <v>16692.864784177254</v>
      </c>
      <c r="G40" s="5">
        <f t="shared" si="3"/>
        <v>39327.920172862032</v>
      </c>
      <c r="H40" s="22">
        <f t="shared" si="16"/>
        <v>26226.539359502272</v>
      </c>
      <c r="I40" s="5">
        <f t="shared" si="17"/>
        <v>64164.452946310681</v>
      </c>
      <c r="J40" s="26">
        <f t="shared" si="19"/>
        <v>0.19825018298154801</v>
      </c>
      <c r="L40" s="22">
        <f t="shared" si="18"/>
        <v>105791.2199717613</v>
      </c>
      <c r="M40" s="5">
        <f>scrimecost*Meta!O37</f>
        <v>1992.8019999999999</v>
      </c>
      <c r="N40" s="5">
        <f>L40-Grade10!L40</f>
        <v>2768.4001165732479</v>
      </c>
      <c r="O40" s="5">
        <f>Grade10!M40-M40</f>
        <v>99.736000000000104</v>
      </c>
      <c r="P40" s="22">
        <f t="shared" ref="P40:P56" si="22">(spart-initialspart)*(L40*J40+nptrans)</f>
        <v>357.85267332415771</v>
      </c>
      <c r="Q40" s="22"/>
      <c r="R40" s="22"/>
      <c r="S40" s="22">
        <f t="shared" si="20"/>
        <v>2627.069210510168</v>
      </c>
      <c r="T40" s="22">
        <f t="shared" si="21"/>
        <v>977.20734606181406</v>
      </c>
    </row>
    <row r="41" spans="1:20" x14ac:dyDescent="0.2">
      <c r="A41" s="5">
        <v>50</v>
      </c>
      <c r="B41" s="1">
        <f t="shared" si="13"/>
        <v>2.2588508612171236</v>
      </c>
      <c r="C41" s="5">
        <f t="shared" si="14"/>
        <v>59740.057635654986</v>
      </c>
      <c r="D41" s="5">
        <f t="shared" si="15"/>
        <v>57400.63458096527</v>
      </c>
      <c r="E41" s="5">
        <f t="shared" si="1"/>
        <v>47900.63458096527</v>
      </c>
      <c r="F41" s="5">
        <f t="shared" si="2"/>
        <v>17281.370648781689</v>
      </c>
      <c r="G41" s="5">
        <f t="shared" si="3"/>
        <v>40119.263932183581</v>
      </c>
      <c r="H41" s="22">
        <f t="shared" si="16"/>
        <v>26882.202843489828</v>
      </c>
      <c r="I41" s="5">
        <f t="shared" si="17"/>
        <v>65576.710024968444</v>
      </c>
      <c r="J41" s="26">
        <f t="shared" si="19"/>
        <v>0.20058897671272274</v>
      </c>
      <c r="L41" s="22">
        <f t="shared" si="18"/>
        <v>108436.00047105533</v>
      </c>
      <c r="M41" s="5">
        <f>scrimecost*Meta!O38</f>
        <v>1442.1319999999998</v>
      </c>
      <c r="N41" s="5">
        <f>L41-Grade10!L41</f>
        <v>2837.610119487581</v>
      </c>
      <c r="O41" s="5">
        <f>Grade10!M41-M41</f>
        <v>72.176000000000158</v>
      </c>
      <c r="P41" s="22">
        <f t="shared" si="22"/>
        <v>367.96586285302135</v>
      </c>
      <c r="Q41" s="22"/>
      <c r="R41" s="22"/>
      <c r="S41" s="22">
        <f t="shared" si="20"/>
        <v>2664.6971227605059</v>
      </c>
      <c r="T41" s="22">
        <f t="shared" si="21"/>
        <v>961.94085656040158</v>
      </c>
    </row>
    <row r="42" spans="1:20" x14ac:dyDescent="0.2">
      <c r="A42" s="5">
        <v>51</v>
      </c>
      <c r="B42" s="1">
        <f t="shared" si="13"/>
        <v>2.3153221327475517</v>
      </c>
      <c r="C42" s="5">
        <f t="shared" si="14"/>
        <v>61233.559076546357</v>
      </c>
      <c r="D42" s="5">
        <f t="shared" si="15"/>
        <v>58814.980445489397</v>
      </c>
      <c r="E42" s="5">
        <f t="shared" si="1"/>
        <v>49314.980445489397</v>
      </c>
      <c r="F42" s="5">
        <f t="shared" si="2"/>
        <v>17884.589160001229</v>
      </c>
      <c r="G42" s="5">
        <f t="shared" si="3"/>
        <v>40930.391285488164</v>
      </c>
      <c r="H42" s="22">
        <f t="shared" si="16"/>
        <v>27554.257914577072</v>
      </c>
      <c r="I42" s="5">
        <f t="shared" si="17"/>
        <v>67024.273530592647</v>
      </c>
      <c r="J42" s="26">
        <f t="shared" si="19"/>
        <v>0.2028707266943566</v>
      </c>
      <c r="L42" s="22">
        <f t="shared" si="18"/>
        <v>111146.9004828317</v>
      </c>
      <c r="M42" s="5">
        <f>scrimecost*Meta!O39</f>
        <v>1442.1319999999998</v>
      </c>
      <c r="N42" s="5">
        <f>L42-Grade10!L42</f>
        <v>2908.5503724747687</v>
      </c>
      <c r="O42" s="5">
        <f>Grade10!M42-M42</f>
        <v>72.176000000000158</v>
      </c>
      <c r="P42" s="22">
        <f t="shared" si="22"/>
        <v>378.33188212010651</v>
      </c>
      <c r="Q42" s="22"/>
      <c r="R42" s="22"/>
      <c r="S42" s="22">
        <f t="shared" si="20"/>
        <v>2730.6955118170999</v>
      </c>
      <c r="T42" s="22">
        <f t="shared" si="21"/>
        <v>956.66327831760998</v>
      </c>
    </row>
    <row r="43" spans="1:20" x14ac:dyDescent="0.2">
      <c r="A43" s="5">
        <v>52</v>
      </c>
      <c r="B43" s="1">
        <f t="shared" si="13"/>
        <v>2.3732051860662402</v>
      </c>
      <c r="C43" s="5">
        <f t="shared" si="14"/>
        <v>62764.398053460005</v>
      </c>
      <c r="D43" s="5">
        <f t="shared" si="15"/>
        <v>60264.684956626625</v>
      </c>
      <c r="E43" s="5">
        <f t="shared" si="1"/>
        <v>50764.684956626625</v>
      </c>
      <c r="F43" s="5">
        <f t="shared" si="2"/>
        <v>18502.888134001256</v>
      </c>
      <c r="G43" s="5">
        <f t="shared" si="3"/>
        <v>41761.796822625372</v>
      </c>
      <c r="H43" s="22">
        <f t="shared" si="16"/>
        <v>28243.114362441494</v>
      </c>
      <c r="I43" s="5">
        <f t="shared" si="17"/>
        <v>68508.026123857475</v>
      </c>
      <c r="J43" s="26">
        <f t="shared" si="19"/>
        <v>0.20509682423741402</v>
      </c>
      <c r="L43" s="22">
        <f t="shared" si="18"/>
        <v>113925.57299490248</v>
      </c>
      <c r="M43" s="5">
        <f>scrimecost*Meta!O40</f>
        <v>1442.1319999999998</v>
      </c>
      <c r="N43" s="5">
        <f>L43-Grade10!L43</f>
        <v>2981.2641317866219</v>
      </c>
      <c r="O43" s="5">
        <f>Grade10!M43-M43</f>
        <v>72.176000000000158</v>
      </c>
      <c r="P43" s="22">
        <f t="shared" si="22"/>
        <v>388.95705186886892</v>
      </c>
      <c r="Q43" s="22"/>
      <c r="R43" s="22"/>
      <c r="S43" s="22">
        <f t="shared" si="20"/>
        <v>2798.3438606000968</v>
      </c>
      <c r="T43" s="22">
        <f t="shared" si="21"/>
        <v>951.41986774579573</v>
      </c>
    </row>
    <row r="44" spans="1:20" x14ac:dyDescent="0.2">
      <c r="A44" s="5">
        <v>53</v>
      </c>
      <c r="B44" s="1">
        <f t="shared" si="13"/>
        <v>2.4325353157178964</v>
      </c>
      <c r="C44" s="5">
        <f t="shared" si="14"/>
        <v>64333.508004796509</v>
      </c>
      <c r="D44" s="5">
        <f t="shared" si="15"/>
        <v>61750.632080542295</v>
      </c>
      <c r="E44" s="5">
        <f t="shared" si="1"/>
        <v>52250.632080542295</v>
      </c>
      <c r="F44" s="5">
        <f t="shared" si="2"/>
        <v>19136.644582351288</v>
      </c>
      <c r="G44" s="5">
        <f t="shared" si="3"/>
        <v>42613.987498191011</v>
      </c>
      <c r="H44" s="22">
        <f t="shared" si="16"/>
        <v>28949.192221502533</v>
      </c>
      <c r="I44" s="5">
        <f t="shared" si="17"/>
        <v>70028.872531953908</v>
      </c>
      <c r="J44" s="26">
        <f t="shared" si="19"/>
        <v>0.20726862671844568</v>
      </c>
      <c r="L44" s="22">
        <f t="shared" si="18"/>
        <v>116773.71231977505</v>
      </c>
      <c r="M44" s="5">
        <f>scrimecost*Meta!O41</f>
        <v>1442.1319999999998</v>
      </c>
      <c r="N44" s="5">
        <f>L44-Grade10!L44</f>
        <v>3055.795735081294</v>
      </c>
      <c r="O44" s="5">
        <f>Grade10!M44-M44</f>
        <v>72.176000000000158</v>
      </c>
      <c r="P44" s="22">
        <f t="shared" si="22"/>
        <v>399.84785086135037</v>
      </c>
      <c r="Q44" s="22"/>
      <c r="R44" s="22"/>
      <c r="S44" s="22">
        <f t="shared" si="20"/>
        <v>2867.6834181026879</v>
      </c>
      <c r="T44" s="22">
        <f t="shared" si="21"/>
        <v>946.21025606550563</v>
      </c>
    </row>
    <row r="45" spans="1:20" x14ac:dyDescent="0.2">
      <c r="A45" s="5">
        <v>54</v>
      </c>
      <c r="B45" s="1">
        <f t="shared" si="13"/>
        <v>2.4933486986108435</v>
      </c>
      <c r="C45" s="5">
        <f t="shared" si="14"/>
        <v>65941.845704916414</v>
      </c>
      <c r="D45" s="5">
        <f t="shared" si="15"/>
        <v>63273.727882555846</v>
      </c>
      <c r="E45" s="5">
        <f t="shared" si="1"/>
        <v>53773.727882555846</v>
      </c>
      <c r="F45" s="5">
        <f t="shared" si="2"/>
        <v>19786.244941910067</v>
      </c>
      <c r="G45" s="5">
        <f t="shared" si="3"/>
        <v>43487.482940645779</v>
      </c>
      <c r="H45" s="22">
        <f t="shared" si="16"/>
        <v>29672.922027040095</v>
      </c>
      <c r="I45" s="5">
        <f t="shared" si="17"/>
        <v>71587.740100252748</v>
      </c>
      <c r="J45" s="26">
        <f t="shared" si="19"/>
        <v>0.20938745840725698</v>
      </c>
      <c r="L45" s="22">
        <f t="shared" si="18"/>
        <v>119693.05512776942</v>
      </c>
      <c r="M45" s="5">
        <f>scrimecost*Meta!O42</f>
        <v>1442.1319999999998</v>
      </c>
      <c r="N45" s="5">
        <f>L45-Grade10!L45</f>
        <v>3132.1906284583529</v>
      </c>
      <c r="O45" s="5">
        <f>Grade10!M45-M45</f>
        <v>72.176000000000158</v>
      </c>
      <c r="P45" s="22">
        <f t="shared" si="22"/>
        <v>411.01091982864375</v>
      </c>
      <c r="Q45" s="22"/>
      <c r="R45" s="22"/>
      <c r="S45" s="22">
        <f t="shared" si="20"/>
        <v>2938.7564645428579</v>
      </c>
      <c r="T45" s="22">
        <f t="shared" si="21"/>
        <v>941.03408201797674</v>
      </c>
    </row>
    <row r="46" spans="1:20" x14ac:dyDescent="0.2">
      <c r="A46" s="5">
        <v>55</v>
      </c>
      <c r="B46" s="1">
        <f t="shared" si="13"/>
        <v>2.555682416076114</v>
      </c>
      <c r="C46" s="5">
        <f t="shared" si="14"/>
        <v>67590.391847539315</v>
      </c>
      <c r="D46" s="5">
        <f t="shared" si="15"/>
        <v>64834.901079619733</v>
      </c>
      <c r="E46" s="5">
        <f t="shared" si="1"/>
        <v>55334.901079619733</v>
      </c>
      <c r="F46" s="5">
        <f t="shared" si="2"/>
        <v>20452.085310457816</v>
      </c>
      <c r="G46" s="5">
        <f t="shared" si="3"/>
        <v>44382.815769161913</v>
      </c>
      <c r="H46" s="22">
        <f t="shared" si="16"/>
        <v>30414.745077716092</v>
      </c>
      <c r="I46" s="5">
        <f t="shared" si="17"/>
        <v>73185.579357759052</v>
      </c>
      <c r="J46" s="26">
        <f t="shared" si="19"/>
        <v>0.21145461127439</v>
      </c>
      <c r="L46" s="22">
        <f t="shared" si="18"/>
        <v>122685.38150596363</v>
      </c>
      <c r="M46" s="5">
        <f>scrimecost*Meta!O43</f>
        <v>862.37</v>
      </c>
      <c r="N46" s="5">
        <f>L46-Grade10!L46</f>
        <v>3210.4953941697604</v>
      </c>
      <c r="O46" s="5">
        <f>Grade10!M46-M46</f>
        <v>43.159999999999968</v>
      </c>
      <c r="P46" s="22">
        <f t="shared" si="22"/>
        <v>422.45306552011942</v>
      </c>
      <c r="Q46" s="22"/>
      <c r="R46" s="22"/>
      <c r="S46" s="22">
        <f t="shared" si="20"/>
        <v>2983.4318011439714</v>
      </c>
      <c r="T46" s="22">
        <f t="shared" si="21"/>
        <v>927.13543350188945</v>
      </c>
    </row>
    <row r="47" spans="1:20" x14ac:dyDescent="0.2">
      <c r="A47" s="5">
        <v>56</v>
      </c>
      <c r="B47" s="1">
        <f t="shared" si="13"/>
        <v>2.6195744764780171</v>
      </c>
      <c r="C47" s="5">
        <f t="shared" si="14"/>
        <v>69280.151643727804</v>
      </c>
      <c r="D47" s="5">
        <f t="shared" si="15"/>
        <v>66435.103606610224</v>
      </c>
      <c r="E47" s="5">
        <f t="shared" si="1"/>
        <v>56935.103606610224</v>
      </c>
      <c r="F47" s="5">
        <f t="shared" si="2"/>
        <v>21134.571688219261</v>
      </c>
      <c r="G47" s="5">
        <f t="shared" si="3"/>
        <v>45300.53191839096</v>
      </c>
      <c r="H47" s="22">
        <f t="shared" si="16"/>
        <v>31175.113704658997</v>
      </c>
      <c r="I47" s="5">
        <f t="shared" si="17"/>
        <v>74823.364596703032</v>
      </c>
      <c r="J47" s="26">
        <f t="shared" si="19"/>
        <v>0.21347134577891003</v>
      </c>
      <c r="L47" s="22">
        <f t="shared" si="18"/>
        <v>125752.51604361273</v>
      </c>
      <c r="M47" s="5">
        <f>scrimecost*Meta!O44</f>
        <v>862.37</v>
      </c>
      <c r="N47" s="5">
        <f>L47-Grade10!L47</f>
        <v>3290.7577790240612</v>
      </c>
      <c r="O47" s="5">
        <f>Grade10!M47-M47</f>
        <v>43.159999999999968</v>
      </c>
      <c r="P47" s="22">
        <f t="shared" si="22"/>
        <v>434.18126485388223</v>
      </c>
      <c r="Q47" s="22"/>
      <c r="R47" s="22"/>
      <c r="S47" s="22">
        <f t="shared" si="20"/>
        <v>3058.1029205601985</v>
      </c>
      <c r="T47" s="22">
        <f t="shared" si="21"/>
        <v>922.28356913833079</v>
      </c>
    </row>
    <row r="48" spans="1:20" x14ac:dyDescent="0.2">
      <c r="A48" s="5">
        <v>57</v>
      </c>
      <c r="B48" s="1">
        <f t="shared" si="13"/>
        <v>2.6850638383899672</v>
      </c>
      <c r="C48" s="5">
        <f t="shared" si="14"/>
        <v>71012.15543482099</v>
      </c>
      <c r="D48" s="5">
        <f t="shared" si="15"/>
        <v>68075.311196775481</v>
      </c>
      <c r="E48" s="5">
        <f t="shared" si="1"/>
        <v>58575.311196775481</v>
      </c>
      <c r="F48" s="5">
        <f t="shared" si="2"/>
        <v>21834.12022542474</v>
      </c>
      <c r="G48" s="5">
        <f t="shared" si="3"/>
        <v>46241.190971350741</v>
      </c>
      <c r="H48" s="22">
        <f t="shared" si="16"/>
        <v>31954.491547275469</v>
      </c>
      <c r="I48" s="5">
        <f t="shared" si="17"/>
        <v>76502.094466620605</v>
      </c>
      <c r="J48" s="26">
        <f t="shared" si="19"/>
        <v>0.21543889163697835</v>
      </c>
      <c r="L48" s="22">
        <f t="shared" si="18"/>
        <v>128896.32894470303</v>
      </c>
      <c r="M48" s="5">
        <f>scrimecost*Meta!O45</f>
        <v>862.37</v>
      </c>
      <c r="N48" s="5">
        <f>L48-Grade10!L48</f>
        <v>3373.0267234996281</v>
      </c>
      <c r="O48" s="5">
        <f>Grade10!M48-M48</f>
        <v>43.159999999999968</v>
      </c>
      <c r="P48" s="22">
        <f t="shared" si="22"/>
        <v>446.20266917098888</v>
      </c>
      <c r="Q48" s="22"/>
      <c r="R48" s="22"/>
      <c r="S48" s="22">
        <f t="shared" si="20"/>
        <v>3134.6408179617588</v>
      </c>
      <c r="T48" s="22">
        <f t="shared" si="21"/>
        <v>917.45647040313281</v>
      </c>
    </row>
    <row r="49" spans="1:20" x14ac:dyDescent="0.2">
      <c r="A49" s="5">
        <v>58</v>
      </c>
      <c r="B49" s="1">
        <f t="shared" si="13"/>
        <v>2.7521904343497163</v>
      </c>
      <c r="C49" s="5">
        <f t="shared" si="14"/>
        <v>72787.459320691516</v>
      </c>
      <c r="D49" s="5">
        <f t="shared" si="15"/>
        <v>69756.523976694865</v>
      </c>
      <c r="E49" s="5">
        <f t="shared" si="1"/>
        <v>60256.523976694865</v>
      </c>
      <c r="F49" s="5">
        <f t="shared" si="2"/>
        <v>22551.157476060362</v>
      </c>
      <c r="G49" s="5">
        <f t="shared" si="3"/>
        <v>47205.366500634504</v>
      </c>
      <c r="H49" s="22">
        <f t="shared" si="16"/>
        <v>32753.353835957354</v>
      </c>
      <c r="I49" s="5">
        <f t="shared" si="17"/>
        <v>78222.792583286122</v>
      </c>
      <c r="J49" s="26">
        <f t="shared" si="19"/>
        <v>0.21735844857167919</v>
      </c>
      <c r="L49" s="22">
        <f t="shared" si="18"/>
        <v>132118.7371683206</v>
      </c>
      <c r="M49" s="5">
        <f>scrimecost*Meta!O46</f>
        <v>862.37</v>
      </c>
      <c r="N49" s="5">
        <f>L49-Grade10!L49</f>
        <v>3457.3523915871192</v>
      </c>
      <c r="O49" s="5">
        <f>Grade10!M49-M49</f>
        <v>43.159999999999968</v>
      </c>
      <c r="P49" s="22">
        <f t="shared" si="22"/>
        <v>458.52460859602337</v>
      </c>
      <c r="Q49" s="22"/>
      <c r="R49" s="22"/>
      <c r="S49" s="22">
        <f t="shared" si="20"/>
        <v>3213.0921627983857</v>
      </c>
      <c r="T49" s="22">
        <f t="shared" si="21"/>
        <v>912.65402943463585</v>
      </c>
    </row>
    <row r="50" spans="1:20" x14ac:dyDescent="0.2">
      <c r="A50" s="5">
        <v>59</v>
      </c>
      <c r="B50" s="1">
        <f t="shared" si="13"/>
        <v>2.8209951952084591</v>
      </c>
      <c r="C50" s="5">
        <f t="shared" si="14"/>
        <v>74607.145803708801</v>
      </c>
      <c r="D50" s="5">
        <f t="shared" si="15"/>
        <v>71479.767076112228</v>
      </c>
      <c r="E50" s="5">
        <f t="shared" si="1"/>
        <v>61979.767076112228</v>
      </c>
      <c r="F50" s="5">
        <f t="shared" si="2"/>
        <v>23286.120657961867</v>
      </c>
      <c r="G50" s="5">
        <f t="shared" si="3"/>
        <v>48193.646418150362</v>
      </c>
      <c r="H50" s="22">
        <f t="shared" si="16"/>
        <v>33572.187681856281</v>
      </c>
      <c r="I50" s="5">
        <f t="shared" si="17"/>
        <v>79986.508152868249</v>
      </c>
      <c r="J50" s="26">
        <f t="shared" si="19"/>
        <v>0.21923118704455796</v>
      </c>
      <c r="L50" s="22">
        <f t="shared" si="18"/>
        <v>135421.70559752861</v>
      </c>
      <c r="M50" s="5">
        <f>scrimecost*Meta!O47</f>
        <v>862.37</v>
      </c>
      <c r="N50" s="5">
        <f>L50-Grade10!L50</f>
        <v>3543.7862013767881</v>
      </c>
      <c r="O50" s="5">
        <f>Grade10!M50-M50</f>
        <v>43.159999999999968</v>
      </c>
      <c r="P50" s="22">
        <f t="shared" si="22"/>
        <v>471.15459650668356</v>
      </c>
      <c r="Q50" s="22"/>
      <c r="R50" s="22"/>
      <c r="S50" s="22">
        <f t="shared" si="20"/>
        <v>3293.5047912559212</v>
      </c>
      <c r="T50" s="22">
        <f t="shared" si="21"/>
        <v>907.87613827643759</v>
      </c>
    </row>
    <row r="51" spans="1:20" x14ac:dyDescent="0.2">
      <c r="A51" s="5">
        <v>60</v>
      </c>
      <c r="B51" s="1">
        <f t="shared" si="13"/>
        <v>2.8915200750886707</v>
      </c>
      <c r="C51" s="5">
        <f t="shared" si="14"/>
        <v>76472.324448801519</v>
      </c>
      <c r="D51" s="5">
        <f t="shared" si="15"/>
        <v>73246.091253015038</v>
      </c>
      <c r="E51" s="5">
        <f t="shared" si="1"/>
        <v>63746.091253015038</v>
      </c>
      <c r="F51" s="5">
        <f t="shared" si="2"/>
        <v>24039.457919410914</v>
      </c>
      <c r="G51" s="5">
        <f t="shared" si="3"/>
        <v>49206.633333604128</v>
      </c>
      <c r="H51" s="22">
        <f t="shared" si="16"/>
        <v>34411.492373902693</v>
      </c>
      <c r="I51" s="5">
        <f t="shared" si="17"/>
        <v>81794.316611689981</v>
      </c>
      <c r="J51" s="26">
        <f t="shared" si="19"/>
        <v>0.22105824896931781</v>
      </c>
      <c r="L51" s="22">
        <f t="shared" si="18"/>
        <v>138807.24823746682</v>
      </c>
      <c r="M51" s="5">
        <f>scrimecost*Meta!O48</f>
        <v>473.78399999999999</v>
      </c>
      <c r="N51" s="5">
        <f>L51-Grade10!L51</f>
        <v>3632.3808564112405</v>
      </c>
      <c r="O51" s="5">
        <f>Grade10!M51-M51</f>
        <v>23.712000000000046</v>
      </c>
      <c r="P51" s="22">
        <f t="shared" si="22"/>
        <v>484.10033411511029</v>
      </c>
      <c r="Q51" s="22"/>
      <c r="R51" s="22"/>
      <c r="S51" s="22">
        <f t="shared" si="20"/>
        <v>3357.0437274249275</v>
      </c>
      <c r="T51" s="22">
        <f t="shared" si="21"/>
        <v>898.07086983657553</v>
      </c>
    </row>
    <row r="52" spans="1:20" x14ac:dyDescent="0.2">
      <c r="A52" s="5">
        <v>61</v>
      </c>
      <c r="B52" s="1">
        <f t="shared" si="13"/>
        <v>2.9638080769658868</v>
      </c>
      <c r="C52" s="5">
        <f t="shared" si="14"/>
        <v>78384.132560021535</v>
      </c>
      <c r="D52" s="5">
        <f t="shared" si="15"/>
        <v>75056.573534340394</v>
      </c>
      <c r="E52" s="5">
        <f t="shared" si="1"/>
        <v>65556.573534340394</v>
      </c>
      <c r="F52" s="5">
        <f t="shared" si="2"/>
        <v>24811.628612396176</v>
      </c>
      <c r="G52" s="5">
        <f t="shared" si="3"/>
        <v>50244.944921944218</v>
      </c>
      <c r="H52" s="22">
        <f t="shared" si="16"/>
        <v>35271.779683250257</v>
      </c>
      <c r="I52" s="5">
        <f t="shared" si="17"/>
        <v>83647.320281982218</v>
      </c>
      <c r="J52" s="26">
        <f t="shared" si="19"/>
        <v>0.22284074840810783</v>
      </c>
      <c r="L52" s="22">
        <f t="shared" si="18"/>
        <v>142277.42944340347</v>
      </c>
      <c r="M52" s="5">
        <f>scrimecost*Meta!O49</f>
        <v>473.78399999999999</v>
      </c>
      <c r="N52" s="5">
        <f>L52-Grade10!L52</f>
        <v>3723.1903778215055</v>
      </c>
      <c r="O52" s="5">
        <f>Grade10!M52-M52</f>
        <v>23.712000000000046</v>
      </c>
      <c r="P52" s="22">
        <f t="shared" si="22"/>
        <v>497.36971516374763</v>
      </c>
      <c r="Q52" s="22"/>
      <c r="R52" s="22"/>
      <c r="S52" s="22">
        <f t="shared" si="20"/>
        <v>3441.5272451981205</v>
      </c>
      <c r="T52" s="22">
        <f t="shared" si="21"/>
        <v>893.49089830309686</v>
      </c>
    </row>
    <row r="53" spans="1:20" x14ac:dyDescent="0.2">
      <c r="A53" s="5">
        <v>62</v>
      </c>
      <c r="B53" s="1">
        <f t="shared" si="13"/>
        <v>3.0379032788900342</v>
      </c>
      <c r="C53" s="5">
        <f t="shared" si="14"/>
        <v>80343.735874022081</v>
      </c>
      <c r="D53" s="5">
        <f t="shared" si="15"/>
        <v>76912.317872698914</v>
      </c>
      <c r="E53" s="5">
        <f t="shared" si="1"/>
        <v>67412.317872698914</v>
      </c>
      <c r="F53" s="5">
        <f t="shared" si="2"/>
        <v>25603.103572706088</v>
      </c>
      <c r="G53" s="5">
        <f t="shared" si="3"/>
        <v>51309.214299992826</v>
      </c>
      <c r="H53" s="22">
        <f t="shared" si="16"/>
        <v>36153.574175331516</v>
      </c>
      <c r="I53" s="5">
        <f t="shared" si="17"/>
        <v>85546.649044031772</v>
      </c>
      <c r="J53" s="26">
        <f t="shared" si="19"/>
        <v>0.2245797722508299</v>
      </c>
      <c r="L53" s="22">
        <f t="shared" si="18"/>
        <v>145834.36517948855</v>
      </c>
      <c r="M53" s="5">
        <f>scrimecost*Meta!O50</f>
        <v>473.78399999999999</v>
      </c>
      <c r="N53" s="5">
        <f>L53-Grade10!L53</f>
        <v>3816.2701372670708</v>
      </c>
      <c r="O53" s="5">
        <f>Grade10!M53-M53</f>
        <v>23.712000000000046</v>
      </c>
      <c r="P53" s="22">
        <f t="shared" si="22"/>
        <v>510.97083073860108</v>
      </c>
      <c r="Q53" s="22"/>
      <c r="R53" s="22"/>
      <c r="S53" s="22">
        <f t="shared" si="20"/>
        <v>3528.1228509156781</v>
      </c>
      <c r="T53" s="22">
        <f t="shared" si="21"/>
        <v>888.93074917750153</v>
      </c>
    </row>
    <row r="54" spans="1:20" x14ac:dyDescent="0.2">
      <c r="A54" s="5">
        <v>63</v>
      </c>
      <c r="B54" s="1">
        <f t="shared" si="13"/>
        <v>3.1138508608622844</v>
      </c>
      <c r="C54" s="5">
        <f t="shared" si="14"/>
        <v>82352.329270872622</v>
      </c>
      <c r="D54" s="5">
        <f t="shared" si="15"/>
        <v>78814.45581951637</v>
      </c>
      <c r="E54" s="5">
        <f t="shared" si="1"/>
        <v>69314.45581951637</v>
      </c>
      <c r="F54" s="5">
        <f t="shared" si="2"/>
        <v>26414.365407023732</v>
      </c>
      <c r="G54" s="5">
        <f t="shared" si="3"/>
        <v>52400.090412492638</v>
      </c>
      <c r="H54" s="22">
        <f t="shared" si="16"/>
        <v>37057.413529714788</v>
      </c>
      <c r="I54" s="5">
        <f t="shared" si="17"/>
        <v>87493.461025132536</v>
      </c>
      <c r="J54" s="26">
        <f t="shared" si="19"/>
        <v>0.2262763808778758</v>
      </c>
      <c r="L54" s="22">
        <f t="shared" si="18"/>
        <v>149480.22430897577</v>
      </c>
      <c r="M54" s="5">
        <f>scrimecost*Meta!O51</f>
        <v>473.78399999999999</v>
      </c>
      <c r="N54" s="5">
        <f>L54-Grade10!L54</f>
        <v>3911.6768906986981</v>
      </c>
      <c r="O54" s="5">
        <f>Grade10!M54-M54</f>
        <v>23.712000000000046</v>
      </c>
      <c r="P54" s="22">
        <f t="shared" si="22"/>
        <v>524.91197420282583</v>
      </c>
      <c r="Q54" s="22"/>
      <c r="R54" s="22"/>
      <c r="S54" s="22">
        <f t="shared" si="20"/>
        <v>3616.8833467761142</v>
      </c>
      <c r="T54" s="22">
        <f t="shared" si="21"/>
        <v>884.39044431224772</v>
      </c>
    </row>
    <row r="55" spans="1:20" x14ac:dyDescent="0.2">
      <c r="A55" s="5">
        <v>64</v>
      </c>
      <c r="B55" s="1">
        <f t="shared" si="13"/>
        <v>3.1916971323838421</v>
      </c>
      <c r="C55" s="5">
        <f t="shared" si="14"/>
        <v>84411.137502644444</v>
      </c>
      <c r="D55" s="5">
        <f t="shared" si="15"/>
        <v>80764.147215004283</v>
      </c>
      <c r="E55" s="5">
        <f t="shared" si="1"/>
        <v>71264.147215004283</v>
      </c>
      <c r="F55" s="5">
        <f t="shared" si="2"/>
        <v>27245.908787199325</v>
      </c>
      <c r="G55" s="5">
        <f t="shared" si="3"/>
        <v>53518.238427804958</v>
      </c>
      <c r="H55" s="22">
        <f t="shared" si="16"/>
        <v>37983.848867957669</v>
      </c>
      <c r="I55" s="5">
        <f t="shared" si="17"/>
        <v>89488.943305760869</v>
      </c>
      <c r="J55" s="26">
        <f t="shared" si="19"/>
        <v>0.22793160880670102</v>
      </c>
      <c r="L55" s="22">
        <f t="shared" si="18"/>
        <v>153217.22991670019</v>
      </c>
      <c r="M55" s="5">
        <f>scrimecost*Meta!O52</f>
        <v>473.78399999999999</v>
      </c>
      <c r="N55" s="5">
        <f>L55-Grade10!L55</f>
        <v>4009.4688129662245</v>
      </c>
      <c r="O55" s="5">
        <f>Grade10!M55-M55</f>
        <v>23.712000000000046</v>
      </c>
      <c r="P55" s="22">
        <f t="shared" si="22"/>
        <v>539.20164625365624</v>
      </c>
      <c r="Q55" s="22"/>
      <c r="R55" s="22"/>
      <c r="S55" s="22">
        <f t="shared" si="20"/>
        <v>3707.8628550331459</v>
      </c>
      <c r="T55" s="22">
        <f t="shared" si="21"/>
        <v>879.87000172096782</v>
      </c>
    </row>
    <row r="56" spans="1:20" x14ac:dyDescent="0.2">
      <c r="A56" s="5">
        <v>65</v>
      </c>
      <c r="B56" s="1">
        <f t="shared" si="13"/>
        <v>3.2714895606934378</v>
      </c>
      <c r="C56" s="5">
        <f t="shared" si="14"/>
        <v>86521.415940210543</v>
      </c>
      <c r="D56" s="5">
        <f t="shared" si="15"/>
        <v>82762.580895379389</v>
      </c>
      <c r="E56" s="5">
        <f t="shared" si="1"/>
        <v>73262.580895379389</v>
      </c>
      <c r="F56" s="5">
        <f t="shared" si="2"/>
        <v>28098.240751879312</v>
      </c>
      <c r="G56" s="5">
        <f t="shared" si="3"/>
        <v>54664.340143500078</v>
      </c>
      <c r="H56" s="22">
        <f t="shared" si="16"/>
        <v>38933.445089656612</v>
      </c>
      <c r="I56" s="5">
        <f t="shared" si="17"/>
        <v>91534.31264340489</v>
      </c>
      <c r="J56" s="26">
        <f t="shared" si="19"/>
        <v>0.22954646532262812</v>
      </c>
      <c r="L56" s="22">
        <f t="shared" si="18"/>
        <v>157047.66066461767</v>
      </c>
      <c r="M56" s="5">
        <f>scrimecost*Meta!O53</f>
        <v>149.61599999999999</v>
      </c>
      <c r="N56" s="5">
        <f>L56-Grade10!L56</f>
        <v>4109.7055332903692</v>
      </c>
      <c r="O56" s="5">
        <f>Grade10!M56-M56</f>
        <v>7.4879999999999995</v>
      </c>
      <c r="P56" s="22">
        <f t="shared" si="22"/>
        <v>553.84856010575731</v>
      </c>
      <c r="Q56" s="22"/>
      <c r="R56" s="22"/>
      <c r="S56" s="22">
        <f t="shared" si="20"/>
        <v>3785.3633469965484</v>
      </c>
      <c r="T56" s="22">
        <f t="shared" si="21"/>
        <v>871.74151884943831</v>
      </c>
    </row>
    <row r="57" spans="1:20" x14ac:dyDescent="0.2">
      <c r="A57" s="5">
        <v>66</v>
      </c>
      <c r="C57" s="5"/>
      <c r="H57" s="21"/>
      <c r="I57" s="5"/>
      <c r="M57" s="5">
        <f>scrimecost*Meta!O54</f>
        <v>149.61599999999999</v>
      </c>
      <c r="N57" s="5">
        <f>L57-Grade10!L57</f>
        <v>0</v>
      </c>
      <c r="O57" s="5">
        <f>Grade10!M57-M57</f>
        <v>7.4879999999999995</v>
      </c>
      <c r="Q57" s="22"/>
      <c r="R57" s="22"/>
      <c r="S57" s="22">
        <f t="shared" si="20"/>
        <v>7.2708479999999991</v>
      </c>
      <c r="T57" s="22">
        <f t="shared" si="21"/>
        <v>1.6249894031262861</v>
      </c>
    </row>
    <row r="58" spans="1:20" x14ac:dyDescent="0.2">
      <c r="A58" s="5">
        <v>67</v>
      </c>
      <c r="C58" s="5"/>
      <c r="H58" s="21"/>
      <c r="I58" s="5"/>
      <c r="M58" s="5">
        <f>scrimecost*Meta!O55</f>
        <v>149.61599999999999</v>
      </c>
      <c r="N58" s="5">
        <f>L58-Grade10!L58</f>
        <v>0</v>
      </c>
      <c r="O58" s="5">
        <f>Grade10!M58-M58</f>
        <v>7.4879999999999995</v>
      </c>
      <c r="Q58" s="22"/>
      <c r="R58" s="22"/>
      <c r="S58" s="22">
        <f t="shared" si="20"/>
        <v>7.2708479999999991</v>
      </c>
      <c r="T58" s="22">
        <f t="shared" si="21"/>
        <v>1.5770150666494513</v>
      </c>
    </row>
    <row r="59" spans="1:20" x14ac:dyDescent="0.2">
      <c r="A59" s="5">
        <v>68</v>
      </c>
      <c r="H59" s="21"/>
      <c r="I59" s="5"/>
      <c r="M59" s="5">
        <f>scrimecost*Meta!O56</f>
        <v>149.61599999999999</v>
      </c>
      <c r="N59" s="5">
        <f>L59-Grade10!L59</f>
        <v>0</v>
      </c>
      <c r="O59" s="5">
        <f>Grade10!M59-M59</f>
        <v>7.4879999999999995</v>
      </c>
      <c r="Q59" s="22"/>
      <c r="R59" s="22"/>
      <c r="S59" s="22">
        <f t="shared" si="20"/>
        <v>7.2708479999999991</v>
      </c>
      <c r="T59" s="22">
        <f t="shared" si="21"/>
        <v>1.5304570698459488</v>
      </c>
    </row>
    <row r="60" spans="1:20" x14ac:dyDescent="0.2">
      <c r="A60" s="5">
        <v>69</v>
      </c>
      <c r="H60" s="21"/>
      <c r="I60" s="5"/>
      <c r="M60" s="5">
        <f>scrimecost*Meta!O57</f>
        <v>149.61599999999999</v>
      </c>
      <c r="N60" s="5">
        <f>L60-Grade10!L60</f>
        <v>0</v>
      </c>
      <c r="O60" s="5">
        <f>Grade10!M60-M60</f>
        <v>7.4879999999999995</v>
      </c>
      <c r="Q60" s="22"/>
      <c r="R60" s="22"/>
      <c r="S60" s="22">
        <f t="shared" si="20"/>
        <v>7.2708479999999991</v>
      </c>
      <c r="T60" s="22">
        <f t="shared" si="21"/>
        <v>1.4852735983162986</v>
      </c>
    </row>
    <row r="61" spans="1:20" x14ac:dyDescent="0.2">
      <c r="A61" s="5">
        <v>70</v>
      </c>
      <c r="H61" s="21"/>
      <c r="I61" s="5"/>
      <c r="M61" s="5">
        <f>scrimecost*Meta!O58</f>
        <v>149.61599999999999</v>
      </c>
      <c r="N61" s="5">
        <f>L61-Grade10!L61</f>
        <v>0</v>
      </c>
      <c r="O61" s="5">
        <f>Grade10!M61-M61</f>
        <v>7.4879999999999995</v>
      </c>
      <c r="Q61" s="22"/>
      <c r="R61" s="22"/>
      <c r="S61" s="22">
        <f t="shared" si="20"/>
        <v>7.2708479999999991</v>
      </c>
      <c r="T61" s="22">
        <f t="shared" si="21"/>
        <v>1.4414240721417284</v>
      </c>
    </row>
    <row r="62" spans="1:20" x14ac:dyDescent="0.2">
      <c r="A62" s="5">
        <v>71</v>
      </c>
      <c r="H62" s="21"/>
      <c r="I62" s="5"/>
      <c r="M62" s="5">
        <f>scrimecost*Meta!O59</f>
        <v>149.61599999999999</v>
      </c>
      <c r="N62" s="5">
        <f>L62-Grade10!L62</f>
        <v>0</v>
      </c>
      <c r="O62" s="5">
        <f>Grade10!M62-M62</f>
        <v>7.4879999999999995</v>
      </c>
      <c r="Q62" s="22"/>
      <c r="R62" s="22"/>
      <c r="S62" s="22">
        <f t="shared" si="20"/>
        <v>7.2708479999999991</v>
      </c>
      <c r="T62" s="22">
        <f t="shared" si="21"/>
        <v>1.3988691094387729</v>
      </c>
    </row>
    <row r="63" spans="1:20" x14ac:dyDescent="0.2">
      <c r="A63" s="5">
        <v>72</v>
      </c>
      <c r="H63" s="21"/>
      <c r="M63" s="5">
        <f>scrimecost*Meta!O60</f>
        <v>149.61599999999999</v>
      </c>
      <c r="N63" s="5">
        <f>L63-Grade10!L63</f>
        <v>0</v>
      </c>
      <c r="O63" s="5">
        <f>Grade10!M63-M63</f>
        <v>7.4879999999999995</v>
      </c>
      <c r="Q63" s="22"/>
      <c r="R63" s="22"/>
      <c r="S63" s="22">
        <f t="shared" si="20"/>
        <v>7.2708479999999991</v>
      </c>
      <c r="T63" s="22">
        <f t="shared" si="21"/>
        <v>1.3575704909898438</v>
      </c>
    </row>
    <row r="64" spans="1:20" x14ac:dyDescent="0.2">
      <c r="A64" s="5">
        <v>73</v>
      </c>
      <c r="H64" s="21"/>
      <c r="M64" s="5">
        <f>scrimecost*Meta!O61</f>
        <v>149.61599999999999</v>
      </c>
      <c r="N64" s="5">
        <f>L64-Grade10!L64</f>
        <v>0</v>
      </c>
      <c r="O64" s="5">
        <f>Grade10!M64-M64</f>
        <v>7.4879999999999995</v>
      </c>
      <c r="Q64" s="22"/>
      <c r="R64" s="22"/>
      <c r="S64" s="22">
        <f t="shared" si="20"/>
        <v>7.2708479999999991</v>
      </c>
      <c r="T64" s="22">
        <f t="shared" si="21"/>
        <v>1.3174911259180044</v>
      </c>
    </row>
    <row r="65" spans="1:20" x14ac:dyDescent="0.2">
      <c r="A65" s="5">
        <v>74</v>
      </c>
      <c r="H65" s="21"/>
      <c r="M65" s="5">
        <f>scrimecost*Meta!O62</f>
        <v>149.61599999999999</v>
      </c>
      <c r="N65" s="5">
        <f>L65-Grade10!L65</f>
        <v>0</v>
      </c>
      <c r="O65" s="5">
        <f>Grade10!M65-M65</f>
        <v>7.4879999999999995</v>
      </c>
      <c r="Q65" s="22"/>
      <c r="R65" s="22"/>
      <c r="S65" s="22">
        <f t="shared" si="20"/>
        <v>7.2708479999999991</v>
      </c>
      <c r="T65" s="22">
        <f t="shared" si="21"/>
        <v>1.2785950183751282</v>
      </c>
    </row>
    <row r="66" spans="1:20" x14ac:dyDescent="0.2">
      <c r="A66" s="5">
        <v>75</v>
      </c>
      <c r="H66" s="21"/>
      <c r="M66" s="5">
        <f>scrimecost*Meta!O63</f>
        <v>149.61599999999999</v>
      </c>
      <c r="N66" s="5">
        <f>L66-Grade10!L66</f>
        <v>0</v>
      </c>
      <c r="O66" s="5">
        <f>Grade10!M66-M66</f>
        <v>7.4879999999999995</v>
      </c>
      <c r="Q66" s="22"/>
      <c r="R66" s="22"/>
      <c r="S66" s="22">
        <f t="shared" si="20"/>
        <v>7.2708479999999991</v>
      </c>
      <c r="T66" s="22">
        <f t="shared" si="21"/>
        <v>1.2408472352135134</v>
      </c>
    </row>
    <row r="67" spans="1:20" x14ac:dyDescent="0.2">
      <c r="A67" s="5">
        <v>76</v>
      </c>
      <c r="H67" s="21"/>
      <c r="M67" s="5">
        <f>scrimecost*Meta!O64</f>
        <v>149.61599999999999</v>
      </c>
      <c r="N67" s="5">
        <f>L67-Grade10!L67</f>
        <v>0</v>
      </c>
      <c r="O67" s="5">
        <f>Grade10!M67-M67</f>
        <v>7.4879999999999995</v>
      </c>
      <c r="Q67" s="22"/>
      <c r="R67" s="22"/>
      <c r="S67" s="22">
        <f t="shared" si="20"/>
        <v>7.2708479999999991</v>
      </c>
      <c r="T67" s="22">
        <f t="shared" si="21"/>
        <v>1.2042138746119262</v>
      </c>
    </row>
    <row r="68" spans="1:20" x14ac:dyDescent="0.2">
      <c r="A68" s="5">
        <v>77</v>
      </c>
      <c r="H68" s="21"/>
      <c r="M68" s="5">
        <f>scrimecost*Meta!O65</f>
        <v>149.61599999999999</v>
      </c>
      <c r="N68" s="5">
        <f>L68-Grade10!L68</f>
        <v>0</v>
      </c>
      <c r="O68" s="5">
        <f>Grade10!M68-M68</f>
        <v>7.4879999999999995</v>
      </c>
      <c r="Q68" s="22"/>
      <c r="R68" s="22"/>
      <c r="S68" s="22">
        <f t="shared" si="20"/>
        <v>7.2708479999999991</v>
      </c>
      <c r="T68" s="22">
        <f t="shared" si="21"/>
        <v>1.1686620356278934</v>
      </c>
    </row>
    <row r="69" spans="1:20" x14ac:dyDescent="0.2">
      <c r="A69" s="5">
        <v>78</v>
      </c>
      <c r="H69" s="21"/>
      <c r="M69" s="5">
        <f>scrimecost*Meta!O66</f>
        <v>149.61599999999999</v>
      </c>
      <c r="N69" s="5">
        <f>L69-Grade10!L69</f>
        <v>0</v>
      </c>
      <c r="O69" s="5">
        <f>Grade10!M69-M69</f>
        <v>7.4879999999999995</v>
      </c>
      <c r="Q69" s="22"/>
      <c r="R69" s="22"/>
      <c r="S69" s="22">
        <f t="shared" si="20"/>
        <v>7.2708479999999991</v>
      </c>
      <c r="T69" s="22">
        <f t="shared" si="21"/>
        <v>1.1341597886488965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-2.04312289309172E-8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9" sqref="P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Meta!A6+6</f>
        <v>18</v>
      </c>
      <c r="C2" s="7">
        <f>Meta!B6</f>
        <v>57024</v>
      </c>
      <c r="D2" s="7">
        <f>Meta!C6</f>
        <v>25661</v>
      </c>
      <c r="E2" s="1">
        <f>Meta!D6</f>
        <v>4.5999999999999999E-2</v>
      </c>
      <c r="F2" s="1">
        <f>Meta!F6</f>
        <v>0.78800000000000003</v>
      </c>
      <c r="G2" s="1">
        <f>Meta!I6</f>
        <v>1.8929079672445346</v>
      </c>
      <c r="H2" s="1">
        <f>Meta!E6</f>
        <v>0.97099999999999997</v>
      </c>
      <c r="I2" s="13"/>
      <c r="J2" s="1">
        <f>Meta!X5</f>
        <v>0.81200000000000006</v>
      </c>
      <c r="K2" s="1">
        <f>Meta!D5</f>
        <v>5.2999999999999999E-2</v>
      </c>
      <c r="L2" s="29"/>
      <c r="N2" s="22">
        <f>Meta!T6</f>
        <v>69150</v>
      </c>
      <c r="O2" s="22">
        <f>Meta!U6</f>
        <v>30370</v>
      </c>
      <c r="P2" s="1">
        <f>Meta!V6</f>
        <v>3.7999999999999999E-2</v>
      </c>
      <c r="Q2" s="1">
        <f>Meta!X6</f>
        <v>0.82499999999999996</v>
      </c>
      <c r="R2" s="22">
        <f>Meta!W6</f>
        <v>1979</v>
      </c>
      <c r="T2" s="12">
        <f>IRR(S5:S69)+1</f>
        <v>1.0318002911079129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B8" s="1">
        <v>1</v>
      </c>
      <c r="C8" s="5">
        <f>0.1*Grade11!C8</f>
        <v>2644.7101338715911</v>
      </c>
      <c r="D8" s="5">
        <f t="shared" ref="D8:D36" si="0">IF(A8&lt;startage,1,0)*(C8*(1-initialunempprob))+IF(A8=startage,1,0)*(C8*(1-unempprob))+IF(A8&gt;startage,1,0)*(C8*(1-unempprob)+unempprob*300*52)</f>
        <v>2504.5404967763966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191.59734800339433</v>
      </c>
      <c r="G8" s="5">
        <f t="shared" ref="G8:G56" si="3">D8-F8</f>
        <v>2312.9431487730021</v>
      </c>
      <c r="H8" s="22">
        <f>0.1*Grade11!H8</f>
        <v>1190.0831216898066</v>
      </c>
      <c r="I8" s="5">
        <f t="shared" ref="I8:I36" si="4">G8+IF(A8&lt;startage,1,0)*(H8*(1-initialunempprob))+IF(A8&gt;=startage,1,0)*(H8*(1-unempprob))</f>
        <v>3439.9518650132486</v>
      </c>
      <c r="J8" s="26">
        <f t="shared" ref="J8:J39" si="5">(F8-(IF(A8&gt;startage,1,0)*(unempprob*300*52)))/(IF(A8&lt;startage,1,0)*((C8+H8)*(1-initialunempprob))+IF(A8&gt;=startage,1,0)*((C8+H8)*(1-unempprob)))</f>
        <v>5.2759122006841498E-2</v>
      </c>
      <c r="L8" s="22">
        <f>0.1*Grade11!L8</f>
        <v>4800.4940181233287</v>
      </c>
      <c r="M8" s="5">
        <f>scrimecost*Meta!O5</f>
        <v>5012.8069999999998</v>
      </c>
      <c r="N8" s="5">
        <f>L8-Grade11!L8</f>
        <v>-43204.446163109955</v>
      </c>
      <c r="O8" s="5"/>
      <c r="P8" s="22"/>
      <c r="Q8" s="22">
        <f>0.05*feel*Grade11!G8</f>
        <v>275.35312344104648</v>
      </c>
      <c r="R8" s="22">
        <f>hstuition</f>
        <v>11298</v>
      </c>
      <c r="S8" s="22">
        <f t="shared" ref="S8:S39" si="6">IF(A8&lt;startage,1,0)*(N8-Q8-R8)+IF(A8&gt;=startage,1,0)*completionprob*(N8*spart+O8+P8)</f>
        <v>-54777.799286551002</v>
      </c>
      <c r="T8" s="22">
        <f t="shared" ref="T8:T39" si="7">S8/sreturn^(A8-startage+1)</f>
        <v>-54777.799286551002</v>
      </c>
    </row>
    <row r="9" spans="1:20" x14ac:dyDescent="0.2">
      <c r="A9" s="5">
        <v>18</v>
      </c>
      <c r="B9" s="1">
        <f t="shared" ref="B9:B36" si="8">(1+experiencepremium)^(A9-startage)</f>
        <v>1</v>
      </c>
      <c r="C9" s="5">
        <f t="shared" ref="C9:C36" si="9">pretaxincome*B9/expnorm</f>
        <v>30125.077915440659</v>
      </c>
      <c r="D9" s="5">
        <f t="shared" si="0"/>
        <v>28739.324331330386</v>
      </c>
      <c r="E9" s="5">
        <f t="shared" si="1"/>
        <v>19239.324331330386</v>
      </c>
      <c r="F9" s="5">
        <f t="shared" si="2"/>
        <v>6583.3893941793713</v>
      </c>
      <c r="G9" s="5">
        <f t="shared" si="3"/>
        <v>22155.934937151014</v>
      </c>
      <c r="H9" s="22">
        <f t="shared" ref="H9:H36" si="10">benefits*B9/expnorm</f>
        <v>13556.390719488685</v>
      </c>
      <c r="I9" s="5">
        <f t="shared" si="4"/>
        <v>35088.731683543221</v>
      </c>
      <c r="J9" s="26">
        <f t="shared" si="5"/>
        <v>0.15798066486466347</v>
      </c>
      <c r="L9" s="22">
        <f t="shared" ref="L9:L36" si="11">(sincome+sbenefits)*(1-sunemp)*B9/expnorm</f>
        <v>50577.334797403855</v>
      </c>
      <c r="M9" s="5">
        <f>scrimecost*Meta!O6</f>
        <v>6350.6109999999999</v>
      </c>
      <c r="N9" s="5">
        <f>L9-Grade11!L9</f>
        <v>1372.2711116397331</v>
      </c>
      <c r="O9" s="5">
        <f>Grade11!M9-M9</f>
        <v>317.69100000000071</v>
      </c>
      <c r="P9" s="22">
        <f t="shared" ref="P9:P56" si="12">(spart-initialspart)*(L9*J9+nptrans)</f>
        <v>189.07513271889357</v>
      </c>
      <c r="Q9" s="22"/>
      <c r="R9" s="22"/>
      <c r="S9" s="22">
        <f t="shared" si="6"/>
        <v>1591.3619956268456</v>
      </c>
      <c r="T9" s="22">
        <f t="shared" si="7"/>
        <v>1542.3159009948465</v>
      </c>
    </row>
    <row r="10" spans="1:20" x14ac:dyDescent="0.2">
      <c r="A10" s="5">
        <v>19</v>
      </c>
      <c r="B10" s="1">
        <f t="shared" si="8"/>
        <v>1.0249999999999999</v>
      </c>
      <c r="C10" s="5">
        <f t="shared" si="9"/>
        <v>30878.204863326675</v>
      </c>
      <c r="D10" s="5">
        <f t="shared" si="0"/>
        <v>30175.407439613646</v>
      </c>
      <c r="E10" s="5">
        <f t="shared" si="1"/>
        <v>20675.407439613646</v>
      </c>
      <c r="F10" s="5">
        <f t="shared" si="2"/>
        <v>7052.2705290338554</v>
      </c>
      <c r="G10" s="5">
        <f t="shared" si="3"/>
        <v>23123.136910579789</v>
      </c>
      <c r="H10" s="22">
        <f t="shared" si="10"/>
        <v>13895.300487475901</v>
      </c>
      <c r="I10" s="5">
        <f t="shared" si="4"/>
        <v>36379.253575631796</v>
      </c>
      <c r="J10" s="26">
        <f t="shared" si="5"/>
        <v>0.14830457893569929</v>
      </c>
      <c r="L10" s="22">
        <f t="shared" si="11"/>
        <v>51841.768167338945</v>
      </c>
      <c r="M10" s="5">
        <f>scrimecost*Meta!O7</f>
        <v>6738.4949999999999</v>
      </c>
      <c r="N10" s="5">
        <f>L10-Grade11!L10</f>
        <v>1406.5778894307223</v>
      </c>
      <c r="O10" s="5">
        <f>Grade11!M10-M10</f>
        <v>337.09499999999935</v>
      </c>
      <c r="P10" s="22">
        <f t="shared" si="12"/>
        <v>185.15083079141002</v>
      </c>
      <c r="Q10" s="22"/>
      <c r="R10" s="22"/>
      <c r="S10" s="22">
        <f t="shared" si="6"/>
        <v>1633.8750844741742</v>
      </c>
      <c r="T10" s="22">
        <f t="shared" si="7"/>
        <v>1534.7143643952511</v>
      </c>
    </row>
    <row r="11" spans="1:20" x14ac:dyDescent="0.2">
      <c r="A11" s="5">
        <v>20</v>
      </c>
      <c r="B11" s="1">
        <f t="shared" si="8"/>
        <v>1.0506249999999999</v>
      </c>
      <c r="C11" s="5">
        <f t="shared" si="9"/>
        <v>31650.159984909842</v>
      </c>
      <c r="D11" s="5">
        <f t="shared" si="0"/>
        <v>30911.852625603988</v>
      </c>
      <c r="E11" s="5">
        <f t="shared" si="1"/>
        <v>21411.852625603988</v>
      </c>
      <c r="F11" s="5">
        <f t="shared" si="2"/>
        <v>7292.719882259702</v>
      </c>
      <c r="G11" s="5">
        <f t="shared" si="3"/>
        <v>23619.132743344286</v>
      </c>
      <c r="H11" s="22">
        <f t="shared" si="10"/>
        <v>14242.682999662798</v>
      </c>
      <c r="I11" s="5">
        <f t="shared" si="4"/>
        <v>37206.652325022595</v>
      </c>
      <c r="J11" s="26">
        <f t="shared" si="5"/>
        <v>0.15017939089194865</v>
      </c>
      <c r="L11" s="22">
        <f t="shared" si="11"/>
        <v>53137.812371522421</v>
      </c>
      <c r="M11" s="5">
        <f>scrimecost*Meta!O8</f>
        <v>6467.3719999999994</v>
      </c>
      <c r="N11" s="5">
        <f>L11-Grade11!L11</f>
        <v>1441.7423366664952</v>
      </c>
      <c r="O11" s="5">
        <f>Grade11!M11-M11</f>
        <v>323.53200000000015</v>
      </c>
      <c r="P11" s="22">
        <f t="shared" si="12"/>
        <v>188.94465583871514</v>
      </c>
      <c r="Q11" s="22"/>
      <c r="R11" s="22"/>
      <c r="S11" s="22">
        <f t="shared" si="6"/>
        <v>1652.5585751645051</v>
      </c>
      <c r="T11" s="22">
        <f t="shared" si="7"/>
        <v>1504.4228595337986</v>
      </c>
    </row>
    <row r="12" spans="1:20" x14ac:dyDescent="0.2">
      <c r="A12" s="5">
        <v>21</v>
      </c>
      <c r="B12" s="1">
        <f t="shared" si="8"/>
        <v>1.0768906249999999</v>
      </c>
      <c r="C12" s="5">
        <f t="shared" si="9"/>
        <v>32441.413984532584</v>
      </c>
      <c r="D12" s="5">
        <f t="shared" si="0"/>
        <v>31666.708941244084</v>
      </c>
      <c r="E12" s="5">
        <f t="shared" si="1"/>
        <v>22166.708941244084</v>
      </c>
      <c r="F12" s="5">
        <f t="shared" si="2"/>
        <v>7539.1804693161939</v>
      </c>
      <c r="G12" s="5">
        <f t="shared" si="3"/>
        <v>24127.52847192789</v>
      </c>
      <c r="H12" s="22">
        <f t="shared" si="10"/>
        <v>14598.750074654366</v>
      </c>
      <c r="I12" s="5">
        <f t="shared" si="4"/>
        <v>38054.736043148157</v>
      </c>
      <c r="J12" s="26">
        <f t="shared" si="5"/>
        <v>0.15200847572731391</v>
      </c>
      <c r="L12" s="22">
        <f t="shared" si="11"/>
        <v>54466.257680810479</v>
      </c>
      <c r="M12" s="5">
        <f>scrimecost*Meta!O9</f>
        <v>5958.7690000000002</v>
      </c>
      <c r="N12" s="5">
        <f>L12-Grade11!L12</f>
        <v>1477.7858950831651</v>
      </c>
      <c r="O12" s="5">
        <f>Grade11!M12-M12</f>
        <v>298.08899999999994</v>
      </c>
      <c r="P12" s="22">
        <f t="shared" si="12"/>
        <v>192.83332651220289</v>
      </c>
      <c r="Q12" s="22"/>
      <c r="R12" s="22"/>
      <c r="S12" s="22">
        <f t="shared" si="6"/>
        <v>1660.5029149470952</v>
      </c>
      <c r="T12" s="22">
        <f t="shared" si="7"/>
        <v>1465.0655557779257</v>
      </c>
    </row>
    <row r="13" spans="1:20" x14ac:dyDescent="0.2">
      <c r="A13" s="5">
        <v>22</v>
      </c>
      <c r="B13" s="1">
        <f t="shared" si="8"/>
        <v>1.1038128906249998</v>
      </c>
      <c r="C13" s="5">
        <f t="shared" si="9"/>
        <v>33252.449334145895</v>
      </c>
      <c r="D13" s="5">
        <f t="shared" si="0"/>
        <v>32440.436664775181</v>
      </c>
      <c r="E13" s="5">
        <f t="shared" si="1"/>
        <v>22940.436664775181</v>
      </c>
      <c r="F13" s="5">
        <f t="shared" si="2"/>
        <v>7791.8025710490965</v>
      </c>
      <c r="G13" s="5">
        <f t="shared" si="3"/>
        <v>24648.634093726083</v>
      </c>
      <c r="H13" s="22">
        <f t="shared" si="10"/>
        <v>14963.718826520724</v>
      </c>
      <c r="I13" s="5">
        <f t="shared" si="4"/>
        <v>38924.021854226856</v>
      </c>
      <c r="J13" s="26">
        <f t="shared" si="5"/>
        <v>0.15379294873742635</v>
      </c>
      <c r="L13" s="22">
        <f t="shared" si="11"/>
        <v>55827.914122830727</v>
      </c>
      <c r="M13" s="5">
        <f>scrimecost*Meta!O10</f>
        <v>5434.3339999999998</v>
      </c>
      <c r="N13" s="5">
        <f>L13-Grade11!L13</f>
        <v>1514.7305424602309</v>
      </c>
      <c r="O13" s="5">
        <f>Grade11!M13-M13</f>
        <v>271.85400000000027</v>
      </c>
      <c r="P13" s="22">
        <f t="shared" si="12"/>
        <v>196.8192139525278</v>
      </c>
      <c r="Q13" s="22"/>
      <c r="R13" s="22"/>
      <c r="S13" s="22">
        <f t="shared" si="6"/>
        <v>1668.4944600492342</v>
      </c>
      <c r="T13" s="22">
        <f t="shared" si="7"/>
        <v>1426.7455893935048</v>
      </c>
    </row>
    <row r="14" spans="1:20" x14ac:dyDescent="0.2">
      <c r="A14" s="5">
        <v>23</v>
      </c>
      <c r="B14" s="1">
        <f t="shared" si="8"/>
        <v>1.1314082128906247</v>
      </c>
      <c r="C14" s="5">
        <f t="shared" si="9"/>
        <v>34083.760567499543</v>
      </c>
      <c r="D14" s="5">
        <f t="shared" si="0"/>
        <v>33233.507581394566</v>
      </c>
      <c r="E14" s="5">
        <f t="shared" si="1"/>
        <v>23733.507581394566</v>
      </c>
      <c r="F14" s="5">
        <f t="shared" si="2"/>
        <v>8050.7402253253258</v>
      </c>
      <c r="G14" s="5">
        <f t="shared" si="3"/>
        <v>25182.767356069242</v>
      </c>
      <c r="H14" s="22">
        <f t="shared" si="10"/>
        <v>15337.811797183742</v>
      </c>
      <c r="I14" s="5">
        <f t="shared" si="4"/>
        <v>39815.03981058253</v>
      </c>
      <c r="J14" s="26">
        <f t="shared" si="5"/>
        <v>0.15553389801558484</v>
      </c>
      <c r="L14" s="22">
        <f t="shared" si="11"/>
        <v>57223.611975901498</v>
      </c>
      <c r="M14" s="5">
        <f>scrimecost*Meta!O11</f>
        <v>5066.24</v>
      </c>
      <c r="N14" s="5">
        <f>L14-Grade11!L14</f>
        <v>1552.5988060217423</v>
      </c>
      <c r="O14" s="5">
        <f>Grade11!M14-M14</f>
        <v>253.44000000000051</v>
      </c>
      <c r="P14" s="22">
        <f t="shared" si="12"/>
        <v>200.90474857886088</v>
      </c>
      <c r="Q14" s="22"/>
      <c r="R14" s="22"/>
      <c r="S14" s="22">
        <f t="shared" si="6"/>
        <v>1684.9168394039416</v>
      </c>
      <c r="T14" s="22">
        <f t="shared" si="7"/>
        <v>1396.3831331008005</v>
      </c>
    </row>
    <row r="15" spans="1:20" x14ac:dyDescent="0.2">
      <c r="A15" s="5">
        <v>24</v>
      </c>
      <c r="B15" s="1">
        <f t="shared" si="8"/>
        <v>1.1596934182128902</v>
      </c>
      <c r="C15" s="5">
        <f t="shared" si="9"/>
        <v>34935.854581687025</v>
      </c>
      <c r="D15" s="5">
        <f t="shared" si="0"/>
        <v>34046.405270929419</v>
      </c>
      <c r="E15" s="5">
        <f t="shared" si="1"/>
        <v>24546.405270929419</v>
      </c>
      <c r="F15" s="5">
        <f t="shared" si="2"/>
        <v>8316.1513209584555</v>
      </c>
      <c r="G15" s="5">
        <f t="shared" si="3"/>
        <v>25730.253949970964</v>
      </c>
      <c r="H15" s="22">
        <f t="shared" si="10"/>
        <v>15721.257092113334</v>
      </c>
      <c r="I15" s="5">
        <f t="shared" si="4"/>
        <v>40728.333215847088</v>
      </c>
      <c r="J15" s="26">
        <f t="shared" si="5"/>
        <v>0.15723238511622722</v>
      </c>
      <c r="L15" s="22">
        <f t="shared" si="11"/>
        <v>58654.202275299031</v>
      </c>
      <c r="M15" s="5">
        <f>scrimecost*Meta!O12</f>
        <v>4832.7180000000008</v>
      </c>
      <c r="N15" s="5">
        <f>L15-Grade11!L15</f>
        <v>1591.4137761722741</v>
      </c>
      <c r="O15" s="5">
        <f>Grade11!M15-M15</f>
        <v>241.75799999999981</v>
      </c>
      <c r="P15" s="22">
        <f t="shared" si="12"/>
        <v>205.09242157085222</v>
      </c>
      <c r="Q15" s="22"/>
      <c r="R15" s="22"/>
      <c r="S15" s="22">
        <f t="shared" si="6"/>
        <v>1708.7335500925017</v>
      </c>
      <c r="T15" s="22">
        <f t="shared" si="7"/>
        <v>1372.4762065345451</v>
      </c>
    </row>
    <row r="16" spans="1:20" x14ac:dyDescent="0.2">
      <c r="A16" s="5">
        <v>25</v>
      </c>
      <c r="B16" s="1">
        <f t="shared" si="8"/>
        <v>1.1886857536682125</v>
      </c>
      <c r="C16" s="5">
        <f t="shared" si="9"/>
        <v>35809.2509462292</v>
      </c>
      <c r="D16" s="5">
        <f t="shared" si="0"/>
        <v>34879.625402702652</v>
      </c>
      <c r="E16" s="5">
        <f t="shared" si="1"/>
        <v>25379.625402702652</v>
      </c>
      <c r="F16" s="5">
        <f t="shared" si="2"/>
        <v>8588.1976939824162</v>
      </c>
      <c r="G16" s="5">
        <f t="shared" si="3"/>
        <v>26291.427708720235</v>
      </c>
      <c r="H16" s="22">
        <f t="shared" si="10"/>
        <v>16114.28851941617</v>
      </c>
      <c r="I16" s="5">
        <f t="shared" si="4"/>
        <v>41664.458956243259</v>
      </c>
      <c r="J16" s="26">
        <f t="shared" si="5"/>
        <v>0.1588894457022198</v>
      </c>
      <c r="L16" s="22">
        <f t="shared" si="11"/>
        <v>60120.55733218151</v>
      </c>
      <c r="M16" s="5">
        <f>scrimecost*Meta!O13</f>
        <v>4023.3069999999998</v>
      </c>
      <c r="N16" s="5">
        <f>L16-Grade11!L16</f>
        <v>1631.1991205765953</v>
      </c>
      <c r="O16" s="5">
        <f>Grade11!M16-M16</f>
        <v>201.26699999999983</v>
      </c>
      <c r="P16" s="22">
        <f t="shared" si="12"/>
        <v>209.3847863876434</v>
      </c>
      <c r="Q16" s="22"/>
      <c r="R16" s="22"/>
      <c r="S16" s="22">
        <f t="shared" si="6"/>
        <v>1705.4557200982974</v>
      </c>
      <c r="T16" s="22">
        <f t="shared" si="7"/>
        <v>1327.6245647541623</v>
      </c>
    </row>
    <row r="17" spans="1:20" x14ac:dyDescent="0.2">
      <c r="A17" s="5">
        <v>26</v>
      </c>
      <c r="B17" s="1">
        <f t="shared" si="8"/>
        <v>1.2184028975099177</v>
      </c>
      <c r="C17" s="5">
        <f t="shared" si="9"/>
        <v>36704.482219884936</v>
      </c>
      <c r="D17" s="5">
        <f t="shared" si="0"/>
        <v>35733.676037770223</v>
      </c>
      <c r="E17" s="5">
        <f t="shared" si="1"/>
        <v>26233.676037770223</v>
      </c>
      <c r="F17" s="5">
        <f t="shared" si="2"/>
        <v>8867.0452263319785</v>
      </c>
      <c r="G17" s="5">
        <f t="shared" si="3"/>
        <v>26866.630811438245</v>
      </c>
      <c r="H17" s="22">
        <f t="shared" si="10"/>
        <v>16517.145732401572</v>
      </c>
      <c r="I17" s="5">
        <f t="shared" si="4"/>
        <v>42623.987840149348</v>
      </c>
      <c r="J17" s="26">
        <f t="shared" si="5"/>
        <v>0.16050609017635897</v>
      </c>
      <c r="L17" s="22">
        <f t="shared" si="11"/>
        <v>61623.57126548604</v>
      </c>
      <c r="M17" s="5">
        <f>scrimecost*Meta!O14</f>
        <v>4023.3069999999998</v>
      </c>
      <c r="N17" s="5">
        <f>L17-Grade11!L17</f>
        <v>1671.9790985910149</v>
      </c>
      <c r="O17" s="5">
        <f>Grade11!M17-M17</f>
        <v>201.26699999999983</v>
      </c>
      <c r="P17" s="22">
        <f t="shared" si="12"/>
        <v>213.78446032485439</v>
      </c>
      <c r="Q17" s="22"/>
      <c r="R17" s="22"/>
      <c r="S17" s="22">
        <f t="shared" si="6"/>
        <v>1742.3956243792304</v>
      </c>
      <c r="T17" s="22">
        <f t="shared" si="7"/>
        <v>1314.57678095904</v>
      </c>
    </row>
    <row r="18" spans="1:20" x14ac:dyDescent="0.2">
      <c r="A18" s="5">
        <v>27</v>
      </c>
      <c r="B18" s="1">
        <f t="shared" si="8"/>
        <v>1.2488629699476654</v>
      </c>
      <c r="C18" s="5">
        <f t="shared" si="9"/>
        <v>37622.094275382049</v>
      </c>
      <c r="D18" s="5">
        <f t="shared" si="0"/>
        <v>36609.077938714472</v>
      </c>
      <c r="E18" s="5">
        <f t="shared" si="1"/>
        <v>27109.077938714472</v>
      </c>
      <c r="F18" s="5">
        <f t="shared" si="2"/>
        <v>9152.8639469902755</v>
      </c>
      <c r="G18" s="5">
        <f t="shared" si="3"/>
        <v>27456.213991724195</v>
      </c>
      <c r="H18" s="22">
        <f t="shared" si="10"/>
        <v>16930.074375711607</v>
      </c>
      <c r="I18" s="5">
        <f t="shared" si="4"/>
        <v>43607.504946153065</v>
      </c>
      <c r="J18" s="26">
        <f t="shared" si="5"/>
        <v>0.16208330429747031</v>
      </c>
      <c r="L18" s="22">
        <f t="shared" si="11"/>
        <v>63164.160547123181</v>
      </c>
      <c r="M18" s="5">
        <f>scrimecost*Meta!O15</f>
        <v>4023.3069999999998</v>
      </c>
      <c r="N18" s="5">
        <f>L18-Grade11!L18</f>
        <v>1713.7785760557745</v>
      </c>
      <c r="O18" s="5">
        <f>Grade11!M18-M18</f>
        <v>201.26699999999983</v>
      </c>
      <c r="P18" s="22">
        <f t="shared" si="12"/>
        <v>218.2941261104956</v>
      </c>
      <c r="Q18" s="22"/>
      <c r="R18" s="22"/>
      <c r="S18" s="22">
        <f t="shared" si="6"/>
        <v>1780.2590262671706</v>
      </c>
      <c r="T18" s="22">
        <f t="shared" si="7"/>
        <v>1301.7474503783658</v>
      </c>
    </row>
    <row r="19" spans="1:20" x14ac:dyDescent="0.2">
      <c r="A19" s="5">
        <v>28</v>
      </c>
      <c r="B19" s="1">
        <f t="shared" si="8"/>
        <v>1.2800845441963571</v>
      </c>
      <c r="C19" s="5">
        <f t="shared" si="9"/>
        <v>38562.646632266602</v>
      </c>
      <c r="D19" s="5">
        <f t="shared" si="0"/>
        <v>37506.364887182339</v>
      </c>
      <c r="E19" s="5">
        <f t="shared" si="1"/>
        <v>28006.364887182339</v>
      </c>
      <c r="F19" s="5">
        <f t="shared" si="2"/>
        <v>9445.8281356650332</v>
      </c>
      <c r="G19" s="5">
        <f t="shared" si="3"/>
        <v>28060.536751517306</v>
      </c>
      <c r="H19" s="22">
        <f t="shared" si="10"/>
        <v>17353.3262351044</v>
      </c>
      <c r="I19" s="5">
        <f t="shared" si="4"/>
        <v>44615.609979806904</v>
      </c>
      <c r="J19" s="26">
        <f t="shared" si="5"/>
        <v>0.16362204978148137</v>
      </c>
      <c r="L19" s="22">
        <f t="shared" si="11"/>
        <v>64743.264560801261</v>
      </c>
      <c r="M19" s="5">
        <f>scrimecost*Meta!O16</f>
        <v>4023.3069999999998</v>
      </c>
      <c r="N19" s="5">
        <f>L19-Grade11!L19</f>
        <v>1756.6230404571761</v>
      </c>
      <c r="O19" s="5">
        <f>Grade11!M19-M19</f>
        <v>201.26699999999983</v>
      </c>
      <c r="P19" s="22">
        <f t="shared" si="12"/>
        <v>222.91653354077786</v>
      </c>
      <c r="Q19" s="22"/>
      <c r="R19" s="22"/>
      <c r="S19" s="22">
        <f t="shared" si="6"/>
        <v>1819.0690132023274</v>
      </c>
      <c r="T19" s="22">
        <f t="shared" si="7"/>
        <v>1289.1310508348724</v>
      </c>
    </row>
    <row r="20" spans="1:20" x14ac:dyDescent="0.2">
      <c r="A20" s="5">
        <v>29</v>
      </c>
      <c r="B20" s="1">
        <f t="shared" si="8"/>
        <v>1.312086657801266</v>
      </c>
      <c r="C20" s="5">
        <f t="shared" si="9"/>
        <v>39526.712798073269</v>
      </c>
      <c r="D20" s="5">
        <f t="shared" si="0"/>
        <v>38426.084009361897</v>
      </c>
      <c r="E20" s="5">
        <f t="shared" si="1"/>
        <v>28926.084009361897</v>
      </c>
      <c r="F20" s="5">
        <f t="shared" si="2"/>
        <v>9746.1164290566594</v>
      </c>
      <c r="G20" s="5">
        <f t="shared" si="3"/>
        <v>28679.967580305238</v>
      </c>
      <c r="H20" s="22">
        <f t="shared" si="10"/>
        <v>17787.159390982008</v>
      </c>
      <c r="I20" s="5">
        <f t="shared" si="4"/>
        <v>45648.917639302075</v>
      </c>
      <c r="J20" s="26">
        <f t="shared" si="5"/>
        <v>0.16512326488783366</v>
      </c>
      <c r="L20" s="22">
        <f t="shared" si="11"/>
        <v>66361.846174821287</v>
      </c>
      <c r="M20" s="5">
        <f>scrimecost*Meta!O17</f>
        <v>4023.3069999999998</v>
      </c>
      <c r="N20" s="5">
        <f>L20-Grade11!L20</f>
        <v>1800.5386164686061</v>
      </c>
      <c r="O20" s="5">
        <f>Grade11!M20-M20</f>
        <v>201.26699999999983</v>
      </c>
      <c r="P20" s="22">
        <f t="shared" si="12"/>
        <v>227.65450115681716</v>
      </c>
      <c r="Q20" s="22"/>
      <c r="R20" s="22"/>
      <c r="S20" s="22">
        <f t="shared" si="6"/>
        <v>1858.8492498108578</v>
      </c>
      <c r="T20" s="22">
        <f t="shared" si="7"/>
        <v>1276.7222223671874</v>
      </c>
    </row>
    <row r="21" spans="1:20" x14ac:dyDescent="0.2">
      <c r="A21" s="5">
        <v>30</v>
      </c>
      <c r="B21" s="1">
        <f t="shared" si="8"/>
        <v>1.3448888242462975</v>
      </c>
      <c r="C21" s="5">
        <f t="shared" si="9"/>
        <v>40514.88061802509</v>
      </c>
      <c r="D21" s="5">
        <f t="shared" si="0"/>
        <v>39368.796109595933</v>
      </c>
      <c r="E21" s="5">
        <f t="shared" si="1"/>
        <v>29868.796109595933</v>
      </c>
      <c r="F21" s="5">
        <f t="shared" si="2"/>
        <v>10053.911929783073</v>
      </c>
      <c r="G21" s="5">
        <f t="shared" si="3"/>
        <v>29314.88417981286</v>
      </c>
      <c r="H21" s="22">
        <f t="shared" si="10"/>
        <v>18231.838375756557</v>
      </c>
      <c r="I21" s="5">
        <f t="shared" si="4"/>
        <v>46708.057990284615</v>
      </c>
      <c r="J21" s="26">
        <f t="shared" si="5"/>
        <v>0.16658786499159195</v>
      </c>
      <c r="L21" s="22">
        <f t="shared" si="11"/>
        <v>68020.892329191818</v>
      </c>
      <c r="M21" s="5">
        <f>scrimecost*Meta!O18</f>
        <v>3314.8250000000003</v>
      </c>
      <c r="N21" s="5">
        <f>L21-Grade11!L21</f>
        <v>1845.5520818803197</v>
      </c>
      <c r="O21" s="5">
        <f>Grade11!M21-M21</f>
        <v>165.82499999999982</v>
      </c>
      <c r="P21" s="22">
        <f t="shared" si="12"/>
        <v>232.5109179632575</v>
      </c>
      <c r="Q21" s="22"/>
      <c r="R21" s="22"/>
      <c r="S21" s="22">
        <f t="shared" si="6"/>
        <v>1865.2098103345998</v>
      </c>
      <c r="T21" s="22">
        <f t="shared" si="7"/>
        <v>1241.6073994908022</v>
      </c>
    </row>
    <row r="22" spans="1:20" x14ac:dyDescent="0.2">
      <c r="A22" s="5">
        <v>31</v>
      </c>
      <c r="B22" s="1">
        <f t="shared" si="8"/>
        <v>1.3785110448524549</v>
      </c>
      <c r="C22" s="5">
        <f t="shared" si="9"/>
        <v>41527.75263347572</v>
      </c>
      <c r="D22" s="5">
        <f t="shared" si="0"/>
        <v>40335.076012335834</v>
      </c>
      <c r="E22" s="5">
        <f t="shared" si="1"/>
        <v>30835.076012335834</v>
      </c>
      <c r="F22" s="5">
        <f t="shared" si="2"/>
        <v>10369.402318027649</v>
      </c>
      <c r="G22" s="5">
        <f t="shared" si="3"/>
        <v>29965.673694308185</v>
      </c>
      <c r="H22" s="22">
        <f t="shared" si="10"/>
        <v>18687.634335150469</v>
      </c>
      <c r="I22" s="5">
        <f t="shared" si="4"/>
        <v>47793.676850041731</v>
      </c>
      <c r="J22" s="26">
        <f t="shared" si="5"/>
        <v>0.16801674314160003</v>
      </c>
      <c r="L22" s="22">
        <f t="shared" si="11"/>
        <v>69721.414637421607</v>
      </c>
      <c r="M22" s="5">
        <f>scrimecost*Meta!O19</f>
        <v>3314.8250000000003</v>
      </c>
      <c r="N22" s="5">
        <f>L22-Grade11!L22</f>
        <v>1891.6908839273237</v>
      </c>
      <c r="O22" s="5">
        <f>Grade11!M22-M22</f>
        <v>165.82499999999982</v>
      </c>
      <c r="P22" s="22">
        <f t="shared" si="12"/>
        <v>237.48874518985872</v>
      </c>
      <c r="Q22" s="22"/>
      <c r="R22" s="22"/>
      <c r="S22" s="22">
        <f t="shared" si="6"/>
        <v>1907.0039214214332</v>
      </c>
      <c r="T22" s="22">
        <f t="shared" si="7"/>
        <v>1230.3042978897779</v>
      </c>
    </row>
    <row r="23" spans="1:20" x14ac:dyDescent="0.2">
      <c r="A23" s="5">
        <v>32</v>
      </c>
      <c r="B23" s="1">
        <f t="shared" si="8"/>
        <v>1.4129738209737661</v>
      </c>
      <c r="C23" s="5">
        <f t="shared" si="9"/>
        <v>42565.9464493126</v>
      </c>
      <c r="D23" s="5">
        <f t="shared" si="0"/>
        <v>41325.512912644219</v>
      </c>
      <c r="E23" s="5">
        <f t="shared" si="1"/>
        <v>31825.512912644219</v>
      </c>
      <c r="F23" s="5">
        <f t="shared" si="2"/>
        <v>10692.779965978338</v>
      </c>
      <c r="G23" s="5">
        <f t="shared" si="3"/>
        <v>30632.732946665881</v>
      </c>
      <c r="H23" s="22">
        <f t="shared" si="10"/>
        <v>19154.825193529228</v>
      </c>
      <c r="I23" s="5">
        <f t="shared" si="4"/>
        <v>48906.436181292767</v>
      </c>
      <c r="J23" s="26">
        <f t="shared" si="5"/>
        <v>0.16941077060502258</v>
      </c>
      <c r="L23" s="22">
        <f t="shared" si="11"/>
        <v>71464.450003357138</v>
      </c>
      <c r="M23" s="5">
        <f>scrimecost*Meta!O20</f>
        <v>3314.8250000000003</v>
      </c>
      <c r="N23" s="5">
        <f>L23-Grade11!L23</f>
        <v>1938.983156025497</v>
      </c>
      <c r="O23" s="5">
        <f>Grade11!M23-M23</f>
        <v>165.82499999999982</v>
      </c>
      <c r="P23" s="22">
        <f t="shared" si="12"/>
        <v>242.59101809712507</v>
      </c>
      <c r="Q23" s="22"/>
      <c r="R23" s="22"/>
      <c r="S23" s="22">
        <f t="shared" si="6"/>
        <v>1949.8428852854331</v>
      </c>
      <c r="T23" s="22">
        <f t="shared" si="7"/>
        <v>1219.1718517589493</v>
      </c>
    </row>
    <row r="24" spans="1:20" x14ac:dyDescent="0.2">
      <c r="A24" s="5">
        <v>33</v>
      </c>
      <c r="B24" s="1">
        <f t="shared" si="8"/>
        <v>1.4482981664981105</v>
      </c>
      <c r="C24" s="5">
        <f t="shared" si="9"/>
        <v>43630.095110545422</v>
      </c>
      <c r="D24" s="5">
        <f t="shared" si="0"/>
        <v>42340.710735460329</v>
      </c>
      <c r="E24" s="5">
        <f t="shared" si="1"/>
        <v>32840.710735460329</v>
      </c>
      <c r="F24" s="5">
        <f t="shared" si="2"/>
        <v>11024.242055127797</v>
      </c>
      <c r="G24" s="5">
        <f t="shared" si="3"/>
        <v>31316.468680332531</v>
      </c>
      <c r="H24" s="22">
        <f t="shared" si="10"/>
        <v>19633.695823367463</v>
      </c>
      <c r="I24" s="5">
        <f t="shared" si="4"/>
        <v>50047.014495825089</v>
      </c>
      <c r="J24" s="26">
        <f t="shared" si="5"/>
        <v>0.17077079739860554</v>
      </c>
      <c r="L24" s="22">
        <f t="shared" si="11"/>
        <v>73251.06125344109</v>
      </c>
      <c r="M24" s="5">
        <f>scrimecost*Meta!O21</f>
        <v>3314.8250000000003</v>
      </c>
      <c r="N24" s="5">
        <f>L24-Grade11!L24</f>
        <v>1987.4577349261672</v>
      </c>
      <c r="O24" s="5">
        <f>Grade11!M24-M24</f>
        <v>165.82499999999982</v>
      </c>
      <c r="P24" s="22">
        <f t="shared" si="12"/>
        <v>247.8208478270731</v>
      </c>
      <c r="Q24" s="22"/>
      <c r="R24" s="22"/>
      <c r="S24" s="22">
        <f t="shared" si="6"/>
        <v>1993.7528232460672</v>
      </c>
      <c r="T24" s="22">
        <f t="shared" si="7"/>
        <v>1208.2059726861182</v>
      </c>
    </row>
    <row r="25" spans="1:20" x14ac:dyDescent="0.2">
      <c r="A25" s="5">
        <v>34</v>
      </c>
      <c r="B25" s="1">
        <f t="shared" si="8"/>
        <v>1.4845056206605631</v>
      </c>
      <c r="C25" s="5">
        <f t="shared" si="9"/>
        <v>44720.84748830906</v>
      </c>
      <c r="D25" s="5">
        <f t="shared" si="0"/>
        <v>43381.288503846838</v>
      </c>
      <c r="E25" s="5">
        <f t="shared" si="1"/>
        <v>33881.288503846838</v>
      </c>
      <c r="F25" s="5">
        <f t="shared" si="2"/>
        <v>11363.990696505993</v>
      </c>
      <c r="G25" s="5">
        <f t="shared" si="3"/>
        <v>32017.297807340845</v>
      </c>
      <c r="H25" s="22">
        <f t="shared" si="10"/>
        <v>20124.538218951646</v>
      </c>
      <c r="I25" s="5">
        <f t="shared" si="4"/>
        <v>51216.107268220716</v>
      </c>
      <c r="J25" s="26">
        <f t="shared" si="5"/>
        <v>0.17209765280697917</v>
      </c>
      <c r="L25" s="22">
        <f t="shared" si="11"/>
        <v>75082.337784777104</v>
      </c>
      <c r="M25" s="5">
        <f>scrimecost*Meta!O22</f>
        <v>3314.8250000000003</v>
      </c>
      <c r="N25" s="5">
        <f>L25-Grade11!L25</f>
        <v>2037.1441782993061</v>
      </c>
      <c r="O25" s="5">
        <f>Grade11!M25-M25</f>
        <v>165.82499999999982</v>
      </c>
      <c r="P25" s="22">
        <f t="shared" si="12"/>
        <v>253.18142330026981</v>
      </c>
      <c r="Q25" s="22"/>
      <c r="R25" s="22"/>
      <c r="S25" s="22">
        <f t="shared" si="6"/>
        <v>2038.7605096556783</v>
      </c>
      <c r="T25" s="22">
        <f t="shared" si="7"/>
        <v>1197.4026905455132</v>
      </c>
    </row>
    <row r="26" spans="1:20" x14ac:dyDescent="0.2">
      <c r="A26" s="5">
        <v>35</v>
      </c>
      <c r="B26" s="1">
        <f t="shared" si="8"/>
        <v>1.521618261177077</v>
      </c>
      <c r="C26" s="5">
        <f t="shared" si="9"/>
        <v>45838.86867551678</v>
      </c>
      <c r="D26" s="5">
        <f t="shared" si="0"/>
        <v>44447.880716443004</v>
      </c>
      <c r="E26" s="5">
        <f t="shared" si="1"/>
        <v>34947.880716443004</v>
      </c>
      <c r="F26" s="5">
        <f t="shared" si="2"/>
        <v>11757.02112556294</v>
      </c>
      <c r="G26" s="5">
        <f t="shared" si="3"/>
        <v>32690.859590880063</v>
      </c>
      <c r="H26" s="22">
        <f t="shared" si="10"/>
        <v>20627.651674425437</v>
      </c>
      <c r="I26" s="5">
        <f t="shared" si="4"/>
        <v>52369.639288281935</v>
      </c>
      <c r="J26" s="26">
        <f t="shared" si="5"/>
        <v>0.17409848140806969</v>
      </c>
      <c r="L26" s="22">
        <f t="shared" si="11"/>
        <v>76959.396229396516</v>
      </c>
      <c r="M26" s="5">
        <f>scrimecost*Meta!O23</f>
        <v>2505.4140000000002</v>
      </c>
      <c r="N26" s="5">
        <f>L26-Grade11!L26</f>
        <v>2088.0727827567607</v>
      </c>
      <c r="O26" s="5">
        <f>Grade11!M26-M26</f>
        <v>125.33399999999983</v>
      </c>
      <c r="P26" s="22">
        <f t="shared" si="12"/>
        <v>259.38268217705615</v>
      </c>
      <c r="Q26" s="22"/>
      <c r="R26" s="22"/>
      <c r="S26" s="22">
        <f t="shared" si="6"/>
        <v>2046.2628028407935</v>
      </c>
      <c r="T26" s="22">
        <f t="shared" si="7"/>
        <v>1164.7689382246513</v>
      </c>
    </row>
    <row r="27" spans="1:20" x14ac:dyDescent="0.2">
      <c r="A27" s="5">
        <v>36</v>
      </c>
      <c r="B27" s="1">
        <f t="shared" si="8"/>
        <v>1.559658717706504</v>
      </c>
      <c r="C27" s="5">
        <f t="shared" si="9"/>
        <v>46984.840392404702</v>
      </c>
      <c r="D27" s="5">
        <f t="shared" si="0"/>
        <v>45541.137734354081</v>
      </c>
      <c r="E27" s="5">
        <f t="shared" si="1"/>
        <v>36041.137734354081</v>
      </c>
      <c r="F27" s="5">
        <f t="shared" si="2"/>
        <v>12223.295243702016</v>
      </c>
      <c r="G27" s="5">
        <f t="shared" si="3"/>
        <v>33317.842490652067</v>
      </c>
      <c r="H27" s="22">
        <f t="shared" si="10"/>
        <v>21143.342966286076</v>
      </c>
      <c r="I27" s="5">
        <f t="shared" si="4"/>
        <v>53488.591680488986</v>
      </c>
      <c r="J27" s="26">
        <f t="shared" si="5"/>
        <v>0.17702625550953732</v>
      </c>
      <c r="L27" s="22">
        <f t="shared" si="11"/>
        <v>78883.381135131436</v>
      </c>
      <c r="M27" s="5">
        <f>scrimecost*Meta!O24</f>
        <v>2505.4140000000002</v>
      </c>
      <c r="N27" s="5">
        <f>L27-Grade11!L27</f>
        <v>2140.2746023256914</v>
      </c>
      <c r="O27" s="5">
        <f>Grade11!M27-M27</f>
        <v>125.33399999999983</v>
      </c>
      <c r="P27" s="22">
        <f t="shared" si="12"/>
        <v>266.73958459568985</v>
      </c>
      <c r="Q27" s="22"/>
      <c r="R27" s="22"/>
      <c r="S27" s="22">
        <f t="shared" si="6"/>
        <v>2095.2239277004674</v>
      </c>
      <c r="T27" s="22">
        <f t="shared" si="7"/>
        <v>1155.8811193965987</v>
      </c>
    </row>
    <row r="28" spans="1:20" x14ac:dyDescent="0.2">
      <c r="A28" s="5">
        <v>37</v>
      </c>
      <c r="B28" s="1">
        <f t="shared" si="8"/>
        <v>1.5986501856491666</v>
      </c>
      <c r="C28" s="5">
        <f t="shared" si="9"/>
        <v>48159.461402214816</v>
      </c>
      <c r="D28" s="5">
        <f t="shared" si="0"/>
        <v>46661.726177712932</v>
      </c>
      <c r="E28" s="5">
        <f t="shared" si="1"/>
        <v>37161.726177712932</v>
      </c>
      <c r="F28" s="5">
        <f t="shared" si="2"/>
        <v>12701.226214794566</v>
      </c>
      <c r="G28" s="5">
        <f t="shared" si="3"/>
        <v>33960.499962918366</v>
      </c>
      <c r="H28" s="22">
        <f t="shared" si="10"/>
        <v>21671.926540443226</v>
      </c>
      <c r="I28" s="5">
        <f t="shared" si="4"/>
        <v>54635.517882501204</v>
      </c>
      <c r="J28" s="26">
        <f t="shared" si="5"/>
        <v>0.17988262048657888</v>
      </c>
      <c r="L28" s="22">
        <f t="shared" si="11"/>
        <v>80855.465663509734</v>
      </c>
      <c r="M28" s="5">
        <f>scrimecost*Meta!O25</f>
        <v>2505.4140000000002</v>
      </c>
      <c r="N28" s="5">
        <f>L28-Grade11!L28</f>
        <v>2193.781467383873</v>
      </c>
      <c r="O28" s="5">
        <f>Grade11!M28-M28</f>
        <v>125.33399999999983</v>
      </c>
      <c r="P28" s="22">
        <f t="shared" si="12"/>
        <v>274.28040957478942</v>
      </c>
      <c r="Q28" s="22"/>
      <c r="R28" s="22"/>
      <c r="S28" s="22">
        <f t="shared" si="6"/>
        <v>2145.4090806816562</v>
      </c>
      <c r="T28" s="22">
        <f t="shared" si="7"/>
        <v>1147.0892060791209</v>
      </c>
    </row>
    <row r="29" spans="1:20" x14ac:dyDescent="0.2">
      <c r="A29" s="5">
        <v>38</v>
      </c>
      <c r="B29" s="1">
        <f t="shared" si="8"/>
        <v>1.6386164402903955</v>
      </c>
      <c r="C29" s="5">
        <f t="shared" si="9"/>
        <v>49363.447937270183</v>
      </c>
      <c r="D29" s="5">
        <f t="shared" si="0"/>
        <v>47810.32933215575</v>
      </c>
      <c r="E29" s="5">
        <f t="shared" si="1"/>
        <v>38310.32933215575</v>
      </c>
      <c r="F29" s="5">
        <f t="shared" si="2"/>
        <v>13191.105460164428</v>
      </c>
      <c r="G29" s="5">
        <f t="shared" si="3"/>
        <v>34619.223871991322</v>
      </c>
      <c r="H29" s="22">
        <f t="shared" si="10"/>
        <v>22213.724703954304</v>
      </c>
      <c r="I29" s="5">
        <f t="shared" si="4"/>
        <v>55811.117239563726</v>
      </c>
      <c r="J29" s="26">
        <f t="shared" si="5"/>
        <v>0.18266931802515596</v>
      </c>
      <c r="L29" s="22">
        <f t="shared" si="11"/>
        <v>82876.852305097462</v>
      </c>
      <c r="M29" s="5">
        <f>scrimecost*Meta!O26</f>
        <v>2505.4140000000002</v>
      </c>
      <c r="N29" s="5">
        <f>L29-Grade11!L29</f>
        <v>2248.6260040684429</v>
      </c>
      <c r="O29" s="5">
        <f>Grade11!M29-M29</f>
        <v>125.33399999999983</v>
      </c>
      <c r="P29" s="22">
        <f t="shared" si="12"/>
        <v>282.00975517836633</v>
      </c>
      <c r="Q29" s="22"/>
      <c r="R29" s="22"/>
      <c r="S29" s="22">
        <f t="shared" si="6"/>
        <v>2196.8488624873212</v>
      </c>
      <c r="T29" s="22">
        <f t="shared" si="7"/>
        <v>1138.3914157148097</v>
      </c>
    </row>
    <row r="30" spans="1:20" x14ac:dyDescent="0.2">
      <c r="A30" s="5">
        <v>39</v>
      </c>
      <c r="B30" s="1">
        <f t="shared" si="8"/>
        <v>1.6795818512976552</v>
      </c>
      <c r="C30" s="5">
        <f t="shared" si="9"/>
        <v>50597.534135701935</v>
      </c>
      <c r="D30" s="5">
        <f t="shared" si="0"/>
        <v>48987.647565459643</v>
      </c>
      <c r="E30" s="5">
        <f t="shared" si="1"/>
        <v>39487.647565459643</v>
      </c>
      <c r="F30" s="5">
        <f t="shared" si="2"/>
        <v>13693.231686668538</v>
      </c>
      <c r="G30" s="5">
        <f t="shared" si="3"/>
        <v>35294.415878791107</v>
      </c>
      <c r="H30" s="22">
        <f t="shared" si="10"/>
        <v>22769.067821553159</v>
      </c>
      <c r="I30" s="5">
        <f t="shared" si="4"/>
        <v>57016.10658055282</v>
      </c>
      <c r="J30" s="26">
        <f t="shared" si="5"/>
        <v>0.18538804733108488</v>
      </c>
      <c r="L30" s="22">
        <f t="shared" si="11"/>
        <v>84948.773612724879</v>
      </c>
      <c r="M30" s="5">
        <f>scrimecost*Meta!O27</f>
        <v>2505.4140000000002</v>
      </c>
      <c r="N30" s="5">
        <f>L30-Grade11!L30</f>
        <v>2304.8416541701445</v>
      </c>
      <c r="O30" s="5">
        <f>Grade11!M30-M30</f>
        <v>125.33399999999983</v>
      </c>
      <c r="P30" s="22">
        <f t="shared" si="12"/>
        <v>289.93233442203268</v>
      </c>
      <c r="Q30" s="22"/>
      <c r="R30" s="22"/>
      <c r="S30" s="22">
        <f t="shared" si="6"/>
        <v>2249.5746388381422</v>
      </c>
      <c r="T30" s="22">
        <f t="shared" si="7"/>
        <v>1129.7860129524336</v>
      </c>
    </row>
    <row r="31" spans="1:20" x14ac:dyDescent="0.2">
      <c r="A31" s="5">
        <v>40</v>
      </c>
      <c r="B31" s="1">
        <f t="shared" si="8"/>
        <v>1.7215713975800966</v>
      </c>
      <c r="C31" s="5">
        <f t="shared" si="9"/>
        <v>51862.472489094478</v>
      </c>
      <c r="D31" s="5">
        <f t="shared" si="0"/>
        <v>50194.398754596128</v>
      </c>
      <c r="E31" s="5">
        <f t="shared" si="1"/>
        <v>40694.398754596128</v>
      </c>
      <c r="F31" s="5">
        <f t="shared" si="2"/>
        <v>14207.911068835248</v>
      </c>
      <c r="G31" s="5">
        <f t="shared" si="3"/>
        <v>35986.487685760876</v>
      </c>
      <c r="H31" s="22">
        <f t="shared" si="10"/>
        <v>23338.294517091988</v>
      </c>
      <c r="I31" s="5">
        <f t="shared" si="4"/>
        <v>58251.220655066631</v>
      </c>
      <c r="J31" s="26">
        <f t="shared" si="5"/>
        <v>0.18804046616613745</v>
      </c>
      <c r="L31" s="22">
        <f t="shared" si="11"/>
        <v>87072.492953043009</v>
      </c>
      <c r="M31" s="5">
        <f>scrimecost*Meta!O28</f>
        <v>2238.2489999999998</v>
      </c>
      <c r="N31" s="5">
        <f>L31-Grade11!L31</f>
        <v>2362.4626955244021</v>
      </c>
      <c r="O31" s="5">
        <f>Grade11!M31-M31</f>
        <v>111.96900000000005</v>
      </c>
      <c r="P31" s="22">
        <f t="shared" si="12"/>
        <v>298.05297814679074</v>
      </c>
      <c r="Q31" s="22"/>
      <c r="R31" s="22"/>
      <c r="S31" s="22">
        <f t="shared" si="6"/>
        <v>2290.6411445977437</v>
      </c>
      <c r="T31" s="22">
        <f t="shared" si="7"/>
        <v>1114.9546361384548</v>
      </c>
    </row>
    <row r="32" spans="1:20" x14ac:dyDescent="0.2">
      <c r="A32" s="5">
        <v>41</v>
      </c>
      <c r="B32" s="1">
        <f t="shared" si="8"/>
        <v>1.7646106825195991</v>
      </c>
      <c r="C32" s="5">
        <f t="shared" si="9"/>
        <v>53159.034301321844</v>
      </c>
      <c r="D32" s="5">
        <f t="shared" si="0"/>
        <v>51431.318723461038</v>
      </c>
      <c r="E32" s="5">
        <f t="shared" si="1"/>
        <v>41931.318723461038</v>
      </c>
      <c r="F32" s="5">
        <f t="shared" si="2"/>
        <v>14735.457435556133</v>
      </c>
      <c r="G32" s="5">
        <f t="shared" si="3"/>
        <v>36695.861287904903</v>
      </c>
      <c r="H32" s="22">
        <f t="shared" si="10"/>
        <v>23921.751880019288</v>
      </c>
      <c r="I32" s="5">
        <f t="shared" si="4"/>
        <v>59517.212581443302</v>
      </c>
      <c r="J32" s="26">
        <f t="shared" si="5"/>
        <v>0.1906281918588717</v>
      </c>
      <c r="L32" s="22">
        <f t="shared" si="11"/>
        <v>89249.305276869083</v>
      </c>
      <c r="M32" s="5">
        <f>scrimecost*Meta!O29</f>
        <v>2238.2489999999998</v>
      </c>
      <c r="N32" s="5">
        <f>L32-Grade11!L32</f>
        <v>2421.5242629125132</v>
      </c>
      <c r="O32" s="5">
        <f>Grade11!M32-M32</f>
        <v>111.96900000000005</v>
      </c>
      <c r="P32" s="22">
        <f t="shared" si="12"/>
        <v>306.37663796466779</v>
      </c>
      <c r="Q32" s="22"/>
      <c r="R32" s="22"/>
      <c r="S32" s="22">
        <f t="shared" si="6"/>
        <v>2346.0361633763337</v>
      </c>
      <c r="T32" s="22">
        <f t="shared" si="7"/>
        <v>1106.7236654700048</v>
      </c>
    </row>
    <row r="33" spans="1:20" x14ac:dyDescent="0.2">
      <c r="A33" s="5">
        <v>42</v>
      </c>
      <c r="B33" s="1">
        <f t="shared" si="8"/>
        <v>1.8087259495825889</v>
      </c>
      <c r="C33" s="5">
        <f t="shared" si="9"/>
        <v>54488.010158854879</v>
      </c>
      <c r="D33" s="5">
        <f t="shared" si="0"/>
        <v>52699.161691547553</v>
      </c>
      <c r="E33" s="5">
        <f t="shared" si="1"/>
        <v>43199.161691547553</v>
      </c>
      <c r="F33" s="5">
        <f t="shared" si="2"/>
        <v>15276.192461445031</v>
      </c>
      <c r="G33" s="5">
        <f t="shared" si="3"/>
        <v>37422.969230102521</v>
      </c>
      <c r="H33" s="22">
        <f t="shared" si="10"/>
        <v>24519.795677019767</v>
      </c>
      <c r="I33" s="5">
        <f t="shared" si="4"/>
        <v>60814.854305979374</v>
      </c>
      <c r="J33" s="26">
        <f t="shared" si="5"/>
        <v>0.1931528022908075</v>
      </c>
      <c r="L33" s="22">
        <f t="shared" si="11"/>
        <v>91480.537908790808</v>
      </c>
      <c r="M33" s="5">
        <f>scrimecost*Meta!O30</f>
        <v>2238.2489999999998</v>
      </c>
      <c r="N33" s="5">
        <f>L33-Grade11!L33</f>
        <v>2482.0623694853421</v>
      </c>
      <c r="O33" s="5">
        <f>Grade11!M33-M33</f>
        <v>111.96900000000005</v>
      </c>
      <c r="P33" s="22">
        <f t="shared" si="12"/>
        <v>314.90838927799166</v>
      </c>
      <c r="Q33" s="22"/>
      <c r="R33" s="22"/>
      <c r="S33" s="22">
        <f t="shared" si="6"/>
        <v>2402.8160576244004</v>
      </c>
      <c r="T33" s="22">
        <f t="shared" si="7"/>
        <v>1098.5741456499807</v>
      </c>
    </row>
    <row r="34" spans="1:20" x14ac:dyDescent="0.2">
      <c r="A34" s="5">
        <v>43</v>
      </c>
      <c r="B34" s="1">
        <f t="shared" si="8"/>
        <v>1.8539440983221533</v>
      </c>
      <c r="C34" s="5">
        <f t="shared" si="9"/>
        <v>55850.210412826251</v>
      </c>
      <c r="D34" s="5">
        <f t="shared" si="0"/>
        <v>53998.700733836238</v>
      </c>
      <c r="E34" s="5">
        <f t="shared" si="1"/>
        <v>44498.700733836238</v>
      </c>
      <c r="F34" s="5">
        <f t="shared" si="2"/>
        <v>15830.445862981156</v>
      </c>
      <c r="G34" s="5">
        <f t="shared" si="3"/>
        <v>38168.254870855082</v>
      </c>
      <c r="H34" s="22">
        <f t="shared" si="10"/>
        <v>25132.790568945256</v>
      </c>
      <c r="I34" s="5">
        <f t="shared" si="4"/>
        <v>62144.937073628855</v>
      </c>
      <c r="J34" s="26">
        <f t="shared" si="5"/>
        <v>0.1956158368585498</v>
      </c>
      <c r="L34" s="22">
        <f t="shared" si="11"/>
        <v>93767.55135651055</v>
      </c>
      <c r="M34" s="5">
        <f>scrimecost*Meta!O31</f>
        <v>2238.2489999999998</v>
      </c>
      <c r="N34" s="5">
        <f>L34-Grade11!L34</f>
        <v>2544.1139287224651</v>
      </c>
      <c r="O34" s="5">
        <f>Grade11!M34-M34</f>
        <v>111.96900000000005</v>
      </c>
      <c r="P34" s="22">
        <f t="shared" si="12"/>
        <v>323.65343437414867</v>
      </c>
      <c r="Q34" s="22"/>
      <c r="R34" s="22"/>
      <c r="S34" s="22">
        <f t="shared" si="6"/>
        <v>2461.015449228647</v>
      </c>
      <c r="T34" s="22">
        <f t="shared" si="7"/>
        <v>1090.5047014594957</v>
      </c>
    </row>
    <row r="35" spans="1:20" x14ac:dyDescent="0.2">
      <c r="A35" s="5">
        <v>44</v>
      </c>
      <c r="B35" s="1">
        <f t="shared" si="8"/>
        <v>1.9002927007802071</v>
      </c>
      <c r="C35" s="5">
        <f t="shared" si="9"/>
        <v>57246.4656731469</v>
      </c>
      <c r="D35" s="5">
        <f t="shared" si="0"/>
        <v>55330.72825218214</v>
      </c>
      <c r="E35" s="5">
        <f t="shared" si="1"/>
        <v>45830.72825218214</v>
      </c>
      <c r="F35" s="5">
        <f t="shared" si="2"/>
        <v>16398.555599555682</v>
      </c>
      <c r="G35" s="5">
        <f t="shared" si="3"/>
        <v>38932.172652626454</v>
      </c>
      <c r="H35" s="22">
        <f t="shared" si="10"/>
        <v>25761.110333168886</v>
      </c>
      <c r="I35" s="5">
        <f t="shared" si="4"/>
        <v>63508.271910469572</v>
      </c>
      <c r="J35" s="26">
        <f t="shared" si="5"/>
        <v>0.19801879741244466</v>
      </c>
      <c r="L35" s="22">
        <f t="shared" si="11"/>
        <v>96111.740140423324</v>
      </c>
      <c r="M35" s="5">
        <f>scrimecost*Meta!O32</f>
        <v>2238.2489999999998</v>
      </c>
      <c r="N35" s="5">
        <f>L35-Grade11!L35</f>
        <v>2607.7167769405351</v>
      </c>
      <c r="O35" s="5">
        <f>Grade11!M35-M35</f>
        <v>111.96900000000005</v>
      </c>
      <c r="P35" s="22">
        <f t="shared" si="12"/>
        <v>332.61710559770961</v>
      </c>
      <c r="Q35" s="22"/>
      <c r="R35" s="22"/>
      <c r="S35" s="22">
        <f t="shared" si="6"/>
        <v>2520.6698256230152</v>
      </c>
      <c r="T35" s="22">
        <f t="shared" si="7"/>
        <v>1082.5139925830233</v>
      </c>
    </row>
    <row r="36" spans="1:20" x14ac:dyDescent="0.2">
      <c r="A36" s="5">
        <v>45</v>
      </c>
      <c r="B36" s="1">
        <f t="shared" si="8"/>
        <v>1.9478000182997122</v>
      </c>
      <c r="C36" s="5">
        <f t="shared" si="9"/>
        <v>58677.627314975573</v>
      </c>
      <c r="D36" s="5">
        <f t="shared" si="0"/>
        <v>56696.056458486695</v>
      </c>
      <c r="E36" s="5">
        <f t="shared" si="1"/>
        <v>47196.056458486695</v>
      </c>
      <c r="F36" s="5">
        <f t="shared" si="2"/>
        <v>16980.868079544576</v>
      </c>
      <c r="G36" s="5">
        <f t="shared" si="3"/>
        <v>39715.188378942119</v>
      </c>
      <c r="H36" s="22">
        <f t="shared" si="10"/>
        <v>26405.138091498105</v>
      </c>
      <c r="I36" s="5">
        <f t="shared" si="4"/>
        <v>64905.690118231316</v>
      </c>
      <c r="J36" s="26">
        <f t="shared" si="5"/>
        <v>0.20036314917234216</v>
      </c>
      <c r="L36" s="22">
        <f t="shared" si="11"/>
        <v>98514.533643933886</v>
      </c>
      <c r="M36" s="5">
        <f>scrimecost*Meta!O33</f>
        <v>1897.8609999999999</v>
      </c>
      <c r="N36" s="5">
        <f>L36-Grade11!L36</f>
        <v>2672.9096963640332</v>
      </c>
      <c r="O36" s="5">
        <f>Grade11!M36-M36</f>
        <v>94.941000000000031</v>
      </c>
      <c r="P36" s="22">
        <f t="shared" si="12"/>
        <v>341.80486860185954</v>
      </c>
      <c r="Q36" s="22"/>
      <c r="R36" s="22"/>
      <c r="S36" s="22">
        <f t="shared" si="6"/>
        <v>2565.281373427224</v>
      </c>
      <c r="T36" s="22">
        <f t="shared" si="7"/>
        <v>1067.7188692495647</v>
      </c>
    </row>
    <row r="37" spans="1:20" x14ac:dyDescent="0.2">
      <c r="A37" s="5">
        <v>46</v>
      </c>
      <c r="B37" s="1">
        <f t="shared" ref="B37:B56" si="13">(1+experiencepremium)^(A37-startage)</f>
        <v>1.9964950187572048</v>
      </c>
      <c r="C37" s="5">
        <f t="shared" ref="C37:C56" si="14">pretaxincome*B37/expnorm</f>
        <v>60144.567997849954</v>
      </c>
      <c r="D37" s="5">
        <f t="shared" ref="D37:D56" si="15">IF(A37&lt;startage,1,0)*(C37*(1-initialunempprob))+IF(A37=startage,1,0)*(C37*(1-unempprob))+IF(A37&gt;startage,1,0)*(C37*(1-unempprob)+unempprob*300*52)</f>
        <v>58095.517869948853</v>
      </c>
      <c r="E37" s="5">
        <f t="shared" si="1"/>
        <v>48595.517869948853</v>
      </c>
      <c r="F37" s="5">
        <f t="shared" si="2"/>
        <v>17577.738371533185</v>
      </c>
      <c r="G37" s="5">
        <f t="shared" si="3"/>
        <v>40517.779498415664</v>
      </c>
      <c r="H37" s="22">
        <f t="shared" ref="H37:H56" si="16">benefits*B37/expnorm</f>
        <v>27065.266543785561</v>
      </c>
      <c r="I37" s="5">
        <f t="shared" ref="I37:I56" si="17">G37+IF(A37&lt;startage,1,0)*(H37*(1-initialunempprob))+IF(A37&gt;=startage,1,0)*(H37*(1-unempprob))</f>
        <v>66338.043781187094</v>
      </c>
      <c r="J37" s="26">
        <f t="shared" si="5"/>
        <v>0.20265032162102259</v>
      </c>
      <c r="L37" s="22">
        <f t="shared" ref="L37:L56" si="18">(sincome+sbenefits)*(1-sunemp)*B37/expnorm</f>
        <v>100977.39698503223</v>
      </c>
      <c r="M37" s="5">
        <f>scrimecost*Meta!O34</f>
        <v>1897.8609999999999</v>
      </c>
      <c r="N37" s="5">
        <f>L37-Grade11!L37</f>
        <v>2739.7324387731205</v>
      </c>
      <c r="O37" s="5">
        <f>Grade11!M37-M37</f>
        <v>94.941000000000031</v>
      </c>
      <c r="P37" s="22">
        <f t="shared" si="12"/>
        <v>351.22232568111326</v>
      </c>
      <c r="Q37" s="22"/>
      <c r="R37" s="22"/>
      <c r="S37" s="22">
        <f t="shared" si="6"/>
        <v>2627.955752626538</v>
      </c>
      <c r="T37" s="22">
        <f t="shared" si="7"/>
        <v>1060.0938443533635</v>
      </c>
    </row>
    <row r="38" spans="1:20" x14ac:dyDescent="0.2">
      <c r="A38" s="5">
        <v>47</v>
      </c>
      <c r="B38" s="1">
        <f t="shared" si="13"/>
        <v>2.0464073942261352</v>
      </c>
      <c r="C38" s="5">
        <f t="shared" si="14"/>
        <v>61648.18219779621</v>
      </c>
      <c r="D38" s="5">
        <f t="shared" si="15"/>
        <v>59529.965816697579</v>
      </c>
      <c r="E38" s="5">
        <f t="shared" si="1"/>
        <v>50029.965816697579</v>
      </c>
      <c r="F38" s="5">
        <f t="shared" si="2"/>
        <v>18189.530420821517</v>
      </c>
      <c r="G38" s="5">
        <f t="shared" si="3"/>
        <v>41340.435395876062</v>
      </c>
      <c r="H38" s="22">
        <f t="shared" si="16"/>
        <v>27741.8982073802</v>
      </c>
      <c r="I38" s="5">
        <f t="shared" si="17"/>
        <v>67806.206285716777</v>
      </c>
      <c r="J38" s="26">
        <f t="shared" si="5"/>
        <v>0.2048817093758328</v>
      </c>
      <c r="L38" s="22">
        <f t="shared" si="18"/>
        <v>103501.83190965805</v>
      </c>
      <c r="M38" s="5">
        <f>scrimecost*Meta!O35</f>
        <v>1897.8609999999999</v>
      </c>
      <c r="N38" s="5">
        <f>L38-Grade11!L38</f>
        <v>2808.2257497424871</v>
      </c>
      <c r="O38" s="5">
        <f>Grade11!M38-M38</f>
        <v>94.941000000000031</v>
      </c>
      <c r="P38" s="22">
        <f t="shared" si="12"/>
        <v>360.87521918734842</v>
      </c>
      <c r="Q38" s="22"/>
      <c r="R38" s="22"/>
      <c r="S38" s="22">
        <f t="shared" si="6"/>
        <v>2692.1969913058779</v>
      </c>
      <c r="T38" s="22">
        <f t="shared" si="7"/>
        <v>1052.5371961781111</v>
      </c>
    </row>
    <row r="39" spans="1:20" x14ac:dyDescent="0.2">
      <c r="A39" s="5">
        <v>48</v>
      </c>
      <c r="B39" s="1">
        <f t="shared" si="13"/>
        <v>2.097567579081788</v>
      </c>
      <c r="C39" s="5">
        <f t="shared" si="14"/>
        <v>63189.386752741106</v>
      </c>
      <c r="D39" s="5">
        <f t="shared" si="15"/>
        <v>61000.274962115014</v>
      </c>
      <c r="E39" s="5">
        <f t="shared" si="1"/>
        <v>51500.274962115014</v>
      </c>
      <c r="F39" s="5">
        <f t="shared" si="2"/>
        <v>18816.617271342053</v>
      </c>
      <c r="G39" s="5">
        <f t="shared" si="3"/>
        <v>42183.657690772961</v>
      </c>
      <c r="H39" s="22">
        <f t="shared" si="16"/>
        <v>28435.4456625647</v>
      </c>
      <c r="I39" s="5">
        <f t="shared" si="17"/>
        <v>69311.072852859681</v>
      </c>
      <c r="J39" s="26">
        <f t="shared" si="5"/>
        <v>0.20705867303906231</v>
      </c>
      <c r="L39" s="22">
        <f t="shared" si="18"/>
        <v>106089.37770739947</v>
      </c>
      <c r="M39" s="5">
        <f>scrimecost*Meta!O36</f>
        <v>1897.8609999999999</v>
      </c>
      <c r="N39" s="5">
        <f>L39-Grade11!L39</f>
        <v>2878.4313934859965</v>
      </c>
      <c r="O39" s="5">
        <f>Grade11!M39-M39</f>
        <v>94.941000000000031</v>
      </c>
      <c r="P39" s="22">
        <f t="shared" si="12"/>
        <v>370.76943503123937</v>
      </c>
      <c r="Q39" s="22"/>
      <c r="R39" s="22"/>
      <c r="S39" s="22">
        <f t="shared" si="6"/>
        <v>2758.0442609521283</v>
      </c>
      <c r="T39" s="22">
        <f t="shared" si="7"/>
        <v>1045.0479155359781</v>
      </c>
    </row>
    <row r="40" spans="1:20" x14ac:dyDescent="0.2">
      <c r="A40" s="5">
        <v>49</v>
      </c>
      <c r="B40" s="1">
        <f t="shared" si="13"/>
        <v>2.1500067685588333</v>
      </c>
      <c r="C40" s="5">
        <f t="shared" si="14"/>
        <v>64769.121421559641</v>
      </c>
      <c r="D40" s="5">
        <f t="shared" si="15"/>
        <v>62507.341836167892</v>
      </c>
      <c r="E40" s="5">
        <f t="shared" si="1"/>
        <v>53007.341836167892</v>
      </c>
      <c r="F40" s="5">
        <f t="shared" si="2"/>
        <v>19459.381293125607</v>
      </c>
      <c r="G40" s="5">
        <f t="shared" si="3"/>
        <v>43047.960543042282</v>
      </c>
      <c r="H40" s="22">
        <f t="shared" si="16"/>
        <v>29146.331804128826</v>
      </c>
      <c r="I40" s="5">
        <f t="shared" si="17"/>
        <v>70853.561084181187</v>
      </c>
      <c r="J40" s="26">
        <f t="shared" ref="J40:J56" si="19">(F40-(IF(A40&gt;startage,1,0)*(unempprob*300*52)))/(IF(A40&lt;startage,1,0)*((C40+H40)*(1-initialunempprob))+IF(A40&gt;=startage,1,0)*((C40+H40)*(1-unempprob)))</f>
        <v>0.20918254002757883</v>
      </c>
      <c r="L40" s="22">
        <f t="shared" si="18"/>
        <v>108741.6121500845</v>
      </c>
      <c r="M40" s="5">
        <f>scrimecost*Meta!O37</f>
        <v>1897.8609999999999</v>
      </c>
      <c r="N40" s="5">
        <f>L40-Grade11!L40</f>
        <v>2950.3921783232072</v>
      </c>
      <c r="O40" s="5">
        <f>Grade11!M40-M40</f>
        <v>94.941000000000031</v>
      </c>
      <c r="P40" s="22">
        <f t="shared" si="12"/>
        <v>380.91100627122768</v>
      </c>
      <c r="Q40" s="22"/>
      <c r="R40" s="22"/>
      <c r="S40" s="22">
        <f t="shared" ref="S40:S69" si="20">IF(A40&lt;startage,1,0)*(N40-Q40-R40)+IF(A40&gt;=startage,1,0)*completionprob*(N40*spart+O40+P40)</f>
        <v>2825.5377123396252</v>
      </c>
      <c r="T40" s="22">
        <f t="shared" ref="T40:T69" si="21">S40/sreturn^(A40-startage+1)</f>
        <v>1037.6250171047229</v>
      </c>
    </row>
    <row r="41" spans="1:20" x14ac:dyDescent="0.2">
      <c r="A41" s="5">
        <v>50</v>
      </c>
      <c r="B41" s="1">
        <f t="shared" si="13"/>
        <v>2.2037569377728037</v>
      </c>
      <c r="C41" s="5">
        <f t="shared" si="14"/>
        <v>66388.349457098622</v>
      </c>
      <c r="D41" s="5">
        <f t="shared" si="15"/>
        <v>64052.08538207208</v>
      </c>
      <c r="E41" s="5">
        <f t="shared" si="1"/>
        <v>54552.08538207208</v>
      </c>
      <c r="F41" s="5">
        <f t="shared" si="2"/>
        <v>20118.214415453742</v>
      </c>
      <c r="G41" s="5">
        <f t="shared" si="3"/>
        <v>43933.870966618342</v>
      </c>
      <c r="H41" s="22">
        <f t="shared" si="16"/>
        <v>29874.99009923204</v>
      </c>
      <c r="I41" s="5">
        <f t="shared" si="17"/>
        <v>72434.611521285711</v>
      </c>
      <c r="J41" s="26">
        <f t="shared" si="19"/>
        <v>0.21125460538222909</v>
      </c>
      <c r="L41" s="22">
        <f t="shared" si="18"/>
        <v>111460.15245383658</v>
      </c>
      <c r="M41" s="5">
        <f>scrimecost*Meta!O38</f>
        <v>1373.4259999999999</v>
      </c>
      <c r="N41" s="5">
        <f>L41-Grade11!L41</f>
        <v>3024.1519827812444</v>
      </c>
      <c r="O41" s="5">
        <f>Grade11!M41-M41</f>
        <v>68.705999999999904</v>
      </c>
      <c r="P41" s="22">
        <f t="shared" si="12"/>
        <v>391.30611679221539</v>
      </c>
      <c r="Q41" s="22"/>
      <c r="R41" s="22"/>
      <c r="S41" s="22">
        <f t="shared" si="20"/>
        <v>2869.244315011726</v>
      </c>
      <c r="T41" s="22">
        <f t="shared" si="21"/>
        <v>1021.2009487132548</v>
      </c>
    </row>
    <row r="42" spans="1:20" x14ac:dyDescent="0.2">
      <c r="A42" s="5">
        <v>51</v>
      </c>
      <c r="B42" s="1">
        <f t="shared" si="13"/>
        <v>2.2588508612171236</v>
      </c>
      <c r="C42" s="5">
        <f t="shared" si="14"/>
        <v>68048.058193526085</v>
      </c>
      <c r="D42" s="5">
        <f t="shared" si="15"/>
        <v>65635.447516623884</v>
      </c>
      <c r="E42" s="5">
        <f t="shared" si="1"/>
        <v>56135.447516623884</v>
      </c>
      <c r="F42" s="5">
        <f t="shared" si="2"/>
        <v>20793.518365840089</v>
      </c>
      <c r="G42" s="5">
        <f t="shared" si="3"/>
        <v>44841.929150783792</v>
      </c>
      <c r="H42" s="22">
        <f t="shared" si="16"/>
        <v>30621.864851712839</v>
      </c>
      <c r="I42" s="5">
        <f t="shared" si="17"/>
        <v>74055.188219317846</v>
      </c>
      <c r="J42" s="26">
        <f t="shared" si="19"/>
        <v>0.21327613255749775</v>
      </c>
      <c r="L42" s="22">
        <f t="shared" si="18"/>
        <v>114246.65626518248</v>
      </c>
      <c r="M42" s="5">
        <f>scrimecost*Meta!O39</f>
        <v>1373.4259999999999</v>
      </c>
      <c r="N42" s="5">
        <f>L42-Grade11!L42</f>
        <v>3099.7557823507814</v>
      </c>
      <c r="O42" s="5">
        <f>Grade11!M42-M42</f>
        <v>68.705999999999904</v>
      </c>
      <c r="P42" s="22">
        <f t="shared" si="12"/>
        <v>401.96110507622814</v>
      </c>
      <c r="Q42" s="22"/>
      <c r="R42" s="22"/>
      <c r="S42" s="22">
        <f t="shared" si="20"/>
        <v>2940.1546223756695</v>
      </c>
      <c r="T42" s="22">
        <f t="shared" si="21"/>
        <v>1014.187384896349</v>
      </c>
    </row>
    <row r="43" spans="1:20" x14ac:dyDescent="0.2">
      <c r="A43" s="5">
        <v>52</v>
      </c>
      <c r="B43" s="1">
        <f t="shared" si="13"/>
        <v>2.3153221327475517</v>
      </c>
      <c r="C43" s="5">
        <f t="shared" si="14"/>
        <v>69749.259648364241</v>
      </c>
      <c r="D43" s="5">
        <f t="shared" si="15"/>
        <v>67258.393704539485</v>
      </c>
      <c r="E43" s="5">
        <f t="shared" si="1"/>
        <v>57758.393704539485</v>
      </c>
      <c r="F43" s="5">
        <f t="shared" si="2"/>
        <v>21485.70491498609</v>
      </c>
      <c r="G43" s="5">
        <f t="shared" si="3"/>
        <v>45772.688789553395</v>
      </c>
      <c r="H43" s="22">
        <f t="shared" si="16"/>
        <v>31387.411473005657</v>
      </c>
      <c r="I43" s="5">
        <f t="shared" si="17"/>
        <v>75716.279334800784</v>
      </c>
      <c r="J43" s="26">
        <f t="shared" si="19"/>
        <v>0.2152483541919061</v>
      </c>
      <c r="L43" s="22">
        <f t="shared" si="18"/>
        <v>117102.82267181206</v>
      </c>
      <c r="M43" s="5">
        <f>scrimecost*Meta!O40</f>
        <v>1373.4259999999999</v>
      </c>
      <c r="N43" s="5">
        <f>L43-Grade11!L43</f>
        <v>3177.2496769095742</v>
      </c>
      <c r="O43" s="5">
        <f>Grade11!M43-M43</f>
        <v>68.705999999999904</v>
      </c>
      <c r="P43" s="22">
        <f t="shared" si="12"/>
        <v>412.88246806734111</v>
      </c>
      <c r="Q43" s="22"/>
      <c r="R43" s="22"/>
      <c r="S43" s="22">
        <f t="shared" si="20"/>
        <v>3012.8376874237251</v>
      </c>
      <c r="T43" s="22">
        <f t="shared" si="21"/>
        <v>1007.2287715264067</v>
      </c>
    </row>
    <row r="44" spans="1:20" x14ac:dyDescent="0.2">
      <c r="A44" s="5">
        <v>53</v>
      </c>
      <c r="B44" s="1">
        <f t="shared" si="13"/>
        <v>2.3732051860662402</v>
      </c>
      <c r="C44" s="5">
        <f t="shared" si="14"/>
        <v>71492.991139573336</v>
      </c>
      <c r="D44" s="5">
        <f t="shared" si="15"/>
        <v>68921.913547152959</v>
      </c>
      <c r="E44" s="5">
        <f t="shared" si="1"/>
        <v>59421.913547152959</v>
      </c>
      <c r="F44" s="5">
        <f t="shared" si="2"/>
        <v>22195.196127860738</v>
      </c>
      <c r="G44" s="5">
        <f t="shared" si="3"/>
        <v>46726.717419292225</v>
      </c>
      <c r="H44" s="22">
        <f t="shared" si="16"/>
        <v>32172.096759830798</v>
      </c>
      <c r="I44" s="5">
        <f t="shared" si="17"/>
        <v>77418.897728170807</v>
      </c>
      <c r="J44" s="26">
        <f t="shared" si="19"/>
        <v>0.21717247285962152</v>
      </c>
      <c r="L44" s="22">
        <f t="shared" si="18"/>
        <v>120030.39323860733</v>
      </c>
      <c r="M44" s="5">
        <f>scrimecost*Meta!O41</f>
        <v>1373.4259999999999</v>
      </c>
      <c r="N44" s="5">
        <f>L44-Grade11!L44</f>
        <v>3256.6809188322804</v>
      </c>
      <c r="O44" s="5">
        <f>Grade11!M44-M44</f>
        <v>68.705999999999904</v>
      </c>
      <c r="P44" s="22">
        <f t="shared" si="12"/>
        <v>424.07686513323171</v>
      </c>
      <c r="Q44" s="22"/>
      <c r="R44" s="22"/>
      <c r="S44" s="22">
        <f t="shared" si="20"/>
        <v>3087.3378290979372</v>
      </c>
      <c r="T44" s="22">
        <f t="shared" si="21"/>
        <v>1000.3244775005229</v>
      </c>
    </row>
    <row r="45" spans="1:20" x14ac:dyDescent="0.2">
      <c r="A45" s="5">
        <v>54</v>
      </c>
      <c r="B45" s="1">
        <f t="shared" si="13"/>
        <v>2.4325353157178964</v>
      </c>
      <c r="C45" s="5">
        <f t="shared" si="14"/>
        <v>73280.315918062668</v>
      </c>
      <c r="D45" s="5">
        <f t="shared" si="15"/>
        <v>70627.021385831787</v>
      </c>
      <c r="E45" s="5">
        <f t="shared" si="1"/>
        <v>61127.021385831787</v>
      </c>
      <c r="F45" s="5">
        <f t="shared" si="2"/>
        <v>22922.42462105726</v>
      </c>
      <c r="G45" s="5">
        <f t="shared" si="3"/>
        <v>47704.596764774527</v>
      </c>
      <c r="H45" s="22">
        <f t="shared" si="16"/>
        <v>32976.39917882657</v>
      </c>
      <c r="I45" s="5">
        <f t="shared" si="17"/>
        <v>79164.081581375067</v>
      </c>
      <c r="J45" s="26">
        <f t="shared" si="19"/>
        <v>0.21904966180373425</v>
      </c>
      <c r="L45" s="22">
        <f t="shared" si="18"/>
        <v>123031.15306957252</v>
      </c>
      <c r="M45" s="5">
        <f>scrimecost*Meta!O42</f>
        <v>1373.4259999999999</v>
      </c>
      <c r="N45" s="5">
        <f>L45-Grade11!L45</f>
        <v>3338.0979418031056</v>
      </c>
      <c r="O45" s="5">
        <f>Grade11!M45-M45</f>
        <v>68.705999999999904</v>
      </c>
      <c r="P45" s="22">
        <f t="shared" si="12"/>
        <v>435.55112212576989</v>
      </c>
      <c r="Q45" s="22"/>
      <c r="R45" s="22"/>
      <c r="S45" s="22">
        <f t="shared" si="20"/>
        <v>3163.7004743140446</v>
      </c>
      <c r="T45" s="22">
        <f t="shared" si="21"/>
        <v>993.47388416405863</v>
      </c>
    </row>
    <row r="46" spans="1:20" x14ac:dyDescent="0.2">
      <c r="A46" s="5">
        <v>55</v>
      </c>
      <c r="B46" s="1">
        <f t="shared" si="13"/>
        <v>2.4933486986108435</v>
      </c>
      <c r="C46" s="5">
        <f t="shared" si="14"/>
        <v>75112.323816014235</v>
      </c>
      <c r="D46" s="5">
        <f t="shared" si="15"/>
        <v>72374.756920477579</v>
      </c>
      <c r="E46" s="5">
        <f t="shared" si="1"/>
        <v>62874.756920477579</v>
      </c>
      <c r="F46" s="5">
        <f t="shared" si="2"/>
        <v>23667.83382658369</v>
      </c>
      <c r="G46" s="5">
        <f t="shared" si="3"/>
        <v>48706.923093893885</v>
      </c>
      <c r="H46" s="22">
        <f t="shared" si="16"/>
        <v>33800.809158297227</v>
      </c>
      <c r="I46" s="5">
        <f t="shared" si="17"/>
        <v>80952.895030909436</v>
      </c>
      <c r="J46" s="26">
        <f t="shared" si="19"/>
        <v>0.22088106565164906</v>
      </c>
      <c r="L46" s="22">
        <f t="shared" si="18"/>
        <v>126106.93189631183</v>
      </c>
      <c r="M46" s="5">
        <f>scrimecost*Meta!O43</f>
        <v>821.28499999999997</v>
      </c>
      <c r="N46" s="5">
        <f>L46-Grade11!L46</f>
        <v>3421.5503903482022</v>
      </c>
      <c r="O46" s="5">
        <f>Grade11!M46-M46</f>
        <v>41.085000000000036</v>
      </c>
      <c r="P46" s="22">
        <f t="shared" si="12"/>
        <v>447.3122355431214</v>
      </c>
      <c r="Q46" s="22"/>
      <c r="R46" s="22"/>
      <c r="S46" s="22">
        <f t="shared" si="20"/>
        <v>3215.1521946605571</v>
      </c>
      <c r="T46" s="22">
        <f t="shared" si="21"/>
        <v>978.51386837838595</v>
      </c>
    </row>
    <row r="47" spans="1:20" x14ac:dyDescent="0.2">
      <c r="A47" s="5">
        <v>56</v>
      </c>
      <c r="B47" s="1">
        <f t="shared" si="13"/>
        <v>2.555682416076114</v>
      </c>
      <c r="C47" s="5">
        <f t="shared" si="14"/>
        <v>76990.131911414559</v>
      </c>
      <c r="D47" s="5">
        <f t="shared" si="15"/>
        <v>74166.185843489497</v>
      </c>
      <c r="E47" s="5">
        <f t="shared" si="1"/>
        <v>64666.185843489497</v>
      </c>
      <c r="F47" s="5">
        <f t="shared" si="2"/>
        <v>24431.878262248272</v>
      </c>
      <c r="G47" s="5">
        <f t="shared" si="3"/>
        <v>49734.307581241228</v>
      </c>
      <c r="H47" s="22">
        <f t="shared" si="16"/>
        <v>34645.829387254656</v>
      </c>
      <c r="I47" s="5">
        <f t="shared" si="17"/>
        <v>82786.428816682164</v>
      </c>
      <c r="J47" s="26">
        <f t="shared" si="19"/>
        <v>0.22266780111302931</v>
      </c>
      <c r="L47" s="22">
        <f t="shared" si="18"/>
        <v>129259.60519371959</v>
      </c>
      <c r="M47" s="5">
        <f>scrimecost*Meta!O44</f>
        <v>821.28499999999997</v>
      </c>
      <c r="N47" s="5">
        <f>L47-Grade11!L47</f>
        <v>3507.0891501068545</v>
      </c>
      <c r="O47" s="5">
        <f>Grade11!M47-M47</f>
        <v>41.085000000000036</v>
      </c>
      <c r="P47" s="22">
        <f t="shared" si="12"/>
        <v>459.36737679590641</v>
      </c>
      <c r="Q47" s="22"/>
      <c r="R47" s="22"/>
      <c r="S47" s="22">
        <f t="shared" si="20"/>
        <v>3295.3806987906733</v>
      </c>
      <c r="T47" s="22">
        <f t="shared" si="21"/>
        <v>972.02043896434498</v>
      </c>
    </row>
    <row r="48" spans="1:20" x14ac:dyDescent="0.2">
      <c r="A48" s="5">
        <v>57</v>
      </c>
      <c r="B48" s="1">
        <f t="shared" si="13"/>
        <v>2.6195744764780171</v>
      </c>
      <c r="C48" s="5">
        <f t="shared" si="14"/>
        <v>78914.885209199943</v>
      </c>
      <c r="D48" s="5">
        <f t="shared" si="15"/>
        <v>76002.400489576743</v>
      </c>
      <c r="E48" s="5">
        <f t="shared" si="1"/>
        <v>66502.400489576743</v>
      </c>
      <c r="F48" s="5">
        <f t="shared" si="2"/>
        <v>25215.023808804483</v>
      </c>
      <c r="G48" s="5">
        <f t="shared" si="3"/>
        <v>50787.376680772257</v>
      </c>
      <c r="H48" s="22">
        <f t="shared" si="16"/>
        <v>35511.975121936026</v>
      </c>
      <c r="I48" s="5">
        <f t="shared" si="17"/>
        <v>84665.800947099226</v>
      </c>
      <c r="J48" s="26">
        <f t="shared" si="19"/>
        <v>0.22441095766071736</v>
      </c>
      <c r="L48" s="22">
        <f t="shared" si="18"/>
        <v>132491.09532356259</v>
      </c>
      <c r="M48" s="5">
        <f>scrimecost*Meta!O45</f>
        <v>821.28499999999997</v>
      </c>
      <c r="N48" s="5">
        <f>L48-Grade11!L48</f>
        <v>3594.7663788595673</v>
      </c>
      <c r="O48" s="5">
        <f>Grade11!M48-M48</f>
        <v>41.085000000000036</v>
      </c>
      <c r="P48" s="22">
        <f t="shared" si="12"/>
        <v>471.72389658001134</v>
      </c>
      <c r="Q48" s="22"/>
      <c r="R48" s="22"/>
      <c r="S48" s="22">
        <f t="shared" si="20"/>
        <v>3377.6149155241192</v>
      </c>
      <c r="T48" s="22">
        <f t="shared" si="21"/>
        <v>965.5711721904305</v>
      </c>
    </row>
    <row r="49" spans="1:20" x14ac:dyDescent="0.2">
      <c r="A49" s="5">
        <v>58</v>
      </c>
      <c r="B49" s="1">
        <f t="shared" si="13"/>
        <v>2.6850638383899672</v>
      </c>
      <c r="C49" s="5">
        <f t="shared" si="14"/>
        <v>80887.757339429925</v>
      </c>
      <c r="D49" s="5">
        <f t="shared" si="15"/>
        <v>77884.52050181615</v>
      </c>
      <c r="E49" s="5">
        <f t="shared" si="1"/>
        <v>68384.52050181615</v>
      </c>
      <c r="F49" s="5">
        <f t="shared" si="2"/>
        <v>26017.74799402459</v>
      </c>
      <c r="G49" s="5">
        <f t="shared" si="3"/>
        <v>51866.77250779156</v>
      </c>
      <c r="H49" s="22">
        <f t="shared" si="16"/>
        <v>36399.774499984422</v>
      </c>
      <c r="I49" s="5">
        <f t="shared" si="17"/>
        <v>86592.157380776698</v>
      </c>
      <c r="J49" s="26">
        <f t="shared" si="19"/>
        <v>0.22611159819504723</v>
      </c>
      <c r="L49" s="22">
        <f t="shared" si="18"/>
        <v>135803.37270665163</v>
      </c>
      <c r="M49" s="5">
        <f>scrimecost*Meta!O46</f>
        <v>821.28499999999997</v>
      </c>
      <c r="N49" s="5">
        <f>L49-Grade11!L49</f>
        <v>3684.6355383310292</v>
      </c>
      <c r="O49" s="5">
        <f>Grade11!M49-M49</f>
        <v>41.085000000000036</v>
      </c>
      <c r="P49" s="22">
        <f t="shared" si="12"/>
        <v>484.38932935871884</v>
      </c>
      <c r="Q49" s="22"/>
      <c r="R49" s="22"/>
      <c r="S49" s="22">
        <f t="shared" si="20"/>
        <v>3461.9049876758449</v>
      </c>
      <c r="T49" s="22">
        <f t="shared" si="21"/>
        <v>959.1657348820745</v>
      </c>
    </row>
    <row r="50" spans="1:20" x14ac:dyDescent="0.2">
      <c r="A50" s="5">
        <v>59</v>
      </c>
      <c r="B50" s="1">
        <f t="shared" si="13"/>
        <v>2.7521904343497163</v>
      </c>
      <c r="C50" s="5">
        <f t="shared" si="14"/>
        <v>82909.95127291567</v>
      </c>
      <c r="D50" s="5">
        <f t="shared" si="15"/>
        <v>79813.693514361556</v>
      </c>
      <c r="E50" s="5">
        <f t="shared" si="1"/>
        <v>70313.693514361556</v>
      </c>
      <c r="F50" s="5">
        <f t="shared" si="2"/>
        <v>26840.540283875202</v>
      </c>
      <c r="G50" s="5">
        <f t="shared" si="3"/>
        <v>52973.15323048635</v>
      </c>
      <c r="H50" s="22">
        <f t="shared" si="16"/>
        <v>37309.768862484023</v>
      </c>
      <c r="I50" s="5">
        <f t="shared" si="17"/>
        <v>88566.672725296114</v>
      </c>
      <c r="J50" s="26">
        <f t="shared" si="19"/>
        <v>0.2277707596919544</v>
      </c>
      <c r="L50" s="22">
        <f t="shared" si="18"/>
        <v>139198.45702431793</v>
      </c>
      <c r="M50" s="5">
        <f>scrimecost*Meta!O47</f>
        <v>821.28499999999997</v>
      </c>
      <c r="N50" s="5">
        <f>L50-Grade11!L50</f>
        <v>3776.7514267893275</v>
      </c>
      <c r="O50" s="5">
        <f>Grade11!M50-M50</f>
        <v>41.085000000000036</v>
      </c>
      <c r="P50" s="22">
        <f t="shared" si="12"/>
        <v>497.3713979568941</v>
      </c>
      <c r="Q50" s="22"/>
      <c r="R50" s="22"/>
      <c r="S50" s="22">
        <f t="shared" si="20"/>
        <v>3548.3023116314043</v>
      </c>
      <c r="T50" s="22">
        <f t="shared" si="21"/>
        <v>952.80379735851727</v>
      </c>
    </row>
    <row r="51" spans="1:20" x14ac:dyDescent="0.2">
      <c r="A51" s="5">
        <v>60</v>
      </c>
      <c r="B51" s="1">
        <f t="shared" si="13"/>
        <v>2.8209951952084591</v>
      </c>
      <c r="C51" s="5">
        <f t="shared" si="14"/>
        <v>84982.700054738554</v>
      </c>
      <c r="D51" s="5">
        <f t="shared" si="15"/>
        <v>81791.095852220576</v>
      </c>
      <c r="E51" s="5">
        <f t="shared" si="1"/>
        <v>72291.095852220576</v>
      </c>
      <c r="F51" s="5">
        <f t="shared" si="2"/>
        <v>27683.902380972075</v>
      </c>
      <c r="G51" s="5">
        <f t="shared" si="3"/>
        <v>54107.193471248502</v>
      </c>
      <c r="H51" s="22">
        <f t="shared" si="16"/>
        <v>38242.513084046128</v>
      </c>
      <c r="I51" s="5">
        <f t="shared" si="17"/>
        <v>90590.550953428508</v>
      </c>
      <c r="J51" s="26">
        <f t="shared" si="19"/>
        <v>0.2293894538352784</v>
      </c>
      <c r="L51" s="22">
        <f t="shared" si="18"/>
        <v>142678.4184499259</v>
      </c>
      <c r="M51" s="5">
        <f>scrimecost*Meta!O48</f>
        <v>451.21199999999999</v>
      </c>
      <c r="N51" s="5">
        <f>L51-Grade11!L51</f>
        <v>3871.1702124590811</v>
      </c>
      <c r="O51" s="5">
        <f>Grade11!M51-M51</f>
        <v>22.572000000000003</v>
      </c>
      <c r="P51" s="22">
        <f t="shared" si="12"/>
        <v>510.67801827002364</v>
      </c>
      <c r="Q51" s="22"/>
      <c r="R51" s="22"/>
      <c r="S51" s="22">
        <f t="shared" si="20"/>
        <v>3618.8834456858513</v>
      </c>
      <c r="T51" s="22">
        <f t="shared" si="21"/>
        <v>941.80678526683278</v>
      </c>
    </row>
    <row r="52" spans="1:20" x14ac:dyDescent="0.2">
      <c r="A52" s="5">
        <v>61</v>
      </c>
      <c r="B52" s="1">
        <f t="shared" si="13"/>
        <v>2.8915200750886707</v>
      </c>
      <c r="C52" s="5">
        <f t="shared" si="14"/>
        <v>87107.267556107035</v>
      </c>
      <c r="D52" s="5">
        <f t="shared" si="15"/>
        <v>83817.933248526111</v>
      </c>
      <c r="E52" s="5">
        <f t="shared" si="1"/>
        <v>74317.933248526111</v>
      </c>
      <c r="F52" s="5">
        <f t="shared" si="2"/>
        <v>28548.348530496391</v>
      </c>
      <c r="G52" s="5">
        <f t="shared" si="3"/>
        <v>55269.584718029721</v>
      </c>
      <c r="H52" s="22">
        <f t="shared" si="16"/>
        <v>39198.57591114728</v>
      </c>
      <c r="I52" s="5">
        <f t="shared" si="17"/>
        <v>92665.026137264227</v>
      </c>
      <c r="J52" s="26">
        <f t="shared" si="19"/>
        <v>0.23096866763364343</v>
      </c>
      <c r="L52" s="22">
        <f t="shared" si="18"/>
        <v>146245.37891117402</v>
      </c>
      <c r="M52" s="5">
        <f>scrimecost*Meta!O49</f>
        <v>451.21199999999999</v>
      </c>
      <c r="N52" s="5">
        <f>L52-Grade11!L52</f>
        <v>3967.9494677705516</v>
      </c>
      <c r="O52" s="5">
        <f>Grade11!M52-M52</f>
        <v>22.572000000000003</v>
      </c>
      <c r="P52" s="22">
        <f t="shared" si="12"/>
        <v>524.31730409098157</v>
      </c>
      <c r="Q52" s="22"/>
      <c r="R52" s="22"/>
      <c r="S52" s="22">
        <f t="shared" si="20"/>
        <v>3709.6546341666372</v>
      </c>
      <c r="T52" s="22">
        <f t="shared" si="21"/>
        <v>935.67505647313135</v>
      </c>
    </row>
    <row r="53" spans="1:20" x14ac:dyDescent="0.2">
      <c r="A53" s="5">
        <v>62</v>
      </c>
      <c r="B53" s="1">
        <f t="shared" si="13"/>
        <v>2.9638080769658868</v>
      </c>
      <c r="C53" s="5">
        <f t="shared" si="14"/>
        <v>89284.949245009688</v>
      </c>
      <c r="D53" s="5">
        <f t="shared" si="15"/>
        <v>85895.441579739243</v>
      </c>
      <c r="E53" s="5">
        <f t="shared" si="1"/>
        <v>76395.441579739243</v>
      </c>
      <c r="F53" s="5">
        <f t="shared" si="2"/>
        <v>29434.405833758785</v>
      </c>
      <c r="G53" s="5">
        <f t="shared" si="3"/>
        <v>56461.035745980458</v>
      </c>
      <c r="H53" s="22">
        <f t="shared" si="16"/>
        <v>40178.540308925949</v>
      </c>
      <c r="I53" s="5">
        <f t="shared" si="17"/>
        <v>94791.363200695807</v>
      </c>
      <c r="J53" s="26">
        <f t="shared" si="19"/>
        <v>0.23250936402229208</v>
      </c>
      <c r="L53" s="22">
        <f t="shared" si="18"/>
        <v>149901.51338395334</v>
      </c>
      <c r="M53" s="5">
        <f>scrimecost*Meta!O50</f>
        <v>451.21199999999999</v>
      </c>
      <c r="N53" s="5">
        <f>L53-Grade11!L53</f>
        <v>4067.1482044647855</v>
      </c>
      <c r="O53" s="5">
        <f>Grade11!M53-M53</f>
        <v>22.572000000000003</v>
      </c>
      <c r="P53" s="22">
        <f t="shared" si="12"/>
        <v>538.29757205746307</v>
      </c>
      <c r="Q53" s="22"/>
      <c r="R53" s="22"/>
      <c r="S53" s="22">
        <f t="shared" si="20"/>
        <v>3802.6951023594243</v>
      </c>
      <c r="T53" s="22">
        <f t="shared" si="21"/>
        <v>929.58141496586597</v>
      </c>
    </row>
    <row r="54" spans="1:20" x14ac:dyDescent="0.2">
      <c r="A54" s="5">
        <v>63</v>
      </c>
      <c r="B54" s="1">
        <f t="shared" si="13"/>
        <v>3.0379032788900342</v>
      </c>
      <c r="C54" s="5">
        <f t="shared" si="14"/>
        <v>91517.072976134936</v>
      </c>
      <c r="D54" s="5">
        <f t="shared" si="15"/>
        <v>88024.88761923273</v>
      </c>
      <c r="E54" s="5">
        <f t="shared" si="1"/>
        <v>78524.88761923273</v>
      </c>
      <c r="F54" s="5">
        <f t="shared" si="2"/>
        <v>30342.61456960276</v>
      </c>
      <c r="G54" s="5">
        <f t="shared" si="3"/>
        <v>57682.27304962997</v>
      </c>
      <c r="H54" s="22">
        <f t="shared" si="16"/>
        <v>41183.003816649107</v>
      </c>
      <c r="I54" s="5">
        <f t="shared" si="17"/>
        <v>96970.858690713212</v>
      </c>
      <c r="J54" s="26">
        <f t="shared" si="19"/>
        <v>0.23401248245024209</v>
      </c>
      <c r="L54" s="22">
        <f t="shared" si="18"/>
        <v>153649.05121855219</v>
      </c>
      <c r="M54" s="5">
        <f>scrimecost*Meta!O51</f>
        <v>451.21199999999999</v>
      </c>
      <c r="N54" s="5">
        <f>L54-Grade11!L54</f>
        <v>4168.8269095764263</v>
      </c>
      <c r="O54" s="5">
        <f>Grade11!M54-M54</f>
        <v>22.572000000000003</v>
      </c>
      <c r="P54" s="22">
        <f t="shared" si="12"/>
        <v>552.62734672310705</v>
      </c>
      <c r="Q54" s="22"/>
      <c r="R54" s="22"/>
      <c r="S54" s="22">
        <f t="shared" si="20"/>
        <v>3898.0615822570726</v>
      </c>
      <c r="T54" s="22">
        <f t="shared" si="21"/>
        <v>923.52568138389404</v>
      </c>
    </row>
    <row r="55" spans="1:20" x14ac:dyDescent="0.2">
      <c r="A55" s="5">
        <v>64</v>
      </c>
      <c r="B55" s="1">
        <f t="shared" si="13"/>
        <v>3.1138508608622844</v>
      </c>
      <c r="C55" s="5">
        <f t="shared" si="14"/>
        <v>93804.99980053828</v>
      </c>
      <c r="D55" s="5">
        <f t="shared" si="15"/>
        <v>90207.569809713517</v>
      </c>
      <c r="E55" s="5">
        <f t="shared" si="1"/>
        <v>80707.569809713517</v>
      </c>
      <c r="F55" s="5">
        <f t="shared" si="2"/>
        <v>31273.528523842819</v>
      </c>
      <c r="G55" s="5">
        <f t="shared" si="3"/>
        <v>58934.041285870699</v>
      </c>
      <c r="H55" s="22">
        <f t="shared" si="16"/>
        <v>42212.578912065321</v>
      </c>
      <c r="I55" s="5">
        <f t="shared" si="17"/>
        <v>99204.841567981013</v>
      </c>
      <c r="J55" s="26">
        <f t="shared" si="19"/>
        <v>0.2354789394531201</v>
      </c>
      <c r="L55" s="22">
        <f t="shared" si="18"/>
        <v>157490.27749901597</v>
      </c>
      <c r="M55" s="5">
        <f>scrimecost*Meta!O52</f>
        <v>451.21199999999999</v>
      </c>
      <c r="N55" s="5">
        <f>L55-Grade11!L55</f>
        <v>4273.0475823157758</v>
      </c>
      <c r="O55" s="5">
        <f>Grade11!M55-M55</f>
        <v>22.572000000000003</v>
      </c>
      <c r="P55" s="22">
        <f t="shared" si="12"/>
        <v>567.31536575539189</v>
      </c>
      <c r="Q55" s="22"/>
      <c r="R55" s="22"/>
      <c r="S55" s="22">
        <f t="shared" si="20"/>
        <v>3995.812224152096</v>
      </c>
      <c r="T55" s="22">
        <f t="shared" si="21"/>
        <v>917.50767533954604</v>
      </c>
    </row>
    <row r="56" spans="1:20" x14ac:dyDescent="0.2">
      <c r="A56" s="5">
        <v>65</v>
      </c>
      <c r="B56" s="1">
        <f t="shared" si="13"/>
        <v>3.1916971323838421</v>
      </c>
      <c r="C56" s="5">
        <f t="shared" si="14"/>
        <v>96150.124795551761</v>
      </c>
      <c r="D56" s="5">
        <f t="shared" si="15"/>
        <v>92444.819054956388</v>
      </c>
      <c r="E56" s="5">
        <f t="shared" si="1"/>
        <v>82944.819054956388</v>
      </c>
      <c r="F56" s="5">
        <f t="shared" si="2"/>
        <v>32227.715326938898</v>
      </c>
      <c r="G56" s="5">
        <f t="shared" si="3"/>
        <v>60217.103728017493</v>
      </c>
      <c r="H56" s="22">
        <f t="shared" si="16"/>
        <v>43267.893384866962</v>
      </c>
      <c r="I56" s="5">
        <f t="shared" si="17"/>
        <v>101494.67401718057</v>
      </c>
      <c r="J56" s="26">
        <f t="shared" si="19"/>
        <v>0.23690962921202549</v>
      </c>
      <c r="L56" s="22">
        <f t="shared" si="18"/>
        <v>161427.53443649138</v>
      </c>
      <c r="M56" s="5">
        <f>scrimecost*Meta!O53</f>
        <v>142.488</v>
      </c>
      <c r="N56" s="5">
        <f>L56-Grade11!L56</f>
        <v>4379.8737718737102</v>
      </c>
      <c r="O56" s="5">
        <f>Grade11!M56-M56</f>
        <v>7.1279999999999859</v>
      </c>
      <c r="P56" s="22">
        <f t="shared" si="12"/>
        <v>582.37058526348392</v>
      </c>
      <c r="Q56" s="22"/>
      <c r="R56" s="22"/>
      <c r="S56" s="22">
        <f t="shared" si="20"/>
        <v>4081.0105080945746</v>
      </c>
      <c r="T56" s="22">
        <f t="shared" si="21"/>
        <v>908.18997110391251</v>
      </c>
    </row>
    <row r="57" spans="1:20" x14ac:dyDescent="0.2">
      <c r="A57" s="5">
        <v>66</v>
      </c>
      <c r="C57" s="5"/>
      <c r="H57" s="21"/>
      <c r="I57" s="5"/>
      <c r="M57" s="5">
        <f>scrimecost*Meta!O54</f>
        <v>142.488</v>
      </c>
      <c r="N57" s="5">
        <f>L57-Grade11!L57</f>
        <v>0</v>
      </c>
      <c r="O57" s="5">
        <f>Grade11!M57-M57</f>
        <v>7.1279999999999859</v>
      </c>
      <c r="Q57" s="22"/>
      <c r="R57" s="22"/>
      <c r="S57" s="22">
        <f t="shared" si="20"/>
        <v>6.9212879999999863</v>
      </c>
      <c r="T57" s="22">
        <f t="shared" si="21"/>
        <v>1.4927953157697127</v>
      </c>
    </row>
    <row r="58" spans="1:20" x14ac:dyDescent="0.2">
      <c r="A58" s="5">
        <v>67</v>
      </c>
      <c r="C58" s="5"/>
      <c r="H58" s="21"/>
      <c r="I58" s="5"/>
      <c r="M58" s="5">
        <f>scrimecost*Meta!O55</f>
        <v>142.488</v>
      </c>
      <c r="N58" s="5">
        <f>L58-Grade11!L58</f>
        <v>0</v>
      </c>
      <c r="O58" s="5">
        <f>Grade11!M58-M58</f>
        <v>7.1279999999999859</v>
      </c>
      <c r="Q58" s="22"/>
      <c r="R58" s="22"/>
      <c r="S58" s="22">
        <f t="shared" si="20"/>
        <v>6.9212879999999863</v>
      </c>
      <c r="T58" s="22">
        <f t="shared" si="21"/>
        <v>1.4467870659028392</v>
      </c>
    </row>
    <row r="59" spans="1:20" x14ac:dyDescent="0.2">
      <c r="A59" s="5">
        <v>68</v>
      </c>
      <c r="H59" s="21"/>
      <c r="I59" s="5"/>
      <c r="M59" s="5">
        <f>scrimecost*Meta!O56</f>
        <v>142.488</v>
      </c>
      <c r="N59" s="5">
        <f>L59-Grade11!L59</f>
        <v>0</v>
      </c>
      <c r="O59" s="5">
        <f>Grade11!M59-M59</f>
        <v>7.1279999999999859</v>
      </c>
      <c r="Q59" s="22"/>
      <c r="R59" s="22"/>
      <c r="S59" s="22">
        <f t="shared" si="20"/>
        <v>6.9212879999999863</v>
      </c>
      <c r="T59" s="22">
        <f t="shared" si="21"/>
        <v>1.4021967994885201</v>
      </c>
    </row>
    <row r="60" spans="1:20" x14ac:dyDescent="0.2">
      <c r="A60" s="5">
        <v>69</v>
      </c>
      <c r="H60" s="21"/>
      <c r="I60" s="5"/>
      <c r="M60" s="5">
        <f>scrimecost*Meta!O57</f>
        <v>142.488</v>
      </c>
      <c r="N60" s="5">
        <f>L60-Grade11!L60</f>
        <v>0</v>
      </c>
      <c r="O60" s="5">
        <f>Grade11!M60-M60</f>
        <v>7.1279999999999859</v>
      </c>
      <c r="Q60" s="22"/>
      <c r="R60" s="22"/>
      <c r="S60" s="22">
        <f t="shared" si="20"/>
        <v>6.9212879999999863</v>
      </c>
      <c r="T60" s="22">
        <f t="shared" si="21"/>
        <v>1.3589808139934598</v>
      </c>
    </row>
    <row r="61" spans="1:20" x14ac:dyDescent="0.2">
      <c r="A61" s="5">
        <v>70</v>
      </c>
      <c r="H61" s="21"/>
      <c r="I61" s="5"/>
      <c r="M61" s="5">
        <f>scrimecost*Meta!O58</f>
        <v>142.488</v>
      </c>
      <c r="N61" s="5">
        <f>L61-Grade11!L61</f>
        <v>0</v>
      </c>
      <c r="O61" s="5">
        <f>Grade11!M61-M61</f>
        <v>7.1279999999999859</v>
      </c>
      <c r="Q61" s="22"/>
      <c r="R61" s="22"/>
      <c r="S61" s="22">
        <f t="shared" si="20"/>
        <v>6.9212879999999863</v>
      </c>
      <c r="T61" s="22">
        <f t="shared" si="21"/>
        <v>1.3170967538051683</v>
      </c>
    </row>
    <row r="62" spans="1:20" x14ac:dyDescent="0.2">
      <c r="A62" s="5">
        <v>71</v>
      </c>
      <c r="H62" s="21"/>
      <c r="I62" s="5"/>
      <c r="M62" s="5">
        <f>scrimecost*Meta!O59</f>
        <v>142.488</v>
      </c>
      <c r="N62" s="5">
        <f>L62-Grade11!L62</f>
        <v>0</v>
      </c>
      <c r="O62" s="5">
        <f>Grade11!M62-M62</f>
        <v>7.1279999999999859</v>
      </c>
      <c r="Q62" s="22"/>
      <c r="R62" s="22"/>
      <c r="S62" s="22">
        <f t="shared" si="20"/>
        <v>6.9212879999999863</v>
      </c>
      <c r="T62" s="22">
        <f t="shared" si="21"/>
        <v>1.2765035687195954</v>
      </c>
    </row>
    <row r="63" spans="1:20" x14ac:dyDescent="0.2">
      <c r="A63" s="5">
        <v>72</v>
      </c>
      <c r="H63" s="21"/>
      <c r="M63" s="5">
        <f>scrimecost*Meta!O60</f>
        <v>142.488</v>
      </c>
      <c r="N63" s="5">
        <f>L63-Grade11!L63</f>
        <v>0</v>
      </c>
      <c r="O63" s="5">
        <f>Grade11!M63-M63</f>
        <v>7.1279999999999859</v>
      </c>
      <c r="Q63" s="22"/>
      <c r="R63" s="22"/>
      <c r="S63" s="22">
        <f t="shared" si="20"/>
        <v>6.9212879999999863</v>
      </c>
      <c r="T63" s="22">
        <f t="shared" si="21"/>
        <v>1.2371614737081806</v>
      </c>
    </row>
    <row r="64" spans="1:20" x14ac:dyDescent="0.2">
      <c r="A64" s="5">
        <v>73</v>
      </c>
      <c r="H64" s="21"/>
      <c r="M64" s="5">
        <f>scrimecost*Meta!O61</f>
        <v>142.488</v>
      </c>
      <c r="N64" s="5">
        <f>L64-Grade11!L64</f>
        <v>0</v>
      </c>
      <c r="O64" s="5">
        <f>Grade11!M64-M64</f>
        <v>7.1279999999999859</v>
      </c>
      <c r="Q64" s="22"/>
      <c r="R64" s="22"/>
      <c r="S64" s="22">
        <f t="shared" si="20"/>
        <v>6.9212879999999863</v>
      </c>
      <c r="T64" s="22">
        <f t="shared" si="21"/>
        <v>1.1990319099248918</v>
      </c>
    </row>
    <row r="65" spans="1:20" x14ac:dyDescent="0.2">
      <c r="A65" s="5">
        <v>74</v>
      </c>
      <c r="H65" s="21"/>
      <c r="M65" s="5">
        <f>scrimecost*Meta!O62</f>
        <v>142.488</v>
      </c>
      <c r="N65" s="5">
        <f>L65-Grade11!L65</f>
        <v>0</v>
      </c>
      <c r="O65" s="5">
        <f>Grade11!M65-M65</f>
        <v>7.1279999999999859</v>
      </c>
      <c r="Q65" s="22"/>
      <c r="R65" s="22"/>
      <c r="S65" s="22">
        <f t="shared" si="20"/>
        <v>6.9212879999999863</v>
      </c>
      <c r="T65" s="22">
        <f t="shared" si="21"/>
        <v>1.162077506915036</v>
      </c>
    </row>
    <row r="66" spans="1:20" x14ac:dyDescent="0.2">
      <c r="A66" s="5">
        <v>75</v>
      </c>
      <c r="H66" s="21"/>
      <c r="M66" s="5">
        <f>scrimecost*Meta!O63</f>
        <v>142.488</v>
      </c>
      <c r="N66" s="5">
        <f>L66-Grade11!L66</f>
        <v>0</v>
      </c>
      <c r="O66" s="5">
        <f>Grade11!M66-M66</f>
        <v>7.1279999999999859</v>
      </c>
      <c r="Q66" s="22"/>
      <c r="R66" s="22"/>
      <c r="S66" s="22">
        <f t="shared" si="20"/>
        <v>6.9212879999999863</v>
      </c>
      <c r="T66" s="22">
        <f t="shared" si="21"/>
        <v>1.1262620459887986</v>
      </c>
    </row>
    <row r="67" spans="1:20" x14ac:dyDescent="0.2">
      <c r="A67" s="5">
        <v>76</v>
      </c>
      <c r="H67" s="21"/>
      <c r="M67" s="5">
        <f>scrimecost*Meta!O64</f>
        <v>142.488</v>
      </c>
      <c r="N67" s="5">
        <f>L67-Grade11!L67</f>
        <v>0</v>
      </c>
      <c r="O67" s="5">
        <f>Grade11!M67-M67</f>
        <v>7.1279999999999859</v>
      </c>
      <c r="Q67" s="22"/>
      <c r="R67" s="22"/>
      <c r="S67" s="22">
        <f t="shared" si="20"/>
        <v>6.9212879999999863</v>
      </c>
      <c r="T67" s="22">
        <f t="shared" si="21"/>
        <v>1.0915504247236214</v>
      </c>
    </row>
    <row r="68" spans="1:20" x14ac:dyDescent="0.2">
      <c r="A68" s="5">
        <v>77</v>
      </c>
      <c r="H68" s="21"/>
      <c r="M68" s="5">
        <f>scrimecost*Meta!O65</f>
        <v>142.488</v>
      </c>
      <c r="N68" s="5">
        <f>L68-Grade11!L68</f>
        <v>0</v>
      </c>
      <c r="O68" s="5">
        <f>Grade11!M68-M68</f>
        <v>7.1279999999999859</v>
      </c>
      <c r="Q68" s="22"/>
      <c r="R68" s="22"/>
      <c r="S68" s="22">
        <f t="shared" si="20"/>
        <v>6.9212879999999863</v>
      </c>
      <c r="T68" s="22">
        <f t="shared" si="21"/>
        <v>1.0579086225606225</v>
      </c>
    </row>
    <row r="69" spans="1:20" x14ac:dyDescent="0.2">
      <c r="A69" s="5">
        <v>78</v>
      </c>
      <c r="H69" s="21"/>
      <c r="M69" s="5">
        <f>scrimecost*Meta!O66</f>
        <v>142.488</v>
      </c>
      <c r="N69" s="5">
        <f>L69-Grade11!L69</f>
        <v>0</v>
      </c>
      <c r="O69" s="5">
        <f>Grade11!M69-M69</f>
        <v>7.1279999999999859</v>
      </c>
      <c r="Q69" s="22"/>
      <c r="R69" s="22"/>
      <c r="S69" s="22">
        <f t="shared" si="20"/>
        <v>6.9212879999999863</v>
      </c>
      <c r="T69" s="22">
        <f t="shared" si="21"/>
        <v>1.0253036674613412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1.1259511323302718E-8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N10" sqref="N10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Meta!A7+6</f>
        <v>19</v>
      </c>
      <c r="C2" s="7">
        <f>Meta!B7</f>
        <v>59234</v>
      </c>
      <c r="D2" s="7">
        <f>Meta!C7</f>
        <v>26514</v>
      </c>
      <c r="E2" s="1">
        <f>Meta!D7</f>
        <v>4.4999999999999998E-2</v>
      </c>
      <c r="F2" s="1">
        <f>Meta!F7</f>
        <v>0.79500000000000004</v>
      </c>
      <c r="G2" s="1">
        <f>Meta!I7</f>
        <v>1.8652741552202943</v>
      </c>
      <c r="H2" s="1">
        <f>Meta!E7</f>
        <v>0.77500000000000002</v>
      </c>
      <c r="I2" s="13"/>
      <c r="J2" s="1">
        <f>Meta!X6</f>
        <v>0.82499999999999996</v>
      </c>
      <c r="K2" s="1">
        <f>Meta!D6</f>
        <v>4.5999999999999999E-2</v>
      </c>
      <c r="L2" s="29"/>
      <c r="N2" s="22">
        <f>Meta!T7</f>
        <v>71830</v>
      </c>
      <c r="O2" s="22">
        <f>Meta!U7</f>
        <v>31381</v>
      </c>
      <c r="P2" s="1">
        <f>Meta!V7</f>
        <v>3.6999999999999998E-2</v>
      </c>
      <c r="Q2" s="1">
        <f>Meta!X7</f>
        <v>0.83199999999999996</v>
      </c>
      <c r="R2" s="22">
        <f>Meta!W7</f>
        <v>1947</v>
      </c>
      <c r="T2" s="12">
        <f>IRR(S5:S69)+1</f>
        <v>1.0193486154560123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B9" s="1">
        <v>1</v>
      </c>
      <c r="C9" s="5">
        <f>0.1*Grade12!C9</f>
        <v>3012.5077915440661</v>
      </c>
      <c r="D9" s="5">
        <f t="shared" ref="D9:D36" si="0">IF(A9&lt;startage,1,0)*(C9*(1-initialunempprob))+IF(A9=startage,1,0)*(C9*(1-unempprob))+IF(A9&gt;startage,1,0)*(C9*(1-unempprob)+unempprob*300*52)</f>
        <v>2873.932433133039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219.85583113467749</v>
      </c>
      <c r="G9" s="5">
        <f t="shared" ref="G9:G56" si="3">D9-F9</f>
        <v>2654.0766019983616</v>
      </c>
      <c r="H9" s="22">
        <f>0.1*Grade12!H9</f>
        <v>1355.6390719488686</v>
      </c>
      <c r="I9" s="5">
        <f t="shared" ref="I9:I36" si="4">G9+IF(A9&lt;startage,1,0)*(H9*(1-initialunempprob))+IF(A9&gt;=startage,1,0)*(H9*(1-unempprob))</f>
        <v>3947.3562766375821</v>
      </c>
      <c r="J9" s="26">
        <f t="shared" ref="J9:J56" si="5">(F9-(IF(A9&gt;startage,1,0)*(unempprob*300*52)))/(IF(A9&lt;startage,1,0)*((C9+H9)*(1-initialunempprob))+IF(A9&gt;=startage,1,0)*((C9+H9)*(1-unempprob)))</f>
        <v>5.2758493076132312E-2</v>
      </c>
      <c r="L9" s="22">
        <f>0.1*Grade12!L9</f>
        <v>5057.7334797403855</v>
      </c>
      <c r="M9" s="5">
        <f>scrimecost*Meta!O6</f>
        <v>6247.9229999999998</v>
      </c>
      <c r="N9" s="5">
        <f>L9-Grade12!L9</f>
        <v>-45519.601317663473</v>
      </c>
      <c r="O9" s="5"/>
      <c r="P9" s="22"/>
      <c r="Q9" s="22">
        <f>0.05*feel*Grade12!G9</f>
        <v>310.18308912011423</v>
      </c>
      <c r="R9" s="22">
        <f>coltuition</f>
        <v>8279</v>
      </c>
      <c r="S9" s="22">
        <f t="shared" ref="S9:S40" si="6">IF(A9&lt;startage,1,0)*(N9-Q9-R9)+IF(A9&gt;=startage,1,0)*completionprob*(N9*spart+O9+P9)</f>
        <v>-54108.78440678359</v>
      </c>
      <c r="T9" s="22">
        <f t="shared" ref="T9:T40" si="7">S9/sreturn^(A9-startage+1)</f>
        <v>-54108.78440678359</v>
      </c>
    </row>
    <row r="10" spans="1:20" x14ac:dyDescent="0.2">
      <c r="A10" s="5">
        <v>19</v>
      </c>
      <c r="B10" s="1">
        <f t="shared" ref="B10:B36" si="8">(1+experiencepremium)^(A10-startage)</f>
        <v>1</v>
      </c>
      <c r="C10" s="5">
        <f t="shared" ref="C10:C36" si="9">pretaxincome*B10/expnorm</f>
        <v>31756.189745203592</v>
      </c>
      <c r="D10" s="5">
        <f t="shared" si="0"/>
        <v>30327.161206669429</v>
      </c>
      <c r="E10" s="5">
        <f t="shared" si="1"/>
        <v>20827.161206669429</v>
      </c>
      <c r="F10" s="5">
        <f t="shared" si="2"/>
        <v>7101.8181339775683</v>
      </c>
      <c r="G10" s="5">
        <f t="shared" si="3"/>
        <v>23225.34307269186</v>
      </c>
      <c r="H10" s="22">
        <f t="shared" ref="H10:H36" si="10">benefits*B10/expnorm</f>
        <v>14214.532445965628</v>
      </c>
      <c r="I10" s="5">
        <f t="shared" si="4"/>
        <v>36800.221558589037</v>
      </c>
      <c r="J10" s="26">
        <f t="shared" si="5"/>
        <v>0.16176510667179853</v>
      </c>
      <c r="L10" s="22">
        <f t="shared" ref="L10:L36" si="11">(sincome+sbenefits)*(1-sunemp)*B10/expnorm</f>
        <v>53285.56808758308</v>
      </c>
      <c r="M10" s="5">
        <f>scrimecost*Meta!O7</f>
        <v>6629.5349999999999</v>
      </c>
      <c r="N10" s="5">
        <f>L10-Grade12!L10</f>
        <v>1443.7999202441351</v>
      </c>
      <c r="O10" s="5">
        <f>Grade12!M10-M10</f>
        <v>108.96000000000004</v>
      </c>
      <c r="P10" s="22">
        <f t="shared" ref="P10:P56" si="12">(spart-initialspart)*(L10*J10+nptrans)</f>
        <v>106.21621924028692</v>
      </c>
      <c r="Q10" s="22"/>
      <c r="R10" s="22"/>
      <c r="S10" s="22">
        <f t="shared" si="6"/>
        <v>1097.7237584846407</v>
      </c>
      <c r="T10" s="22">
        <f t="shared" si="7"/>
        <v>1076.8874768065161</v>
      </c>
    </row>
    <row r="11" spans="1:20" x14ac:dyDescent="0.2">
      <c r="A11" s="5">
        <v>20</v>
      </c>
      <c r="B11" s="1">
        <f t="shared" si="8"/>
        <v>1.0249999999999999</v>
      </c>
      <c r="C11" s="5">
        <f t="shared" si="9"/>
        <v>32550.094488833674</v>
      </c>
      <c r="D11" s="5">
        <f t="shared" si="0"/>
        <v>31787.340236836157</v>
      </c>
      <c r="E11" s="5">
        <f t="shared" si="1"/>
        <v>22287.340236836157</v>
      </c>
      <c r="F11" s="5">
        <f t="shared" si="2"/>
        <v>7578.5665873270045</v>
      </c>
      <c r="G11" s="5">
        <f t="shared" si="3"/>
        <v>24208.773649509152</v>
      </c>
      <c r="H11" s="22">
        <f t="shared" si="10"/>
        <v>14569.895757114768</v>
      </c>
      <c r="I11" s="5">
        <f t="shared" si="4"/>
        <v>38123.024097553753</v>
      </c>
      <c r="J11" s="26">
        <f t="shared" si="5"/>
        <v>0.152813980808884</v>
      </c>
      <c r="L11" s="22">
        <f t="shared" si="11"/>
        <v>54617.707289772647</v>
      </c>
      <c r="M11" s="5">
        <f>scrimecost*Meta!O8</f>
        <v>6362.7959999999994</v>
      </c>
      <c r="N11" s="5">
        <f>L11-Grade12!L11</f>
        <v>1479.8949182502256</v>
      </c>
      <c r="O11" s="5">
        <f>Grade12!M11-M11</f>
        <v>104.57600000000002</v>
      </c>
      <c r="P11" s="22">
        <f t="shared" si="12"/>
        <v>104.30244491523202</v>
      </c>
      <c r="Q11" s="22"/>
      <c r="R11" s="22"/>
      <c r="S11" s="22">
        <f t="shared" si="6"/>
        <v>1116.1170380970502</v>
      </c>
      <c r="T11" s="22">
        <f t="shared" si="7"/>
        <v>1074.1483438459979</v>
      </c>
    </row>
    <row r="12" spans="1:20" x14ac:dyDescent="0.2">
      <c r="A12" s="5">
        <v>21</v>
      </c>
      <c r="B12" s="1">
        <f t="shared" si="8"/>
        <v>1.0506249999999999</v>
      </c>
      <c r="C12" s="5">
        <f t="shared" si="9"/>
        <v>33363.846851054521</v>
      </c>
      <c r="D12" s="5">
        <f t="shared" si="0"/>
        <v>32564.473742757065</v>
      </c>
      <c r="E12" s="5">
        <f t="shared" si="1"/>
        <v>23064.473742757065</v>
      </c>
      <c r="F12" s="5">
        <f t="shared" si="2"/>
        <v>7832.300677010182</v>
      </c>
      <c r="G12" s="5">
        <f t="shared" si="3"/>
        <v>24732.173065746883</v>
      </c>
      <c r="H12" s="22">
        <f t="shared" si="10"/>
        <v>14934.143151042637</v>
      </c>
      <c r="I12" s="5">
        <f t="shared" si="4"/>
        <v>38994.279774992603</v>
      </c>
      <c r="J12" s="26">
        <f t="shared" si="5"/>
        <v>0.15458787065673085</v>
      </c>
      <c r="L12" s="22">
        <f t="shared" si="11"/>
        <v>55983.149972016967</v>
      </c>
      <c r="M12" s="5">
        <f>scrimecost*Meta!O9</f>
        <v>5862.4170000000004</v>
      </c>
      <c r="N12" s="5">
        <f>L12-Grade12!L12</f>
        <v>1516.8922912064882</v>
      </c>
      <c r="O12" s="5">
        <f>Grade12!M12-M12</f>
        <v>96.351999999999862</v>
      </c>
      <c r="P12" s="22">
        <f t="shared" si="12"/>
        <v>106.45821162781377</v>
      </c>
      <c r="Q12" s="22"/>
      <c r="R12" s="22"/>
      <c r="S12" s="22">
        <f t="shared" si="6"/>
        <v>1135.2700633814991</v>
      </c>
      <c r="T12" s="22">
        <f t="shared" si="7"/>
        <v>1071.842500779167</v>
      </c>
    </row>
    <row r="13" spans="1:20" x14ac:dyDescent="0.2">
      <c r="A13" s="5">
        <v>22</v>
      </c>
      <c r="B13" s="1">
        <f t="shared" si="8"/>
        <v>1.0768906249999999</v>
      </c>
      <c r="C13" s="5">
        <f t="shared" si="9"/>
        <v>34197.943022330881</v>
      </c>
      <c r="D13" s="5">
        <f t="shared" si="0"/>
        <v>33361.03558632599</v>
      </c>
      <c r="E13" s="5">
        <f t="shared" si="1"/>
        <v>23861.03558632599</v>
      </c>
      <c r="F13" s="5">
        <f t="shared" si="2"/>
        <v>8092.3781189354359</v>
      </c>
      <c r="G13" s="5">
        <f t="shared" si="3"/>
        <v>25268.657467390556</v>
      </c>
      <c r="H13" s="22">
        <f t="shared" si="10"/>
        <v>15307.496729818702</v>
      </c>
      <c r="I13" s="5">
        <f t="shared" si="4"/>
        <v>39887.316844367415</v>
      </c>
      <c r="J13" s="26">
        <f t="shared" si="5"/>
        <v>0.15631849489853258</v>
      </c>
      <c r="L13" s="22">
        <f t="shared" si="11"/>
        <v>57382.728721317391</v>
      </c>
      <c r="M13" s="5">
        <f>scrimecost*Meta!O10</f>
        <v>5346.4620000000004</v>
      </c>
      <c r="N13" s="5">
        <f>L13-Grade12!L13</f>
        <v>1554.8145984866642</v>
      </c>
      <c r="O13" s="5">
        <f>Grade12!M13-M13</f>
        <v>87.871999999999389</v>
      </c>
      <c r="P13" s="22">
        <f t="shared" si="12"/>
        <v>108.66787250821002</v>
      </c>
      <c r="Q13" s="22"/>
      <c r="R13" s="22"/>
      <c r="S13" s="22">
        <f t="shared" si="6"/>
        <v>1154.8628542980634</v>
      </c>
      <c r="T13" s="22">
        <f t="shared" si="7"/>
        <v>1069.6445019081832</v>
      </c>
    </row>
    <row r="14" spans="1:20" x14ac:dyDescent="0.2">
      <c r="A14" s="5">
        <v>23</v>
      </c>
      <c r="B14" s="1">
        <f t="shared" si="8"/>
        <v>1.1038128906249998</v>
      </c>
      <c r="C14" s="5">
        <f t="shared" si="9"/>
        <v>35052.891597889153</v>
      </c>
      <c r="D14" s="5">
        <f t="shared" si="0"/>
        <v>34177.511475984138</v>
      </c>
      <c r="E14" s="5">
        <f t="shared" si="1"/>
        <v>24677.511475984138</v>
      </c>
      <c r="F14" s="5">
        <f t="shared" si="2"/>
        <v>8358.9574969088208</v>
      </c>
      <c r="G14" s="5">
        <f t="shared" si="3"/>
        <v>25818.553979075317</v>
      </c>
      <c r="H14" s="22">
        <f t="shared" si="10"/>
        <v>15690.184148064167</v>
      </c>
      <c r="I14" s="5">
        <f t="shared" si="4"/>
        <v>40802.679840476594</v>
      </c>
      <c r="J14" s="26">
        <f t="shared" si="5"/>
        <v>0.1580069087929733</v>
      </c>
      <c r="L14" s="22">
        <f t="shared" si="11"/>
        <v>58817.296939350323</v>
      </c>
      <c r="M14" s="5">
        <f>scrimecost*Meta!O11</f>
        <v>4984.32</v>
      </c>
      <c r="N14" s="5">
        <f>L14-Grade12!L14</f>
        <v>1593.6849634488244</v>
      </c>
      <c r="O14" s="5">
        <f>Grade12!M14-M14</f>
        <v>81.920000000000073</v>
      </c>
      <c r="P14" s="22">
        <f t="shared" si="12"/>
        <v>110.93277491061617</v>
      </c>
      <c r="Q14" s="22"/>
      <c r="R14" s="22"/>
      <c r="S14" s="22">
        <f t="shared" si="6"/>
        <v>1177.0689649875296</v>
      </c>
      <c r="T14" s="22">
        <f t="shared" si="7"/>
        <v>1069.5183056128892</v>
      </c>
    </row>
    <row r="15" spans="1:20" x14ac:dyDescent="0.2">
      <c r="A15" s="5">
        <v>24</v>
      </c>
      <c r="B15" s="1">
        <f t="shared" si="8"/>
        <v>1.1314082128906247</v>
      </c>
      <c r="C15" s="5">
        <f t="shared" si="9"/>
        <v>35929.213887836377</v>
      </c>
      <c r="D15" s="5">
        <f t="shared" si="0"/>
        <v>35014.399262883737</v>
      </c>
      <c r="E15" s="5">
        <f t="shared" si="1"/>
        <v>25514.399262883737</v>
      </c>
      <c r="F15" s="5">
        <f t="shared" si="2"/>
        <v>8632.2013593315405</v>
      </c>
      <c r="G15" s="5">
        <f t="shared" si="3"/>
        <v>26382.197903552194</v>
      </c>
      <c r="H15" s="22">
        <f t="shared" si="10"/>
        <v>16082.438751765771</v>
      </c>
      <c r="I15" s="5">
        <f t="shared" si="4"/>
        <v>41740.926911488503</v>
      </c>
      <c r="J15" s="26">
        <f t="shared" si="5"/>
        <v>0.15965414186072033</v>
      </c>
      <c r="L15" s="22">
        <f t="shared" si="11"/>
        <v>60287.72936283407</v>
      </c>
      <c r="M15" s="5">
        <f>scrimecost*Meta!O12</f>
        <v>4754.5740000000005</v>
      </c>
      <c r="N15" s="5">
        <f>L15-Grade12!L15</f>
        <v>1633.5270875350398</v>
      </c>
      <c r="O15" s="5">
        <f>Grade12!M15-M15</f>
        <v>78.144000000000233</v>
      </c>
      <c r="P15" s="22">
        <f t="shared" si="12"/>
        <v>113.25429987308247</v>
      </c>
      <c r="Q15" s="22"/>
      <c r="R15" s="22"/>
      <c r="S15" s="22">
        <f t="shared" si="6"/>
        <v>1201.6319484442326</v>
      </c>
      <c r="T15" s="22">
        <f t="shared" si="7"/>
        <v>1071.1123885723059</v>
      </c>
    </row>
    <row r="16" spans="1:20" x14ac:dyDescent="0.2">
      <c r="A16" s="5">
        <v>25</v>
      </c>
      <c r="B16" s="1">
        <f t="shared" si="8"/>
        <v>1.1596934182128902</v>
      </c>
      <c r="C16" s="5">
        <f t="shared" si="9"/>
        <v>36827.444235032279</v>
      </c>
      <c r="D16" s="5">
        <f t="shared" si="0"/>
        <v>35872.209244455822</v>
      </c>
      <c r="E16" s="5">
        <f t="shared" si="1"/>
        <v>26372.209244455822</v>
      </c>
      <c r="F16" s="5">
        <f t="shared" si="2"/>
        <v>8912.2763183148254</v>
      </c>
      <c r="G16" s="5">
        <f t="shared" si="3"/>
        <v>26959.932926140995</v>
      </c>
      <c r="H16" s="22">
        <f t="shared" si="10"/>
        <v>16484.499720559914</v>
      </c>
      <c r="I16" s="5">
        <f t="shared" si="4"/>
        <v>42702.630159275708</v>
      </c>
      <c r="J16" s="26">
        <f t="shared" si="5"/>
        <v>0.16126119851218082</v>
      </c>
      <c r="L16" s="22">
        <f t="shared" si="11"/>
        <v>61794.922596904915</v>
      </c>
      <c r="M16" s="5">
        <f>scrimecost*Meta!O13</f>
        <v>3958.2509999999997</v>
      </c>
      <c r="N16" s="5">
        <f>L16-Grade12!L16</f>
        <v>1674.3652647234048</v>
      </c>
      <c r="O16" s="5">
        <f>Grade12!M16-M16</f>
        <v>65.05600000000004</v>
      </c>
      <c r="P16" s="22">
        <f t="shared" si="12"/>
        <v>115.63386295961043</v>
      </c>
      <c r="Q16" s="22"/>
      <c r="R16" s="22"/>
      <c r="S16" s="22">
        <f t="shared" si="6"/>
        <v>1219.6653664873495</v>
      </c>
      <c r="T16" s="22">
        <f t="shared" si="7"/>
        <v>1066.5507617424919</v>
      </c>
    </row>
    <row r="17" spans="1:20" x14ac:dyDescent="0.2">
      <c r="A17" s="5">
        <v>26</v>
      </c>
      <c r="B17" s="1">
        <f t="shared" si="8"/>
        <v>1.1886857536682125</v>
      </c>
      <c r="C17" s="5">
        <f t="shared" si="9"/>
        <v>37748.130340908087</v>
      </c>
      <c r="D17" s="5">
        <f t="shared" si="0"/>
        <v>36751.46447556722</v>
      </c>
      <c r="E17" s="5">
        <f t="shared" si="1"/>
        <v>27251.46447556722</v>
      </c>
      <c r="F17" s="5">
        <f t="shared" si="2"/>
        <v>9199.3531512726968</v>
      </c>
      <c r="G17" s="5">
        <f t="shared" si="3"/>
        <v>27552.111324294521</v>
      </c>
      <c r="H17" s="22">
        <f t="shared" si="10"/>
        <v>16896.612213573913</v>
      </c>
      <c r="I17" s="5">
        <f t="shared" si="4"/>
        <v>43688.375988257605</v>
      </c>
      <c r="J17" s="26">
        <f t="shared" si="5"/>
        <v>0.16282905865994721</v>
      </c>
      <c r="L17" s="22">
        <f t="shared" si="11"/>
        <v>63339.795661827542</v>
      </c>
      <c r="M17" s="5">
        <f>scrimecost*Meta!O14</f>
        <v>3958.2509999999997</v>
      </c>
      <c r="N17" s="5">
        <f>L17-Grade12!L17</f>
        <v>1716.2243963415021</v>
      </c>
      <c r="O17" s="5">
        <f>Grade12!M17-M17</f>
        <v>65.05600000000004</v>
      </c>
      <c r="P17" s="22">
        <f t="shared" si="12"/>
        <v>118.07291512330161</v>
      </c>
      <c r="Q17" s="22"/>
      <c r="R17" s="22"/>
      <c r="S17" s="22">
        <f t="shared" si="6"/>
        <v>1248.5463999815593</v>
      </c>
      <c r="T17" s="22">
        <f t="shared" si="7"/>
        <v>1071.0821651056833</v>
      </c>
    </row>
    <row r="18" spans="1:20" x14ac:dyDescent="0.2">
      <c r="A18" s="5">
        <v>27</v>
      </c>
      <c r="B18" s="1">
        <f t="shared" si="8"/>
        <v>1.2184028975099177</v>
      </c>
      <c r="C18" s="5">
        <f t="shared" si="9"/>
        <v>38691.833599430793</v>
      </c>
      <c r="D18" s="5">
        <f t="shared" si="0"/>
        <v>37652.701087456408</v>
      </c>
      <c r="E18" s="5">
        <f t="shared" si="1"/>
        <v>28152.701087456408</v>
      </c>
      <c r="F18" s="5">
        <f t="shared" si="2"/>
        <v>9493.6069050545175</v>
      </c>
      <c r="G18" s="5">
        <f t="shared" si="3"/>
        <v>28159.094182401888</v>
      </c>
      <c r="H18" s="22">
        <f t="shared" si="10"/>
        <v>17319.027518913259</v>
      </c>
      <c r="I18" s="5">
        <f t="shared" si="4"/>
        <v>44698.765462964046</v>
      </c>
      <c r="J18" s="26">
        <f t="shared" si="5"/>
        <v>0.16435867831630471</v>
      </c>
      <c r="L18" s="22">
        <f t="shared" si="11"/>
        <v>64923.290553373234</v>
      </c>
      <c r="M18" s="5">
        <f>scrimecost*Meta!O15</f>
        <v>3958.2509999999997</v>
      </c>
      <c r="N18" s="5">
        <f>L18-Grade12!L18</f>
        <v>1759.1300062500522</v>
      </c>
      <c r="O18" s="5">
        <f>Grade12!M18-M18</f>
        <v>65.05600000000004</v>
      </c>
      <c r="P18" s="22">
        <f t="shared" si="12"/>
        <v>120.57294359108512</v>
      </c>
      <c r="Q18" s="22"/>
      <c r="R18" s="22"/>
      <c r="S18" s="22">
        <f t="shared" si="6"/>
        <v>1278.1494593131247</v>
      </c>
      <c r="T18" s="22">
        <f t="shared" si="7"/>
        <v>1075.6649171489021</v>
      </c>
    </row>
    <row r="19" spans="1:20" x14ac:dyDescent="0.2">
      <c r="A19" s="5">
        <v>28</v>
      </c>
      <c r="B19" s="1">
        <f t="shared" si="8"/>
        <v>1.2488629699476654</v>
      </c>
      <c r="C19" s="5">
        <f t="shared" si="9"/>
        <v>39659.12943941656</v>
      </c>
      <c r="D19" s="5">
        <f t="shared" si="0"/>
        <v>38576.468614642814</v>
      </c>
      <c r="E19" s="5">
        <f t="shared" si="1"/>
        <v>29076.468614642814</v>
      </c>
      <c r="F19" s="5">
        <f t="shared" si="2"/>
        <v>9795.2170026808781</v>
      </c>
      <c r="G19" s="5">
        <f t="shared" si="3"/>
        <v>28781.251611961936</v>
      </c>
      <c r="H19" s="22">
        <f t="shared" si="10"/>
        <v>17752.003206886086</v>
      </c>
      <c r="I19" s="5">
        <f t="shared" si="4"/>
        <v>45734.414674538144</v>
      </c>
      <c r="J19" s="26">
        <f t="shared" si="5"/>
        <v>0.16585099017616559</v>
      </c>
      <c r="L19" s="22">
        <f t="shared" si="11"/>
        <v>66546.37281720755</v>
      </c>
      <c r="M19" s="5">
        <f>scrimecost*Meta!O16</f>
        <v>3958.2509999999997</v>
      </c>
      <c r="N19" s="5">
        <f>L19-Grade12!L19</f>
        <v>1803.108256406289</v>
      </c>
      <c r="O19" s="5">
        <f>Grade12!M19-M19</f>
        <v>65.05600000000004</v>
      </c>
      <c r="P19" s="22">
        <f t="shared" si="12"/>
        <v>123.13547277056311</v>
      </c>
      <c r="Q19" s="22"/>
      <c r="R19" s="22"/>
      <c r="S19" s="22">
        <f t="shared" si="6"/>
        <v>1308.4925951279615</v>
      </c>
      <c r="T19" s="22">
        <f t="shared" si="7"/>
        <v>1080.298804748865</v>
      </c>
    </row>
    <row r="20" spans="1:20" x14ac:dyDescent="0.2">
      <c r="A20" s="5">
        <v>29</v>
      </c>
      <c r="B20" s="1">
        <f t="shared" si="8"/>
        <v>1.2800845441963571</v>
      </c>
      <c r="C20" s="5">
        <f t="shared" si="9"/>
        <v>40650.607675401967</v>
      </c>
      <c r="D20" s="5">
        <f t="shared" si="0"/>
        <v>39523.330330008874</v>
      </c>
      <c r="E20" s="5">
        <f t="shared" si="1"/>
        <v>30023.330330008874</v>
      </c>
      <c r="F20" s="5">
        <f t="shared" si="2"/>
        <v>10104.367352747897</v>
      </c>
      <c r="G20" s="5">
        <f t="shared" si="3"/>
        <v>29418.962977260977</v>
      </c>
      <c r="H20" s="22">
        <f t="shared" si="10"/>
        <v>18195.803287058239</v>
      </c>
      <c r="I20" s="5">
        <f t="shared" si="4"/>
        <v>46795.955116401594</v>
      </c>
      <c r="J20" s="26">
        <f t="shared" si="5"/>
        <v>0.16730690418578595</v>
      </c>
      <c r="L20" s="22">
        <f t="shared" si="11"/>
        <v>68210.03213763774</v>
      </c>
      <c r="M20" s="5">
        <f>scrimecost*Meta!O17</f>
        <v>3958.2509999999997</v>
      </c>
      <c r="N20" s="5">
        <f>L20-Grade12!L20</f>
        <v>1848.185962816453</v>
      </c>
      <c r="O20" s="5">
        <f>Grade12!M20-M20</f>
        <v>65.05600000000004</v>
      </c>
      <c r="P20" s="22">
        <f t="shared" si="12"/>
        <v>125.76206517952807</v>
      </c>
      <c r="Q20" s="22"/>
      <c r="R20" s="22"/>
      <c r="S20" s="22">
        <f t="shared" si="6"/>
        <v>1339.5943093381829</v>
      </c>
      <c r="T20" s="22">
        <f t="shared" si="7"/>
        <v>1084.9836230497847</v>
      </c>
    </row>
    <row r="21" spans="1:20" x14ac:dyDescent="0.2">
      <c r="A21" s="5">
        <v>30</v>
      </c>
      <c r="B21" s="1">
        <f t="shared" si="8"/>
        <v>1.312086657801266</v>
      </c>
      <c r="C21" s="5">
        <f t="shared" si="9"/>
        <v>41666.87286728702</v>
      </c>
      <c r="D21" s="5">
        <f t="shared" si="0"/>
        <v>40493.863588259104</v>
      </c>
      <c r="E21" s="5">
        <f t="shared" si="1"/>
        <v>30993.863588259104</v>
      </c>
      <c r="F21" s="5">
        <f t="shared" si="2"/>
        <v>10421.246461566598</v>
      </c>
      <c r="G21" s="5">
        <f t="shared" si="3"/>
        <v>30072.617126692508</v>
      </c>
      <c r="H21" s="22">
        <f t="shared" si="10"/>
        <v>18650.698369234695</v>
      </c>
      <c r="I21" s="5">
        <f t="shared" si="4"/>
        <v>47884.034069311645</v>
      </c>
      <c r="J21" s="26">
        <f t="shared" si="5"/>
        <v>0.16872730809761077</v>
      </c>
      <c r="L21" s="22">
        <f t="shared" si="11"/>
        <v>69915.28294107868</v>
      </c>
      <c r="M21" s="5">
        <f>scrimecost*Meta!O18</f>
        <v>3261.2249999999999</v>
      </c>
      <c r="N21" s="5">
        <f>L21-Grade12!L21</f>
        <v>1894.3906118868617</v>
      </c>
      <c r="O21" s="5">
        <f>Grade12!M21-M21</f>
        <v>53.600000000000364</v>
      </c>
      <c r="P21" s="22">
        <f t="shared" si="12"/>
        <v>128.45432239871721</v>
      </c>
      <c r="Q21" s="22"/>
      <c r="R21" s="22"/>
      <c r="S21" s="22">
        <f t="shared" si="6"/>
        <v>1362.5951664036547</v>
      </c>
      <c r="T21" s="22">
        <f t="shared" si="7"/>
        <v>1082.6647464561458</v>
      </c>
    </row>
    <row r="22" spans="1:20" x14ac:dyDescent="0.2">
      <c r="A22" s="5">
        <v>31</v>
      </c>
      <c r="B22" s="1">
        <f t="shared" si="8"/>
        <v>1.3448888242462975</v>
      </c>
      <c r="C22" s="5">
        <f t="shared" si="9"/>
        <v>42708.544688969181</v>
      </c>
      <c r="D22" s="5">
        <f t="shared" si="0"/>
        <v>41488.660177965568</v>
      </c>
      <c r="E22" s="5">
        <f t="shared" si="1"/>
        <v>31988.660177965568</v>
      </c>
      <c r="F22" s="5">
        <f t="shared" si="2"/>
        <v>10746.047548105758</v>
      </c>
      <c r="G22" s="5">
        <f t="shared" si="3"/>
        <v>30742.61262985981</v>
      </c>
      <c r="H22" s="22">
        <f t="shared" si="10"/>
        <v>19116.965828465563</v>
      </c>
      <c r="I22" s="5">
        <f t="shared" si="4"/>
        <v>48999.314996044421</v>
      </c>
      <c r="J22" s="26">
        <f t="shared" si="5"/>
        <v>0.17011306801158618</v>
      </c>
      <c r="L22" s="22">
        <f t="shared" si="11"/>
        <v>71663.165014605649</v>
      </c>
      <c r="M22" s="5">
        <f>scrimecost*Meta!O19</f>
        <v>3261.2249999999999</v>
      </c>
      <c r="N22" s="5">
        <f>L22-Grade12!L22</f>
        <v>1941.750377184042</v>
      </c>
      <c r="O22" s="5">
        <f>Grade12!M22-M22</f>
        <v>53.600000000000364</v>
      </c>
      <c r="P22" s="22">
        <f t="shared" si="12"/>
        <v>131.21388604838606</v>
      </c>
      <c r="Q22" s="22"/>
      <c r="R22" s="22"/>
      <c r="S22" s="22">
        <f t="shared" si="6"/>
        <v>1395.2714048957696</v>
      </c>
      <c r="T22" s="22">
        <f t="shared" si="7"/>
        <v>1087.584746597995</v>
      </c>
    </row>
    <row r="23" spans="1:20" x14ac:dyDescent="0.2">
      <c r="A23" s="5">
        <v>32</v>
      </c>
      <c r="B23" s="1">
        <f t="shared" si="8"/>
        <v>1.3785110448524549</v>
      </c>
      <c r="C23" s="5">
        <f t="shared" si="9"/>
        <v>43776.25830619342</v>
      </c>
      <c r="D23" s="5">
        <f t="shared" si="0"/>
        <v>42508.326682414714</v>
      </c>
      <c r="E23" s="5">
        <f t="shared" si="1"/>
        <v>33008.326682414714</v>
      </c>
      <c r="F23" s="5">
        <f t="shared" si="2"/>
        <v>11078.968661808405</v>
      </c>
      <c r="G23" s="5">
        <f t="shared" si="3"/>
        <v>31429.358020606309</v>
      </c>
      <c r="H23" s="22">
        <f t="shared" si="10"/>
        <v>19594.8899741772</v>
      </c>
      <c r="I23" s="5">
        <f t="shared" si="4"/>
        <v>50142.477945945531</v>
      </c>
      <c r="J23" s="26">
        <f t="shared" si="5"/>
        <v>0.17146502890326951</v>
      </c>
      <c r="L23" s="22">
        <f t="shared" si="11"/>
        <v>73454.744139970775</v>
      </c>
      <c r="M23" s="5">
        <f>scrimecost*Meta!O20</f>
        <v>3261.2249999999999</v>
      </c>
      <c r="N23" s="5">
        <f>L23-Grade12!L23</f>
        <v>1990.2941366136365</v>
      </c>
      <c r="O23" s="5">
        <f>Grade12!M23-M23</f>
        <v>53.600000000000364</v>
      </c>
      <c r="P23" s="22">
        <f t="shared" si="12"/>
        <v>134.0424387892966</v>
      </c>
      <c r="Q23" s="22"/>
      <c r="R23" s="22"/>
      <c r="S23" s="22">
        <f t="shared" si="6"/>
        <v>1428.764549350178</v>
      </c>
      <c r="T23" s="22">
        <f t="shared" si="7"/>
        <v>1092.5525695036574</v>
      </c>
    </row>
    <row r="24" spans="1:20" x14ac:dyDescent="0.2">
      <c r="A24" s="5">
        <v>33</v>
      </c>
      <c r="B24" s="1">
        <f t="shared" si="8"/>
        <v>1.4129738209737661</v>
      </c>
      <c r="C24" s="5">
        <f t="shared" si="9"/>
        <v>44870.664763848246</v>
      </c>
      <c r="D24" s="5">
        <f t="shared" si="0"/>
        <v>43553.484849475077</v>
      </c>
      <c r="E24" s="5">
        <f t="shared" si="1"/>
        <v>34053.484849475077</v>
      </c>
      <c r="F24" s="5">
        <f t="shared" si="2"/>
        <v>11420.212803353612</v>
      </c>
      <c r="G24" s="5">
        <f t="shared" si="3"/>
        <v>32133.272046121463</v>
      </c>
      <c r="H24" s="22">
        <f t="shared" si="10"/>
        <v>20084.762223531627</v>
      </c>
      <c r="I24" s="5">
        <f t="shared" si="4"/>
        <v>51314.219969594167</v>
      </c>
      <c r="J24" s="26">
        <f t="shared" si="5"/>
        <v>0.17278401513905808</v>
      </c>
      <c r="L24" s="22">
        <f t="shared" si="11"/>
        <v>75291.112743470047</v>
      </c>
      <c r="M24" s="5">
        <f>scrimecost*Meta!O21</f>
        <v>3261.2249999999999</v>
      </c>
      <c r="N24" s="5">
        <f>L24-Grade12!L24</f>
        <v>2040.0514900289563</v>
      </c>
      <c r="O24" s="5">
        <f>Grade12!M24-M24</f>
        <v>53.600000000000364</v>
      </c>
      <c r="P24" s="22">
        <f t="shared" si="12"/>
        <v>136.94170534872993</v>
      </c>
      <c r="Q24" s="22"/>
      <c r="R24" s="22"/>
      <c r="S24" s="22">
        <f t="shared" si="6"/>
        <v>1463.0950224159371</v>
      </c>
      <c r="T24" s="22">
        <f t="shared" si="7"/>
        <v>1097.5680903223381</v>
      </c>
    </row>
    <row r="25" spans="1:20" x14ac:dyDescent="0.2">
      <c r="A25" s="5">
        <v>34</v>
      </c>
      <c r="B25" s="1">
        <f t="shared" si="8"/>
        <v>1.4482981664981105</v>
      </c>
      <c r="C25" s="5">
        <f t="shared" si="9"/>
        <v>45992.431382944458</v>
      </c>
      <c r="D25" s="5">
        <f t="shared" si="0"/>
        <v>44624.771970711954</v>
      </c>
      <c r="E25" s="5">
        <f t="shared" si="1"/>
        <v>35124.771970711954</v>
      </c>
      <c r="F25" s="5">
        <f t="shared" si="2"/>
        <v>11832.465245508649</v>
      </c>
      <c r="G25" s="5">
        <f t="shared" si="3"/>
        <v>32792.306725203307</v>
      </c>
      <c r="H25" s="22">
        <f t="shared" si="10"/>
        <v>20586.88127911992</v>
      </c>
      <c r="I25" s="5">
        <f t="shared" si="4"/>
        <v>52452.778346762832</v>
      </c>
      <c r="J25" s="26">
        <f t="shared" si="5"/>
        <v>0.17505343572723231</v>
      </c>
      <c r="L25" s="22">
        <f t="shared" si="11"/>
        <v>77173.390562056797</v>
      </c>
      <c r="M25" s="5">
        <f>scrimecost*Meta!O22</f>
        <v>3261.2249999999999</v>
      </c>
      <c r="N25" s="5">
        <f>L25-Grade12!L25</f>
        <v>2091.0527772796922</v>
      </c>
      <c r="O25" s="5">
        <f>Grade12!M25-M25</f>
        <v>53.600000000000364</v>
      </c>
      <c r="P25" s="22">
        <f t="shared" si="12"/>
        <v>140.44427015225335</v>
      </c>
      <c r="Q25" s="22"/>
      <c r="R25" s="22"/>
      <c r="S25" s="22">
        <f t="shared" si="6"/>
        <v>1498.6951401579422</v>
      </c>
      <c r="T25" s="22">
        <f t="shared" si="7"/>
        <v>1102.933939681343</v>
      </c>
    </row>
    <row r="26" spans="1:20" x14ac:dyDescent="0.2">
      <c r="A26" s="5">
        <v>35</v>
      </c>
      <c r="B26" s="1">
        <f t="shared" si="8"/>
        <v>1.4845056206605631</v>
      </c>
      <c r="C26" s="5">
        <f t="shared" si="9"/>
        <v>47142.242167518067</v>
      </c>
      <c r="D26" s="5">
        <f t="shared" si="0"/>
        <v>45722.841269979755</v>
      </c>
      <c r="E26" s="5">
        <f t="shared" si="1"/>
        <v>36222.841269979755</v>
      </c>
      <c r="F26" s="5">
        <f t="shared" si="2"/>
        <v>12300.791801646366</v>
      </c>
      <c r="G26" s="5">
        <f t="shared" si="3"/>
        <v>33422.049468333389</v>
      </c>
      <c r="H26" s="22">
        <f t="shared" si="10"/>
        <v>21101.553311097916</v>
      </c>
      <c r="I26" s="5">
        <f t="shared" si="4"/>
        <v>53574.0328804319</v>
      </c>
      <c r="J26" s="26">
        <f t="shared" si="5"/>
        <v>0.17796975745990481</v>
      </c>
      <c r="L26" s="22">
        <f t="shared" si="11"/>
        <v>79102.725326108208</v>
      </c>
      <c r="M26" s="5">
        <f>scrimecost*Meta!O23</f>
        <v>2464.902</v>
      </c>
      <c r="N26" s="5">
        <f>L26-Grade12!L26</f>
        <v>2143.3290967116918</v>
      </c>
      <c r="O26" s="5">
        <f>Grade12!M26-M26</f>
        <v>40.512000000000171</v>
      </c>
      <c r="P26" s="22">
        <f t="shared" si="12"/>
        <v>144.42324988493476</v>
      </c>
      <c r="Q26" s="22"/>
      <c r="R26" s="22"/>
      <c r="S26" s="22">
        <f t="shared" si="6"/>
        <v>1525.3434202205233</v>
      </c>
      <c r="T26" s="22">
        <f t="shared" si="7"/>
        <v>1101.2377685416707</v>
      </c>
    </row>
    <row r="27" spans="1:20" x14ac:dyDescent="0.2">
      <c r="A27" s="5">
        <v>36</v>
      </c>
      <c r="B27" s="1">
        <f t="shared" si="8"/>
        <v>1.521618261177077</v>
      </c>
      <c r="C27" s="5">
        <f t="shared" si="9"/>
        <v>48320.798221706013</v>
      </c>
      <c r="D27" s="5">
        <f t="shared" si="0"/>
        <v>46848.362301729241</v>
      </c>
      <c r="E27" s="5">
        <f t="shared" si="1"/>
        <v>37348.362301729241</v>
      </c>
      <c r="F27" s="5">
        <f t="shared" si="2"/>
        <v>12780.826521687522</v>
      </c>
      <c r="G27" s="5">
        <f t="shared" si="3"/>
        <v>34067.535780041719</v>
      </c>
      <c r="H27" s="22">
        <f t="shared" si="10"/>
        <v>21629.092143875361</v>
      </c>
      <c r="I27" s="5">
        <f t="shared" si="4"/>
        <v>54723.318777442691</v>
      </c>
      <c r="J27" s="26">
        <f t="shared" si="5"/>
        <v>0.18081494939421944</v>
      </c>
      <c r="L27" s="22">
        <f t="shared" si="11"/>
        <v>81080.293459260909</v>
      </c>
      <c r="M27" s="5">
        <f>scrimecost*Meta!O24</f>
        <v>2464.902</v>
      </c>
      <c r="N27" s="5">
        <f>L27-Grade12!L27</f>
        <v>2196.9123241294728</v>
      </c>
      <c r="O27" s="5">
        <f>Grade12!M27-M27</f>
        <v>40.512000000000171</v>
      </c>
      <c r="P27" s="22">
        <f t="shared" si="12"/>
        <v>148.50170411093322</v>
      </c>
      <c r="Q27" s="22"/>
      <c r="R27" s="22"/>
      <c r="S27" s="22">
        <f t="shared" si="6"/>
        <v>1563.0546872846573</v>
      </c>
      <c r="T27" s="22">
        <f t="shared" si="7"/>
        <v>1107.0440459644431</v>
      </c>
    </row>
    <row r="28" spans="1:20" x14ac:dyDescent="0.2">
      <c r="A28" s="5">
        <v>37</v>
      </c>
      <c r="B28" s="1">
        <f t="shared" si="8"/>
        <v>1.559658717706504</v>
      </c>
      <c r="C28" s="5">
        <f t="shared" si="9"/>
        <v>49528.818177248664</v>
      </c>
      <c r="D28" s="5">
        <f t="shared" si="0"/>
        <v>48002.021359272476</v>
      </c>
      <c r="E28" s="5">
        <f t="shared" si="1"/>
        <v>38502.021359272476</v>
      </c>
      <c r="F28" s="5">
        <f t="shared" si="2"/>
        <v>13272.862109729711</v>
      </c>
      <c r="G28" s="5">
        <f t="shared" si="3"/>
        <v>34729.159249542761</v>
      </c>
      <c r="H28" s="22">
        <f t="shared" si="10"/>
        <v>22169.819447472248</v>
      </c>
      <c r="I28" s="5">
        <f t="shared" si="4"/>
        <v>55901.336821878758</v>
      </c>
      <c r="J28" s="26">
        <f t="shared" si="5"/>
        <v>0.18359074640330689</v>
      </c>
      <c r="L28" s="22">
        <f t="shared" si="11"/>
        <v>83107.300795742427</v>
      </c>
      <c r="M28" s="5">
        <f>scrimecost*Meta!O25</f>
        <v>2464.902</v>
      </c>
      <c r="N28" s="5">
        <f>L28-Grade12!L28</f>
        <v>2251.8351322326926</v>
      </c>
      <c r="O28" s="5">
        <f>Grade12!M28-M28</f>
        <v>40.512000000000171</v>
      </c>
      <c r="P28" s="22">
        <f t="shared" si="12"/>
        <v>152.68211969258158</v>
      </c>
      <c r="Q28" s="22"/>
      <c r="R28" s="22"/>
      <c r="S28" s="22">
        <f t="shared" si="6"/>
        <v>1601.7087360253909</v>
      </c>
      <c r="T28" s="22">
        <f t="shared" si="7"/>
        <v>1112.8881915592453</v>
      </c>
    </row>
    <row r="29" spans="1:20" x14ac:dyDescent="0.2">
      <c r="A29" s="5">
        <v>38</v>
      </c>
      <c r="B29" s="1">
        <f t="shared" si="8"/>
        <v>1.5986501856491666</v>
      </c>
      <c r="C29" s="5">
        <f t="shared" si="9"/>
        <v>50767.038631679883</v>
      </c>
      <c r="D29" s="5">
        <f t="shared" si="0"/>
        <v>49184.521893254285</v>
      </c>
      <c r="E29" s="5">
        <f t="shared" si="1"/>
        <v>39684.521893254285</v>
      </c>
      <c r="F29" s="5">
        <f t="shared" si="2"/>
        <v>13777.198587472954</v>
      </c>
      <c r="G29" s="5">
        <f t="shared" si="3"/>
        <v>35407.323305781334</v>
      </c>
      <c r="H29" s="22">
        <f t="shared" si="10"/>
        <v>22724.06493365905</v>
      </c>
      <c r="I29" s="5">
        <f t="shared" si="4"/>
        <v>57108.805317425722</v>
      </c>
      <c r="J29" s="26">
        <f t="shared" si="5"/>
        <v>0.18629884104631905</v>
      </c>
      <c r="L29" s="22">
        <f t="shared" si="11"/>
        <v>85184.983315635996</v>
      </c>
      <c r="M29" s="5">
        <f>scrimecost*Meta!O26</f>
        <v>2464.902</v>
      </c>
      <c r="N29" s="5">
        <f>L29-Grade12!L29</f>
        <v>2308.1310105385346</v>
      </c>
      <c r="O29" s="5">
        <f>Grade12!M29-M29</f>
        <v>40.512000000000171</v>
      </c>
      <c r="P29" s="22">
        <f t="shared" si="12"/>
        <v>156.96704566377122</v>
      </c>
      <c r="Q29" s="22"/>
      <c r="R29" s="22"/>
      <c r="S29" s="22">
        <f t="shared" si="6"/>
        <v>1641.3291359846701</v>
      </c>
      <c r="T29" s="22">
        <f t="shared" si="7"/>
        <v>1118.7703075047232</v>
      </c>
    </row>
    <row r="30" spans="1:20" x14ac:dyDescent="0.2">
      <c r="A30" s="5">
        <v>39</v>
      </c>
      <c r="B30" s="1">
        <f t="shared" si="8"/>
        <v>1.6386164402903955</v>
      </c>
      <c r="C30" s="5">
        <f t="shared" si="9"/>
        <v>52036.214597471873</v>
      </c>
      <c r="D30" s="5">
        <f t="shared" si="0"/>
        <v>50396.584940585635</v>
      </c>
      <c r="E30" s="5">
        <f t="shared" si="1"/>
        <v>40896.584940585635</v>
      </c>
      <c r="F30" s="5">
        <f t="shared" si="2"/>
        <v>14294.143477159774</v>
      </c>
      <c r="G30" s="5">
        <f t="shared" si="3"/>
        <v>36102.441463425857</v>
      </c>
      <c r="H30" s="22">
        <f t="shared" si="10"/>
        <v>23292.166557000528</v>
      </c>
      <c r="I30" s="5">
        <f t="shared" si="4"/>
        <v>58346.460525361355</v>
      </c>
      <c r="J30" s="26">
        <f t="shared" si="5"/>
        <v>0.1889408846004772</v>
      </c>
      <c r="L30" s="22">
        <f t="shared" si="11"/>
        <v>87314.607898526883</v>
      </c>
      <c r="M30" s="5">
        <f>scrimecost*Meta!O27</f>
        <v>2464.902</v>
      </c>
      <c r="N30" s="5">
        <f>L30-Grade12!L30</f>
        <v>2365.8342858020042</v>
      </c>
      <c r="O30" s="5">
        <f>Grade12!M30-M30</f>
        <v>40.512000000000171</v>
      </c>
      <c r="P30" s="22">
        <f t="shared" si="12"/>
        <v>161.35909478424054</v>
      </c>
      <c r="Q30" s="22"/>
      <c r="R30" s="22"/>
      <c r="S30" s="22">
        <f t="shared" si="6"/>
        <v>1681.9400459429189</v>
      </c>
      <c r="T30" s="22">
        <f t="shared" si="7"/>
        <v>1124.6904985915237</v>
      </c>
    </row>
    <row r="31" spans="1:20" x14ac:dyDescent="0.2">
      <c r="A31" s="5">
        <v>40</v>
      </c>
      <c r="B31" s="1">
        <f t="shared" si="8"/>
        <v>1.6795818512976552</v>
      </c>
      <c r="C31" s="5">
        <f t="shared" si="9"/>
        <v>53337.119962408666</v>
      </c>
      <c r="D31" s="5">
        <f t="shared" si="0"/>
        <v>51638.949564100272</v>
      </c>
      <c r="E31" s="5">
        <f t="shared" si="1"/>
        <v>42138.949564100272</v>
      </c>
      <c r="F31" s="5">
        <f t="shared" si="2"/>
        <v>14824.011989088765</v>
      </c>
      <c r="G31" s="5">
        <f t="shared" si="3"/>
        <v>36814.937575011507</v>
      </c>
      <c r="H31" s="22">
        <f t="shared" si="10"/>
        <v>23874.470720925536</v>
      </c>
      <c r="I31" s="5">
        <f t="shared" si="4"/>
        <v>59615.057113495393</v>
      </c>
      <c r="J31" s="26">
        <f t="shared" si="5"/>
        <v>0.19151848806794858</v>
      </c>
      <c r="L31" s="22">
        <f t="shared" si="11"/>
        <v>89497.473095990048</v>
      </c>
      <c r="M31" s="5">
        <f>scrimecost*Meta!O28</f>
        <v>2202.0569999999998</v>
      </c>
      <c r="N31" s="5">
        <f>L31-Grade12!L31</f>
        <v>2424.980142947039</v>
      </c>
      <c r="O31" s="5">
        <f>Grade12!M31-M31</f>
        <v>36.192000000000007</v>
      </c>
      <c r="P31" s="22">
        <f t="shared" si="12"/>
        <v>165.86094513272158</v>
      </c>
      <c r="Q31" s="22"/>
      <c r="R31" s="22"/>
      <c r="S31" s="22">
        <f t="shared" si="6"/>
        <v>1720.2182286501097</v>
      </c>
      <c r="T31" s="22">
        <f t="shared" si="7"/>
        <v>1128.4526047374545</v>
      </c>
    </row>
    <row r="32" spans="1:20" x14ac:dyDescent="0.2">
      <c r="A32" s="5">
        <v>41</v>
      </c>
      <c r="B32" s="1">
        <f t="shared" si="8"/>
        <v>1.7215713975800966</v>
      </c>
      <c r="C32" s="5">
        <f t="shared" si="9"/>
        <v>54670.547961468874</v>
      </c>
      <c r="D32" s="5">
        <f t="shared" si="0"/>
        <v>52912.373303202774</v>
      </c>
      <c r="E32" s="5">
        <f t="shared" si="1"/>
        <v>43412.373303202774</v>
      </c>
      <c r="F32" s="5">
        <f t="shared" si="2"/>
        <v>15367.127213815984</v>
      </c>
      <c r="G32" s="5">
        <f t="shared" si="3"/>
        <v>37545.24608938679</v>
      </c>
      <c r="H32" s="22">
        <f t="shared" si="10"/>
        <v>24471.332488948672</v>
      </c>
      <c r="I32" s="5">
        <f t="shared" si="4"/>
        <v>60915.368616332766</v>
      </c>
      <c r="J32" s="26">
        <f t="shared" si="5"/>
        <v>0.19403322315816462</v>
      </c>
      <c r="L32" s="22">
        <f t="shared" si="11"/>
        <v>91734.909923389801</v>
      </c>
      <c r="M32" s="5">
        <f>scrimecost*Meta!O29</f>
        <v>2202.0569999999998</v>
      </c>
      <c r="N32" s="5">
        <f>L32-Grade12!L32</f>
        <v>2485.6046465207182</v>
      </c>
      <c r="O32" s="5">
        <f>Grade12!M32-M32</f>
        <v>36.192000000000007</v>
      </c>
      <c r="P32" s="22">
        <f t="shared" si="12"/>
        <v>170.47534173991471</v>
      </c>
      <c r="Q32" s="22"/>
      <c r="R32" s="22"/>
      <c r="S32" s="22">
        <f t="shared" si="6"/>
        <v>1762.8850659249931</v>
      </c>
      <c r="T32" s="22">
        <f t="shared" si="7"/>
        <v>1134.4909589330039</v>
      </c>
    </row>
    <row r="33" spans="1:20" x14ac:dyDescent="0.2">
      <c r="A33" s="5">
        <v>42</v>
      </c>
      <c r="B33" s="1">
        <f t="shared" si="8"/>
        <v>1.7646106825195991</v>
      </c>
      <c r="C33" s="5">
        <f t="shared" si="9"/>
        <v>56037.311660505598</v>
      </c>
      <c r="D33" s="5">
        <f t="shared" si="0"/>
        <v>54217.632635782844</v>
      </c>
      <c r="E33" s="5">
        <f t="shared" si="1"/>
        <v>44717.632635782844</v>
      </c>
      <c r="F33" s="5">
        <f t="shared" si="2"/>
        <v>15923.820319161383</v>
      </c>
      <c r="G33" s="5">
        <f t="shared" si="3"/>
        <v>38293.812316621465</v>
      </c>
      <c r="H33" s="22">
        <f t="shared" si="10"/>
        <v>25083.115801172393</v>
      </c>
      <c r="I33" s="5">
        <f t="shared" si="4"/>
        <v>62248.187906741099</v>
      </c>
      <c r="J33" s="26">
        <f t="shared" si="5"/>
        <v>0.19648662324618021</v>
      </c>
      <c r="L33" s="22">
        <f t="shared" si="11"/>
        <v>94028.282671474546</v>
      </c>
      <c r="M33" s="5">
        <f>scrimecost*Meta!O30</f>
        <v>2202.0569999999998</v>
      </c>
      <c r="N33" s="5">
        <f>L33-Grade12!L33</f>
        <v>2547.7447626837384</v>
      </c>
      <c r="O33" s="5">
        <f>Grade12!M33-M33</f>
        <v>36.192000000000007</v>
      </c>
      <c r="P33" s="22">
        <f t="shared" si="12"/>
        <v>175.20509826228763</v>
      </c>
      <c r="Q33" s="22"/>
      <c r="R33" s="22"/>
      <c r="S33" s="22">
        <f t="shared" si="6"/>
        <v>1806.6185741317477</v>
      </c>
      <c r="T33" s="22">
        <f t="shared" si="7"/>
        <v>1140.5669267767087</v>
      </c>
    </row>
    <row r="34" spans="1:20" x14ac:dyDescent="0.2">
      <c r="A34" s="5">
        <v>43</v>
      </c>
      <c r="B34" s="1">
        <f t="shared" si="8"/>
        <v>1.8087259495825889</v>
      </c>
      <c r="C34" s="5">
        <f t="shared" si="9"/>
        <v>57438.244452018233</v>
      </c>
      <c r="D34" s="5">
        <f t="shared" si="0"/>
        <v>55555.523451677407</v>
      </c>
      <c r="E34" s="5">
        <f t="shared" si="1"/>
        <v>46055.523451677407</v>
      </c>
      <c r="F34" s="5">
        <f t="shared" si="2"/>
        <v>16494.430752140412</v>
      </c>
      <c r="G34" s="5">
        <f t="shared" si="3"/>
        <v>39061.092699536995</v>
      </c>
      <c r="H34" s="22">
        <f t="shared" si="10"/>
        <v>25710.193696201703</v>
      </c>
      <c r="I34" s="5">
        <f t="shared" si="4"/>
        <v>63614.327679409616</v>
      </c>
      <c r="J34" s="26">
        <f t="shared" si="5"/>
        <v>0.1988801843076588</v>
      </c>
      <c r="L34" s="22">
        <f t="shared" si="11"/>
        <v>96378.9897382614</v>
      </c>
      <c r="M34" s="5">
        <f>scrimecost*Meta!O31</f>
        <v>2202.0569999999998</v>
      </c>
      <c r="N34" s="5">
        <f>L34-Grade12!L34</f>
        <v>2611.4383817508497</v>
      </c>
      <c r="O34" s="5">
        <f>Grade12!M34-M34</f>
        <v>36.192000000000007</v>
      </c>
      <c r="P34" s="22">
        <f t="shared" si="12"/>
        <v>180.05309869771983</v>
      </c>
      <c r="Q34" s="22"/>
      <c r="R34" s="22"/>
      <c r="S34" s="22">
        <f t="shared" si="6"/>
        <v>1851.4454200436805</v>
      </c>
      <c r="T34" s="22">
        <f t="shared" si="7"/>
        <v>1146.6806382898446</v>
      </c>
    </row>
    <row r="35" spans="1:20" x14ac:dyDescent="0.2">
      <c r="A35" s="5">
        <v>44</v>
      </c>
      <c r="B35" s="1">
        <f t="shared" si="8"/>
        <v>1.8539440983221533</v>
      </c>
      <c r="C35" s="5">
        <f t="shared" si="9"/>
        <v>58874.200563318685</v>
      </c>
      <c r="D35" s="5">
        <f t="shared" si="0"/>
        <v>56926.861537969344</v>
      </c>
      <c r="E35" s="5">
        <f t="shared" si="1"/>
        <v>47426.861537969344</v>
      </c>
      <c r="F35" s="5">
        <f t="shared" si="2"/>
        <v>17079.306445943927</v>
      </c>
      <c r="G35" s="5">
        <f t="shared" si="3"/>
        <v>39847.555092025417</v>
      </c>
      <c r="H35" s="22">
        <f t="shared" si="10"/>
        <v>26352.948538606739</v>
      </c>
      <c r="I35" s="5">
        <f t="shared" si="4"/>
        <v>65014.620946394847</v>
      </c>
      <c r="J35" s="26">
        <f t="shared" si="5"/>
        <v>0.20121536583105271</v>
      </c>
      <c r="L35" s="22">
        <f t="shared" si="11"/>
        <v>98788.464481717921</v>
      </c>
      <c r="M35" s="5">
        <f>scrimecost*Meta!O32</f>
        <v>2202.0569999999998</v>
      </c>
      <c r="N35" s="5">
        <f>L35-Grade12!L35</f>
        <v>2676.7243412945973</v>
      </c>
      <c r="O35" s="5">
        <f>Grade12!M35-M35</f>
        <v>36.192000000000007</v>
      </c>
      <c r="P35" s="22">
        <f t="shared" si="12"/>
        <v>185.02229914403796</v>
      </c>
      <c r="Q35" s="22"/>
      <c r="R35" s="22"/>
      <c r="S35" s="22">
        <f t="shared" si="6"/>
        <v>1897.3929371033855</v>
      </c>
      <c r="T35" s="22">
        <f t="shared" si="7"/>
        <v>1152.8322257047955</v>
      </c>
    </row>
    <row r="36" spans="1:20" x14ac:dyDescent="0.2">
      <c r="A36" s="5">
        <v>45</v>
      </c>
      <c r="B36" s="1">
        <f t="shared" si="8"/>
        <v>1.9002927007802071</v>
      </c>
      <c r="C36" s="5">
        <f t="shared" si="9"/>
        <v>60346.055577401647</v>
      </c>
      <c r="D36" s="5">
        <f t="shared" si="0"/>
        <v>58332.483076418568</v>
      </c>
      <c r="E36" s="5">
        <f t="shared" si="1"/>
        <v>48832.483076418568</v>
      </c>
      <c r="F36" s="5">
        <f t="shared" si="2"/>
        <v>17678.804032092517</v>
      </c>
      <c r="G36" s="5">
        <f t="shared" si="3"/>
        <v>40653.679044326054</v>
      </c>
      <c r="H36" s="22">
        <f t="shared" si="10"/>
        <v>27011.772252071907</v>
      </c>
      <c r="I36" s="5">
        <f t="shared" si="4"/>
        <v>66449.92154505472</v>
      </c>
      <c r="J36" s="26">
        <f t="shared" si="5"/>
        <v>0.20349359170753439</v>
      </c>
      <c r="L36" s="22">
        <f t="shared" si="11"/>
        <v>101258.17609376086</v>
      </c>
      <c r="M36" s="5">
        <f>scrimecost*Meta!O33</f>
        <v>1867.173</v>
      </c>
      <c r="N36" s="5">
        <f>L36-Grade12!L36</f>
        <v>2743.6424498269771</v>
      </c>
      <c r="O36" s="5">
        <f>Grade12!M36-M36</f>
        <v>30.687999999999874</v>
      </c>
      <c r="P36" s="22">
        <f t="shared" si="12"/>
        <v>190.11572960151392</v>
      </c>
      <c r="Q36" s="22"/>
      <c r="R36" s="22"/>
      <c r="S36" s="22">
        <f t="shared" si="6"/>
        <v>1940.2235420896079</v>
      </c>
      <c r="T36" s="22">
        <f t="shared" si="7"/>
        <v>1156.4792926716959</v>
      </c>
    </row>
    <row r="37" spans="1:20" x14ac:dyDescent="0.2">
      <c r="A37" s="5">
        <v>46</v>
      </c>
      <c r="B37" s="1">
        <f t="shared" ref="B37:B56" si="13">(1+experiencepremium)^(A37-startage)</f>
        <v>1.9478000182997122</v>
      </c>
      <c r="C37" s="5">
        <f t="shared" ref="C37:C56" si="14">pretaxincome*B37/expnorm</f>
        <v>61854.706966836682</v>
      </c>
      <c r="D37" s="5">
        <f t="shared" ref="D37:D56" si="15">IF(A37&lt;startage,1,0)*(C37*(1-initialunempprob))+IF(A37=startage,1,0)*(C37*(1-unempprob))+IF(A37&gt;startage,1,0)*(C37*(1-unempprob)+unempprob*300*52)</f>
        <v>59773.24515332903</v>
      </c>
      <c r="E37" s="5">
        <f t="shared" si="1"/>
        <v>50273.24515332903</v>
      </c>
      <c r="F37" s="5">
        <f t="shared" si="2"/>
        <v>18293.289057894832</v>
      </c>
      <c r="G37" s="5">
        <f t="shared" si="3"/>
        <v>41479.956095434201</v>
      </c>
      <c r="H37" s="22">
        <f t="shared" ref="H37:H56" si="16">benefits*B37/expnorm</f>
        <v>27687.066558373703</v>
      </c>
      <c r="I37" s="5">
        <f t="shared" ref="I37:I56" si="17">G37+IF(A37&lt;startage,1,0)*(H37*(1-initialunempprob))+IF(A37&gt;=startage,1,0)*(H37*(1-unempprob))</f>
        <v>67921.104658681084</v>
      </c>
      <c r="J37" s="26">
        <f t="shared" si="5"/>
        <v>0.20571625109922395</v>
      </c>
      <c r="L37" s="22">
        <f t="shared" ref="L37:L56" si="18">(sincome+sbenefits)*(1-sunemp)*B37/expnorm</f>
        <v>103789.63049610487</v>
      </c>
      <c r="M37" s="5">
        <f>scrimecost*Meta!O34</f>
        <v>1867.173</v>
      </c>
      <c r="N37" s="5">
        <f>L37-Grade12!L37</f>
        <v>2812.2335110726417</v>
      </c>
      <c r="O37" s="5">
        <f>Grade12!M37-M37</f>
        <v>30.687999999999874</v>
      </c>
      <c r="P37" s="22">
        <f t="shared" si="12"/>
        <v>195.33649582042685</v>
      </c>
      <c r="Q37" s="22"/>
      <c r="R37" s="22"/>
      <c r="S37" s="22">
        <f t="shared" si="6"/>
        <v>1988.4971522004703</v>
      </c>
      <c r="T37" s="22">
        <f t="shared" si="7"/>
        <v>1162.7552980254775</v>
      </c>
    </row>
    <row r="38" spans="1:20" x14ac:dyDescent="0.2">
      <c r="A38" s="5">
        <v>47</v>
      </c>
      <c r="B38" s="1">
        <f t="shared" si="13"/>
        <v>1.9964950187572048</v>
      </c>
      <c r="C38" s="5">
        <f t="shared" si="14"/>
        <v>63401.074641007603</v>
      </c>
      <c r="D38" s="5">
        <f t="shared" si="15"/>
        <v>61250.02628216226</v>
      </c>
      <c r="E38" s="5">
        <f t="shared" si="1"/>
        <v>51750.02628216226</v>
      </c>
      <c r="F38" s="5">
        <f t="shared" si="2"/>
        <v>18923.136209342203</v>
      </c>
      <c r="G38" s="5">
        <f t="shared" si="3"/>
        <v>42326.890072820053</v>
      </c>
      <c r="H38" s="22">
        <f t="shared" si="16"/>
        <v>28379.243222333043</v>
      </c>
      <c r="I38" s="5">
        <f t="shared" si="17"/>
        <v>69429.067350148107</v>
      </c>
      <c r="J38" s="26">
        <f t="shared" si="5"/>
        <v>0.20788469928623812</v>
      </c>
      <c r="L38" s="22">
        <f t="shared" si="18"/>
        <v>106384.3712585075</v>
      </c>
      <c r="M38" s="5">
        <f>scrimecost*Meta!O35</f>
        <v>1867.173</v>
      </c>
      <c r="N38" s="5">
        <f>L38-Grade12!L38</f>
        <v>2882.5393488494447</v>
      </c>
      <c r="O38" s="5">
        <f>Grade12!M38-M38</f>
        <v>30.687999999999874</v>
      </c>
      <c r="P38" s="22">
        <f t="shared" si="12"/>
        <v>200.6877811948126</v>
      </c>
      <c r="Q38" s="22"/>
      <c r="R38" s="22"/>
      <c r="S38" s="22">
        <f t="shared" si="6"/>
        <v>2037.9776025641013</v>
      </c>
      <c r="T38" s="22">
        <f t="shared" si="7"/>
        <v>1169.0686730342225</v>
      </c>
    </row>
    <row r="39" spans="1:20" x14ac:dyDescent="0.2">
      <c r="A39" s="5">
        <v>48</v>
      </c>
      <c r="B39" s="1">
        <f t="shared" si="13"/>
        <v>2.0464073942261352</v>
      </c>
      <c r="C39" s="5">
        <f t="shared" si="14"/>
        <v>64986.101507032792</v>
      </c>
      <c r="D39" s="5">
        <f t="shared" si="15"/>
        <v>62763.726939216314</v>
      </c>
      <c r="E39" s="5">
        <f t="shared" si="1"/>
        <v>53263.726939216314</v>
      </c>
      <c r="F39" s="5">
        <f t="shared" si="2"/>
        <v>19568.729539575757</v>
      </c>
      <c r="G39" s="5">
        <f t="shared" si="3"/>
        <v>43194.997399640561</v>
      </c>
      <c r="H39" s="22">
        <f t="shared" si="16"/>
        <v>29088.724302891373</v>
      </c>
      <c r="I39" s="5">
        <f t="shared" si="17"/>
        <v>70974.729108901825</v>
      </c>
      <c r="J39" s="26">
        <f t="shared" si="5"/>
        <v>0.21000025849308121</v>
      </c>
      <c r="L39" s="22">
        <f t="shared" si="18"/>
        <v>109043.98053997019</v>
      </c>
      <c r="M39" s="5">
        <f>scrimecost*Meta!O36</f>
        <v>1867.173</v>
      </c>
      <c r="N39" s="5">
        <f>L39-Grade12!L39</f>
        <v>2954.6028325707157</v>
      </c>
      <c r="O39" s="5">
        <f>Grade12!M39-M39</f>
        <v>30.687999999999874</v>
      </c>
      <c r="P39" s="22">
        <f t="shared" si="12"/>
        <v>206.17284870355797</v>
      </c>
      <c r="Q39" s="22"/>
      <c r="R39" s="22"/>
      <c r="S39" s="22">
        <f t="shared" si="6"/>
        <v>2088.6950641868548</v>
      </c>
      <c r="T39" s="22">
        <f t="shared" si="7"/>
        <v>1175.4195760069804</v>
      </c>
    </row>
    <row r="40" spans="1:20" x14ac:dyDescent="0.2">
      <c r="A40" s="5">
        <v>49</v>
      </c>
      <c r="B40" s="1">
        <f t="shared" si="13"/>
        <v>2.097567579081788</v>
      </c>
      <c r="C40" s="5">
        <f t="shared" si="14"/>
        <v>66610.754044708607</v>
      </c>
      <c r="D40" s="5">
        <f t="shared" si="15"/>
        <v>64315.270112696715</v>
      </c>
      <c r="E40" s="5">
        <f t="shared" si="1"/>
        <v>54815.270112696715</v>
      </c>
      <c r="F40" s="5">
        <f t="shared" si="2"/>
        <v>20230.462703065146</v>
      </c>
      <c r="G40" s="5">
        <f t="shared" si="3"/>
        <v>44084.807409631569</v>
      </c>
      <c r="H40" s="22">
        <f t="shared" si="16"/>
        <v>29815.942410463649</v>
      </c>
      <c r="I40" s="5">
        <f t="shared" si="17"/>
        <v>72559.032411624357</v>
      </c>
      <c r="J40" s="26">
        <f t="shared" si="5"/>
        <v>0.21206421869487932</v>
      </c>
      <c r="L40" s="22">
        <f t="shared" si="18"/>
        <v>111770.08005346941</v>
      </c>
      <c r="M40" s="5">
        <f>scrimecost*Meta!O37</f>
        <v>1867.173</v>
      </c>
      <c r="N40" s="5">
        <f>L40-Grade12!L40</f>
        <v>3028.4679033849097</v>
      </c>
      <c r="O40" s="5">
        <f>Grade12!M40-M40</f>
        <v>30.687999999999874</v>
      </c>
      <c r="P40" s="22">
        <f t="shared" si="12"/>
        <v>211.79504290002191</v>
      </c>
      <c r="Q40" s="22"/>
      <c r="R40" s="22"/>
      <c r="S40" s="22">
        <f t="shared" si="6"/>
        <v>2140.6804623501071</v>
      </c>
      <c r="T40" s="22">
        <f t="shared" si="7"/>
        <v>1181.8081670580762</v>
      </c>
    </row>
    <row r="41" spans="1:20" x14ac:dyDescent="0.2">
      <c r="A41" s="5">
        <v>50</v>
      </c>
      <c r="B41" s="1">
        <f t="shared" si="13"/>
        <v>2.1500067685588333</v>
      </c>
      <c r="C41" s="5">
        <f t="shared" si="14"/>
        <v>68276.022895826332</v>
      </c>
      <c r="D41" s="5">
        <f t="shared" si="15"/>
        <v>65905.601865514152</v>
      </c>
      <c r="E41" s="5">
        <f t="shared" si="1"/>
        <v>56405.601865514152</v>
      </c>
      <c r="F41" s="5">
        <f t="shared" si="2"/>
        <v>20908.739195641785</v>
      </c>
      <c r="G41" s="5">
        <f t="shared" si="3"/>
        <v>44996.862669872367</v>
      </c>
      <c r="H41" s="22">
        <f t="shared" si="16"/>
        <v>30561.340970725247</v>
      </c>
      <c r="I41" s="5">
        <f t="shared" si="17"/>
        <v>74182.943296914978</v>
      </c>
      <c r="J41" s="26">
        <f t="shared" si="5"/>
        <v>0.21407783840395078</v>
      </c>
      <c r="L41" s="22">
        <f t="shared" si="18"/>
        <v>114564.33205480619</v>
      </c>
      <c r="M41" s="5">
        <f>scrimecost*Meta!O38</f>
        <v>1351.2179999999998</v>
      </c>
      <c r="N41" s="5">
        <f>L41-Grade12!L41</f>
        <v>3104.1796009696118</v>
      </c>
      <c r="O41" s="5">
        <f>Grade12!M41-M41</f>
        <v>22.208000000000084</v>
      </c>
      <c r="P41" s="22">
        <f t="shared" si="12"/>
        <v>217.55779195139769</v>
      </c>
      <c r="Q41" s="22"/>
      <c r="R41" s="22"/>
      <c r="S41" s="22">
        <f t="shared" ref="S41:S69" si="19">IF(A41&lt;startage,1,0)*(N41-Q41-R41)+IF(A41&gt;=startage,1,0)*completionprob*(N41*spart+O41+P41)</f>
        <v>2187.3934954675387</v>
      </c>
      <c r="T41" s="22">
        <f t="shared" ref="T41:T69" si="20">S41/sreturn^(A41-startage+1)</f>
        <v>1184.6752641353178</v>
      </c>
    </row>
    <row r="42" spans="1:20" x14ac:dyDescent="0.2">
      <c r="A42" s="5">
        <v>51</v>
      </c>
      <c r="B42" s="1">
        <f t="shared" si="13"/>
        <v>2.2037569377728037</v>
      </c>
      <c r="C42" s="5">
        <f t="shared" si="14"/>
        <v>69982.923468221969</v>
      </c>
      <c r="D42" s="5">
        <f t="shared" si="15"/>
        <v>67535.691912151975</v>
      </c>
      <c r="E42" s="5">
        <f t="shared" si="1"/>
        <v>58035.691912151975</v>
      </c>
      <c r="F42" s="5">
        <f t="shared" si="2"/>
        <v>21603.972600532819</v>
      </c>
      <c r="G42" s="5">
        <f t="shared" si="3"/>
        <v>45931.719311619156</v>
      </c>
      <c r="H42" s="22">
        <f t="shared" si="16"/>
        <v>31325.374494993375</v>
      </c>
      <c r="I42" s="5">
        <f t="shared" si="17"/>
        <v>75847.451954337826</v>
      </c>
      <c r="J42" s="26">
        <f t="shared" si="5"/>
        <v>0.21604234543719106</v>
      </c>
      <c r="L42" s="22">
        <f t="shared" si="18"/>
        <v>117428.44035617632</v>
      </c>
      <c r="M42" s="5">
        <f>scrimecost*Meta!O39</f>
        <v>1351.2179999999998</v>
      </c>
      <c r="N42" s="5">
        <f>L42-Grade12!L42</f>
        <v>3181.7840909938386</v>
      </c>
      <c r="O42" s="5">
        <f>Grade12!M42-M42</f>
        <v>22.208000000000084</v>
      </c>
      <c r="P42" s="22">
        <f t="shared" si="12"/>
        <v>223.4646097290576</v>
      </c>
      <c r="Q42" s="22"/>
      <c r="R42" s="22"/>
      <c r="S42" s="22">
        <f t="shared" si="19"/>
        <v>2242.0106544128466</v>
      </c>
      <c r="T42" s="22">
        <f t="shared" si="20"/>
        <v>1191.2072800327176</v>
      </c>
    </row>
    <row r="43" spans="1:20" x14ac:dyDescent="0.2">
      <c r="A43" s="5">
        <v>52</v>
      </c>
      <c r="B43" s="1">
        <f t="shared" si="13"/>
        <v>2.2588508612171236</v>
      </c>
      <c r="C43" s="5">
        <f t="shared" si="14"/>
        <v>71732.496554927522</v>
      </c>
      <c r="D43" s="5">
        <f t="shared" si="15"/>
        <v>69206.534209955775</v>
      </c>
      <c r="E43" s="5">
        <f t="shared" si="1"/>
        <v>59706.534209955775</v>
      </c>
      <c r="F43" s="5">
        <f t="shared" si="2"/>
        <v>22316.586840546141</v>
      </c>
      <c r="G43" s="5">
        <f t="shared" si="3"/>
        <v>46889.947369409638</v>
      </c>
      <c r="H43" s="22">
        <f t="shared" si="16"/>
        <v>32108.508857368208</v>
      </c>
      <c r="I43" s="5">
        <f t="shared" si="17"/>
        <v>77553.573328196275</v>
      </c>
      <c r="J43" s="26">
        <f t="shared" si="5"/>
        <v>0.21795893766474264</v>
      </c>
      <c r="L43" s="22">
        <f t="shared" si="18"/>
        <v>120364.15136508072</v>
      </c>
      <c r="M43" s="5">
        <f>scrimecost*Meta!O40</f>
        <v>1351.2179999999998</v>
      </c>
      <c r="N43" s="5">
        <f>L43-Grade12!L43</f>
        <v>3261.3286932686606</v>
      </c>
      <c r="O43" s="5">
        <f>Grade12!M43-M43</f>
        <v>22.208000000000084</v>
      </c>
      <c r="P43" s="22">
        <f t="shared" si="12"/>
        <v>229.51909795115918</v>
      </c>
      <c r="Q43" s="22"/>
      <c r="R43" s="22"/>
      <c r="S43" s="22">
        <f t="shared" si="19"/>
        <v>2297.9932423317805</v>
      </c>
      <c r="T43" s="22">
        <f t="shared" si="20"/>
        <v>1197.7761927069539</v>
      </c>
    </row>
    <row r="44" spans="1:20" x14ac:dyDescent="0.2">
      <c r="A44" s="5">
        <v>53</v>
      </c>
      <c r="B44" s="1">
        <f t="shared" si="13"/>
        <v>2.3153221327475517</v>
      </c>
      <c r="C44" s="5">
        <f t="shared" si="14"/>
        <v>73525.808968800717</v>
      </c>
      <c r="D44" s="5">
        <f t="shared" si="15"/>
        <v>70919.147565204679</v>
      </c>
      <c r="E44" s="5">
        <f t="shared" si="1"/>
        <v>61419.147565204679</v>
      </c>
      <c r="F44" s="5">
        <f t="shared" si="2"/>
        <v>23047.016436559796</v>
      </c>
      <c r="G44" s="5">
        <f t="shared" si="3"/>
        <v>47872.131128644884</v>
      </c>
      <c r="H44" s="22">
        <f t="shared" si="16"/>
        <v>32911.221578802411</v>
      </c>
      <c r="I44" s="5">
        <f t="shared" si="17"/>
        <v>79302.347736401192</v>
      </c>
      <c r="J44" s="26">
        <f t="shared" si="5"/>
        <v>0.21982878374040268</v>
      </c>
      <c r="L44" s="22">
        <f t="shared" si="18"/>
        <v>123373.25514920773</v>
      </c>
      <c r="M44" s="5">
        <f>scrimecost*Meta!O41</f>
        <v>1351.2179999999998</v>
      </c>
      <c r="N44" s="5">
        <f>L44-Grade12!L44</f>
        <v>3342.8619106004044</v>
      </c>
      <c r="O44" s="5">
        <f>Grade12!M44-M44</f>
        <v>22.208000000000084</v>
      </c>
      <c r="P44" s="22">
        <f t="shared" si="12"/>
        <v>235.72494837881317</v>
      </c>
      <c r="Q44" s="22"/>
      <c r="R44" s="22"/>
      <c r="S44" s="22">
        <f t="shared" si="19"/>
        <v>2355.3753949487214</v>
      </c>
      <c r="T44" s="22">
        <f t="shared" si="20"/>
        <v>1204.3821937624662</v>
      </c>
    </row>
    <row r="45" spans="1:20" x14ac:dyDescent="0.2">
      <c r="A45" s="5">
        <v>54</v>
      </c>
      <c r="B45" s="1">
        <f t="shared" si="13"/>
        <v>2.3732051860662402</v>
      </c>
      <c r="C45" s="5">
        <f t="shared" si="14"/>
        <v>75363.95419302072</v>
      </c>
      <c r="D45" s="5">
        <f t="shared" si="15"/>
        <v>72674.576254334781</v>
      </c>
      <c r="E45" s="5">
        <f t="shared" si="1"/>
        <v>63174.576254334781</v>
      </c>
      <c r="F45" s="5">
        <f t="shared" si="2"/>
        <v>23795.706772473786</v>
      </c>
      <c r="G45" s="5">
        <f t="shared" si="3"/>
        <v>48878.869481860995</v>
      </c>
      <c r="H45" s="22">
        <f t="shared" si="16"/>
        <v>33734.002118272467</v>
      </c>
      <c r="I45" s="5">
        <f t="shared" si="17"/>
        <v>81094.841504811193</v>
      </c>
      <c r="J45" s="26">
        <f t="shared" si="5"/>
        <v>0.22165302381421739</v>
      </c>
      <c r="L45" s="22">
        <f t="shared" si="18"/>
        <v>126457.58652793791</v>
      </c>
      <c r="M45" s="5">
        <f>scrimecost*Meta!O42</f>
        <v>1351.2179999999998</v>
      </c>
      <c r="N45" s="5">
        <f>L45-Grade12!L45</f>
        <v>3426.4334583653836</v>
      </c>
      <c r="O45" s="5">
        <f>Grade12!M45-M45</f>
        <v>22.208000000000084</v>
      </c>
      <c r="P45" s="22">
        <f t="shared" si="12"/>
        <v>242.08594506715858</v>
      </c>
      <c r="Q45" s="22"/>
      <c r="R45" s="22"/>
      <c r="S45" s="22">
        <f t="shared" si="19"/>
        <v>2414.1921013810475</v>
      </c>
      <c r="T45" s="22">
        <f t="shared" si="20"/>
        <v>1211.025476111826</v>
      </c>
    </row>
    <row r="46" spans="1:20" x14ac:dyDescent="0.2">
      <c r="A46" s="5">
        <v>55</v>
      </c>
      <c r="B46" s="1">
        <f t="shared" si="13"/>
        <v>2.4325353157178964</v>
      </c>
      <c r="C46" s="5">
        <f t="shared" si="14"/>
        <v>77248.053047846246</v>
      </c>
      <c r="D46" s="5">
        <f t="shared" si="15"/>
        <v>74473.890660693156</v>
      </c>
      <c r="E46" s="5">
        <f t="shared" si="1"/>
        <v>64973.890660693156</v>
      </c>
      <c r="F46" s="5">
        <f t="shared" si="2"/>
        <v>24563.114366785634</v>
      </c>
      <c r="G46" s="5">
        <f t="shared" si="3"/>
        <v>49910.776293907518</v>
      </c>
      <c r="H46" s="22">
        <f t="shared" si="16"/>
        <v>34577.352171229279</v>
      </c>
      <c r="I46" s="5">
        <f t="shared" si="17"/>
        <v>82932.147617431474</v>
      </c>
      <c r="J46" s="26">
        <f t="shared" si="5"/>
        <v>0.22343277022769512</v>
      </c>
      <c r="L46" s="22">
        <f t="shared" si="18"/>
        <v>129619.02619113636</v>
      </c>
      <c r="M46" s="5">
        <f>scrimecost*Meta!O43</f>
        <v>808.005</v>
      </c>
      <c r="N46" s="5">
        <f>L46-Grade12!L46</f>
        <v>3512.0942948245356</v>
      </c>
      <c r="O46" s="5">
        <f>Grade12!M46-M46</f>
        <v>13.279999999999973</v>
      </c>
      <c r="P46" s="22">
        <f t="shared" si="12"/>
        <v>248.60596667271261</v>
      </c>
      <c r="Q46" s="22"/>
      <c r="R46" s="22"/>
      <c r="S46" s="22">
        <f t="shared" si="19"/>
        <v>2467.5600254742126</v>
      </c>
      <c r="T46" s="22">
        <f t="shared" si="20"/>
        <v>1214.301253695164</v>
      </c>
    </row>
    <row r="47" spans="1:20" x14ac:dyDescent="0.2">
      <c r="A47" s="5">
        <v>56</v>
      </c>
      <c r="B47" s="1">
        <f t="shared" si="13"/>
        <v>2.4933486986108435</v>
      </c>
      <c r="C47" s="5">
        <f t="shared" si="14"/>
        <v>79179.254374042386</v>
      </c>
      <c r="D47" s="5">
        <f t="shared" si="15"/>
        <v>76318.187927210471</v>
      </c>
      <c r="E47" s="5">
        <f t="shared" si="1"/>
        <v>66818.187927210471</v>
      </c>
      <c r="F47" s="5">
        <f t="shared" si="2"/>
        <v>25349.707150955262</v>
      </c>
      <c r="G47" s="5">
        <f t="shared" si="3"/>
        <v>50968.480776255208</v>
      </c>
      <c r="H47" s="22">
        <f t="shared" si="16"/>
        <v>35441.785975510007</v>
      </c>
      <c r="I47" s="5">
        <f t="shared" si="17"/>
        <v>84815.386382867262</v>
      </c>
      <c r="J47" s="26">
        <f t="shared" si="5"/>
        <v>0.22516910819206362</v>
      </c>
      <c r="L47" s="22">
        <f t="shared" si="18"/>
        <v>132859.50184591475</v>
      </c>
      <c r="M47" s="5">
        <f>scrimecost*Meta!O44</f>
        <v>808.005</v>
      </c>
      <c r="N47" s="5">
        <f>L47-Grade12!L47</f>
        <v>3599.8966521951661</v>
      </c>
      <c r="O47" s="5">
        <f>Grade12!M47-M47</f>
        <v>13.279999999999973</v>
      </c>
      <c r="P47" s="22">
        <f t="shared" si="12"/>
        <v>255.28898881840541</v>
      </c>
      <c r="Q47" s="22"/>
      <c r="R47" s="22"/>
      <c r="S47" s="22">
        <f t="shared" si="19"/>
        <v>2529.3543276697069</v>
      </c>
      <c r="T47" s="22">
        <f t="shared" si="20"/>
        <v>1221.0843137471163</v>
      </c>
    </row>
    <row r="48" spans="1:20" x14ac:dyDescent="0.2">
      <c r="A48" s="5">
        <v>57</v>
      </c>
      <c r="B48" s="1">
        <f t="shared" si="13"/>
        <v>2.555682416076114</v>
      </c>
      <c r="C48" s="5">
        <f t="shared" si="14"/>
        <v>81158.73573339342</v>
      </c>
      <c r="D48" s="5">
        <f t="shared" si="15"/>
        <v>78208.592625390709</v>
      </c>
      <c r="E48" s="5">
        <f t="shared" si="1"/>
        <v>68708.592625390709</v>
      </c>
      <c r="F48" s="5">
        <f t="shared" si="2"/>
        <v>26155.964754729139</v>
      </c>
      <c r="G48" s="5">
        <f t="shared" si="3"/>
        <v>52052.62787066157</v>
      </c>
      <c r="H48" s="22">
        <f t="shared" si="16"/>
        <v>36327.830624897753</v>
      </c>
      <c r="I48" s="5">
        <f t="shared" si="17"/>
        <v>86745.706117438924</v>
      </c>
      <c r="J48" s="26">
        <f t="shared" si="5"/>
        <v>0.22686309644998415</v>
      </c>
      <c r="L48" s="22">
        <f t="shared" si="18"/>
        <v>136180.98939206259</v>
      </c>
      <c r="M48" s="5">
        <f>scrimecost*Meta!O45</f>
        <v>808.005</v>
      </c>
      <c r="N48" s="5">
        <f>L48-Grade12!L48</f>
        <v>3689.894068499998</v>
      </c>
      <c r="O48" s="5">
        <f>Grade12!M48-M48</f>
        <v>13.279999999999973</v>
      </c>
      <c r="P48" s="22">
        <f t="shared" si="12"/>
        <v>262.13908651774062</v>
      </c>
      <c r="Q48" s="22"/>
      <c r="R48" s="22"/>
      <c r="S48" s="22">
        <f t="shared" si="19"/>
        <v>2592.6934874200474</v>
      </c>
      <c r="T48" s="22">
        <f t="shared" si="20"/>
        <v>1227.9040149199536</v>
      </c>
    </row>
    <row r="49" spans="1:20" x14ac:dyDescent="0.2">
      <c r="A49" s="5">
        <v>58</v>
      </c>
      <c r="B49" s="1">
        <f t="shared" si="13"/>
        <v>2.6195744764780171</v>
      </c>
      <c r="C49" s="5">
        <f t="shared" si="14"/>
        <v>83187.704126728262</v>
      </c>
      <c r="D49" s="5">
        <f t="shared" si="15"/>
        <v>80146.257441025489</v>
      </c>
      <c r="E49" s="5">
        <f t="shared" si="1"/>
        <v>70646.257441025489</v>
      </c>
      <c r="F49" s="5">
        <f t="shared" si="2"/>
        <v>26982.378798597369</v>
      </c>
      <c r="G49" s="5">
        <f t="shared" si="3"/>
        <v>53163.878642428121</v>
      </c>
      <c r="H49" s="22">
        <f t="shared" si="16"/>
        <v>37236.026390520194</v>
      </c>
      <c r="I49" s="5">
        <f t="shared" si="17"/>
        <v>88724.283845374914</v>
      </c>
      <c r="J49" s="26">
        <f t="shared" si="5"/>
        <v>0.22851576792112613</v>
      </c>
      <c r="L49" s="22">
        <f t="shared" si="18"/>
        <v>139585.51412686417</v>
      </c>
      <c r="M49" s="5">
        <f>scrimecost*Meta!O46</f>
        <v>808.005</v>
      </c>
      <c r="N49" s="5">
        <f>L49-Grade12!L49</f>
        <v>3782.1414202125452</v>
      </c>
      <c r="O49" s="5">
        <f>Grade12!M49-M49</f>
        <v>13.279999999999973</v>
      </c>
      <c r="P49" s="22">
        <f t="shared" si="12"/>
        <v>269.1604366595592</v>
      </c>
      <c r="Q49" s="22"/>
      <c r="R49" s="22"/>
      <c r="S49" s="22">
        <f t="shared" si="19"/>
        <v>2657.6161261642073</v>
      </c>
      <c r="T49" s="22">
        <f t="shared" si="20"/>
        <v>1234.7605786720285</v>
      </c>
    </row>
    <row r="50" spans="1:20" x14ac:dyDescent="0.2">
      <c r="A50" s="5">
        <v>59</v>
      </c>
      <c r="B50" s="1">
        <f t="shared" si="13"/>
        <v>2.6850638383899672</v>
      </c>
      <c r="C50" s="5">
        <f t="shared" si="14"/>
        <v>85267.396729896471</v>
      </c>
      <c r="D50" s="5">
        <f t="shared" si="15"/>
        <v>82132.363877051132</v>
      </c>
      <c r="E50" s="5">
        <f t="shared" si="1"/>
        <v>72632.363877051132</v>
      </c>
      <c r="F50" s="5">
        <f t="shared" si="2"/>
        <v>27829.453193562309</v>
      </c>
      <c r="G50" s="5">
        <f t="shared" si="3"/>
        <v>54302.910683488823</v>
      </c>
      <c r="H50" s="22">
        <f t="shared" si="16"/>
        <v>38166.927050283193</v>
      </c>
      <c r="I50" s="5">
        <f t="shared" si="17"/>
        <v>90752.326016509265</v>
      </c>
      <c r="J50" s="26">
        <f t="shared" si="5"/>
        <v>0.23012813033199639</v>
      </c>
      <c r="L50" s="22">
        <f t="shared" si="18"/>
        <v>143075.15198003576</v>
      </c>
      <c r="M50" s="5">
        <f>scrimecost*Meta!O47</f>
        <v>808.005</v>
      </c>
      <c r="N50" s="5">
        <f>L50-Grade12!L50</f>
        <v>3876.6949557178305</v>
      </c>
      <c r="O50" s="5">
        <f>Grade12!M50-M50</f>
        <v>13.279999999999973</v>
      </c>
      <c r="P50" s="22">
        <f t="shared" si="12"/>
        <v>276.35732055492326</v>
      </c>
      <c r="Q50" s="22"/>
      <c r="R50" s="22"/>
      <c r="S50" s="22">
        <f t="shared" si="19"/>
        <v>2724.1618308769225</v>
      </c>
      <c r="T50" s="22">
        <f t="shared" si="20"/>
        <v>1241.6542273417249</v>
      </c>
    </row>
    <row r="51" spans="1:20" x14ac:dyDescent="0.2">
      <c r="A51" s="5">
        <v>60</v>
      </c>
      <c r="B51" s="1">
        <f t="shared" si="13"/>
        <v>2.7521904343497163</v>
      </c>
      <c r="C51" s="5">
        <f t="shared" si="14"/>
        <v>87399.081648143881</v>
      </c>
      <c r="D51" s="5">
        <f t="shared" si="15"/>
        <v>84168.122973977399</v>
      </c>
      <c r="E51" s="5">
        <f t="shared" si="1"/>
        <v>74668.122973977399</v>
      </c>
      <c r="F51" s="5">
        <f t="shared" si="2"/>
        <v>28697.70444840136</v>
      </c>
      <c r="G51" s="5">
        <f t="shared" si="3"/>
        <v>55470.418525576039</v>
      </c>
      <c r="H51" s="22">
        <f t="shared" si="16"/>
        <v>39121.100226540279</v>
      </c>
      <c r="I51" s="5">
        <f t="shared" si="17"/>
        <v>92831.069241921999</v>
      </c>
      <c r="J51" s="26">
        <f t="shared" si="5"/>
        <v>0.23170116683040629</v>
      </c>
      <c r="L51" s="22">
        <f t="shared" si="18"/>
        <v>146652.03077953664</v>
      </c>
      <c r="M51" s="5">
        <f>scrimecost*Meta!O48</f>
        <v>443.916</v>
      </c>
      <c r="N51" s="5">
        <f>L51-Grade12!L51</f>
        <v>3973.6123296107398</v>
      </c>
      <c r="O51" s="5">
        <f>Grade12!M51-M51</f>
        <v>7.2959999999999923</v>
      </c>
      <c r="P51" s="22">
        <f t="shared" si="12"/>
        <v>283.73412654767134</v>
      </c>
      <c r="Q51" s="22"/>
      <c r="R51" s="22"/>
      <c r="S51" s="22">
        <f t="shared" si="19"/>
        <v>2787.7335782074501</v>
      </c>
      <c r="T51" s="22">
        <f t="shared" si="20"/>
        <v>1246.5115204946055</v>
      </c>
    </row>
    <row r="52" spans="1:20" x14ac:dyDescent="0.2">
      <c r="A52" s="5">
        <v>61</v>
      </c>
      <c r="B52" s="1">
        <f t="shared" si="13"/>
        <v>2.8209951952084591</v>
      </c>
      <c r="C52" s="5">
        <f t="shared" si="14"/>
        <v>89584.058689347468</v>
      </c>
      <c r="D52" s="5">
        <f t="shared" si="15"/>
        <v>86254.776048326836</v>
      </c>
      <c r="E52" s="5">
        <f t="shared" si="1"/>
        <v>76754.776048326836</v>
      </c>
      <c r="F52" s="5">
        <f t="shared" si="2"/>
        <v>29587.661984611394</v>
      </c>
      <c r="G52" s="5">
        <f t="shared" si="3"/>
        <v>56667.114063715446</v>
      </c>
      <c r="H52" s="22">
        <f t="shared" si="16"/>
        <v>40099.127732203779</v>
      </c>
      <c r="I52" s="5">
        <f t="shared" si="17"/>
        <v>94961.781047970057</v>
      </c>
      <c r="J52" s="26">
        <f t="shared" si="5"/>
        <v>0.23323583658495264</v>
      </c>
      <c r="L52" s="22">
        <f t="shared" si="18"/>
        <v>150318.33154902505</v>
      </c>
      <c r="M52" s="5">
        <f>scrimecost*Meta!O49</f>
        <v>443.916</v>
      </c>
      <c r="N52" s="5">
        <f>L52-Grade12!L52</f>
        <v>4072.9526378510345</v>
      </c>
      <c r="O52" s="5">
        <f>Grade12!M52-M52</f>
        <v>7.2959999999999923</v>
      </c>
      <c r="P52" s="22">
        <f t="shared" si="12"/>
        <v>291.29535269023825</v>
      </c>
      <c r="Q52" s="22"/>
      <c r="R52" s="22"/>
      <c r="S52" s="22">
        <f t="shared" si="19"/>
        <v>2857.6481592212817</v>
      </c>
      <c r="T52" s="22">
        <f t="shared" si="20"/>
        <v>1253.5193705338882</v>
      </c>
    </row>
    <row r="53" spans="1:20" x14ac:dyDescent="0.2">
      <c r="A53" s="5">
        <v>62</v>
      </c>
      <c r="B53" s="1">
        <f t="shared" si="13"/>
        <v>2.8915200750886707</v>
      </c>
      <c r="C53" s="5">
        <f t="shared" si="14"/>
        <v>91823.660156581172</v>
      </c>
      <c r="D53" s="5">
        <f t="shared" si="15"/>
        <v>88393.595449535016</v>
      </c>
      <c r="E53" s="5">
        <f t="shared" si="1"/>
        <v>78893.595449535016</v>
      </c>
      <c r="F53" s="5">
        <f t="shared" si="2"/>
        <v>30499.868459226684</v>
      </c>
      <c r="G53" s="5">
        <f t="shared" si="3"/>
        <v>57893.726990308336</v>
      </c>
      <c r="H53" s="22">
        <f t="shared" si="16"/>
        <v>41101.605925508884</v>
      </c>
      <c r="I53" s="5">
        <f t="shared" si="17"/>
        <v>97145.760649169315</v>
      </c>
      <c r="J53" s="26">
        <f t="shared" si="5"/>
        <v>0.23473307536987584</v>
      </c>
      <c r="L53" s="22">
        <f t="shared" si="18"/>
        <v>154076.28983775072</v>
      </c>
      <c r="M53" s="5">
        <f>scrimecost*Meta!O50</f>
        <v>443.916</v>
      </c>
      <c r="N53" s="5">
        <f>L53-Grade12!L53</f>
        <v>4174.7764537973853</v>
      </c>
      <c r="O53" s="5">
        <f>Grade12!M53-M53</f>
        <v>7.2959999999999923</v>
      </c>
      <c r="P53" s="22">
        <f t="shared" si="12"/>
        <v>299.0456094863693</v>
      </c>
      <c r="Q53" s="22"/>
      <c r="R53" s="22"/>
      <c r="S53" s="22">
        <f t="shared" si="19"/>
        <v>2929.3106047604902</v>
      </c>
      <c r="T53" s="22">
        <f t="shared" si="20"/>
        <v>1260.5642307775063</v>
      </c>
    </row>
    <row r="54" spans="1:20" x14ac:dyDescent="0.2">
      <c r="A54" s="5">
        <v>63</v>
      </c>
      <c r="B54" s="1">
        <f t="shared" si="13"/>
        <v>2.9638080769658868</v>
      </c>
      <c r="C54" s="5">
        <f t="shared" si="14"/>
        <v>94119.251660495676</v>
      </c>
      <c r="D54" s="5">
        <f t="shared" si="15"/>
        <v>90585.885335773361</v>
      </c>
      <c r="E54" s="5">
        <f t="shared" si="1"/>
        <v>81085.885335773361</v>
      </c>
      <c r="F54" s="5">
        <f t="shared" si="2"/>
        <v>31434.88009570734</v>
      </c>
      <c r="G54" s="5">
        <f t="shared" si="3"/>
        <v>59151.005240066021</v>
      </c>
      <c r="H54" s="22">
        <f t="shared" si="16"/>
        <v>42129.146073646589</v>
      </c>
      <c r="I54" s="5">
        <f t="shared" si="17"/>
        <v>99384.339740398515</v>
      </c>
      <c r="J54" s="26">
        <f t="shared" si="5"/>
        <v>0.23619379613565461</v>
      </c>
      <c r="L54" s="22">
        <f t="shared" si="18"/>
        <v>157928.19708369442</v>
      </c>
      <c r="M54" s="5">
        <f>scrimecost*Meta!O51</f>
        <v>443.916</v>
      </c>
      <c r="N54" s="5">
        <f>L54-Grade12!L54</f>
        <v>4279.145865142229</v>
      </c>
      <c r="O54" s="5">
        <f>Grade12!M54-M54</f>
        <v>7.2959999999999923</v>
      </c>
      <c r="P54" s="22">
        <f t="shared" si="12"/>
        <v>306.98962270240349</v>
      </c>
      <c r="Q54" s="22"/>
      <c r="R54" s="22"/>
      <c r="S54" s="22">
        <f t="shared" si="19"/>
        <v>3002.7646114380718</v>
      </c>
      <c r="T54" s="22">
        <f t="shared" si="20"/>
        <v>1267.6463413799665</v>
      </c>
    </row>
    <row r="55" spans="1:20" x14ac:dyDescent="0.2">
      <c r="A55" s="5">
        <v>64</v>
      </c>
      <c r="B55" s="1">
        <f t="shared" si="13"/>
        <v>3.0379032788900342</v>
      </c>
      <c r="C55" s="5">
        <f t="shared" si="14"/>
        <v>96472.232952008068</v>
      </c>
      <c r="D55" s="5">
        <f t="shared" si="15"/>
        <v>92832.982469167706</v>
      </c>
      <c r="E55" s="5">
        <f t="shared" si="1"/>
        <v>83332.982469167706</v>
      </c>
      <c r="F55" s="5">
        <f t="shared" si="2"/>
        <v>32393.267023100023</v>
      </c>
      <c r="G55" s="5">
        <f t="shared" si="3"/>
        <v>60439.715446067683</v>
      </c>
      <c r="H55" s="22">
        <f t="shared" si="16"/>
        <v>43182.37472548776</v>
      </c>
      <c r="I55" s="5">
        <f t="shared" si="17"/>
        <v>101678.88330890849</v>
      </c>
      <c r="J55" s="26">
        <f t="shared" si="5"/>
        <v>0.23761888956568264</v>
      </c>
      <c r="L55" s="22">
        <f t="shared" si="18"/>
        <v>161876.40201078681</v>
      </c>
      <c r="M55" s="5">
        <f>scrimecost*Meta!O52</f>
        <v>443.916</v>
      </c>
      <c r="N55" s="5">
        <f>L55-Grade12!L55</f>
        <v>4386.1245117708459</v>
      </c>
      <c r="O55" s="5">
        <f>Grade12!M55-M55</f>
        <v>7.2959999999999923</v>
      </c>
      <c r="P55" s="22">
        <f t="shared" si="12"/>
        <v>315.13223624883864</v>
      </c>
      <c r="Q55" s="22"/>
      <c r="R55" s="22"/>
      <c r="S55" s="22">
        <f t="shared" si="19"/>
        <v>3078.0549682826909</v>
      </c>
      <c r="T55" s="22">
        <f t="shared" si="20"/>
        <v>1274.7659431636671</v>
      </c>
    </row>
    <row r="56" spans="1:20" x14ac:dyDescent="0.2">
      <c r="A56" s="5">
        <v>65</v>
      </c>
      <c r="B56" s="1">
        <f t="shared" si="13"/>
        <v>3.1138508608622844</v>
      </c>
      <c r="C56" s="5">
        <f t="shared" si="14"/>
        <v>98884.038775808251</v>
      </c>
      <c r="D56" s="5">
        <f t="shared" si="15"/>
        <v>95136.257030896872</v>
      </c>
      <c r="E56" s="5">
        <f t="shared" si="1"/>
        <v>85636.257030896872</v>
      </c>
      <c r="F56" s="5">
        <f t="shared" si="2"/>
        <v>33436.701334604426</v>
      </c>
      <c r="G56" s="5">
        <f t="shared" si="3"/>
        <v>61699.555696292446</v>
      </c>
      <c r="H56" s="22">
        <f t="shared" si="16"/>
        <v>44261.934093624943</v>
      </c>
      <c r="I56" s="5">
        <f t="shared" si="17"/>
        <v>103969.70275570426</v>
      </c>
      <c r="J56" s="26">
        <f t="shared" si="5"/>
        <v>0.23945608447976158</v>
      </c>
      <c r="L56" s="22">
        <f t="shared" si="18"/>
        <v>165923.31206105644</v>
      </c>
      <c r="M56" s="5">
        <f>scrimecost*Meta!O53</f>
        <v>140.184</v>
      </c>
      <c r="N56" s="5">
        <f>L56-Grade12!L56</f>
        <v>4495.7776245650603</v>
      </c>
      <c r="O56" s="5">
        <f>Grade12!M56-M56</f>
        <v>2.304000000000002</v>
      </c>
      <c r="P56" s="22">
        <f t="shared" si="12"/>
        <v>323.99742641037949</v>
      </c>
      <c r="Q56" s="22"/>
      <c r="R56" s="22"/>
      <c r="S56" s="22">
        <f t="shared" si="19"/>
        <v>3151.7610177875949</v>
      </c>
      <c r="T56" s="22">
        <f t="shared" si="20"/>
        <v>1280.5148619613014</v>
      </c>
    </row>
    <row r="57" spans="1:20" x14ac:dyDescent="0.2">
      <c r="A57" s="5">
        <v>66</v>
      </c>
      <c r="C57" s="5"/>
      <c r="H57" s="21"/>
      <c r="I57" s="5"/>
      <c r="M57" s="5">
        <f>scrimecost*Meta!O54</f>
        <v>140.184</v>
      </c>
      <c r="N57" s="5">
        <f>L57-Grade12!L57</f>
        <v>0</v>
      </c>
      <c r="O57" s="5">
        <f>Grade12!M57-M57</f>
        <v>2.304000000000002</v>
      </c>
      <c r="Q57" s="22"/>
      <c r="R57" s="22"/>
      <c r="S57" s="22">
        <f t="shared" si="19"/>
        <v>1.7856000000000016</v>
      </c>
      <c r="T57" s="22">
        <f t="shared" si="20"/>
        <v>0.71169314633035508</v>
      </c>
    </row>
    <row r="58" spans="1:20" x14ac:dyDescent="0.2">
      <c r="A58" s="5">
        <v>67</v>
      </c>
      <c r="C58" s="5"/>
      <c r="H58" s="21"/>
      <c r="I58" s="5"/>
      <c r="M58" s="5">
        <f>scrimecost*Meta!O55</f>
        <v>140.184</v>
      </c>
      <c r="N58" s="5">
        <f>L58-Grade12!L58</f>
        <v>0</v>
      </c>
      <c r="O58" s="5">
        <f>Grade12!M58-M58</f>
        <v>2.304000000000002</v>
      </c>
      <c r="Q58" s="22"/>
      <c r="R58" s="22"/>
      <c r="S58" s="22">
        <f t="shared" si="19"/>
        <v>1.7856000000000016</v>
      </c>
      <c r="T58" s="22">
        <f t="shared" si="20"/>
        <v>0.69818424780218546</v>
      </c>
    </row>
    <row r="59" spans="1:20" x14ac:dyDescent="0.2">
      <c r="A59" s="5">
        <v>68</v>
      </c>
      <c r="H59" s="21"/>
      <c r="I59" s="5"/>
      <c r="M59" s="5">
        <f>scrimecost*Meta!O56</f>
        <v>140.184</v>
      </c>
      <c r="N59" s="5">
        <f>L59-Grade12!L59</f>
        <v>0</v>
      </c>
      <c r="O59" s="5">
        <f>Grade12!M59-M59</f>
        <v>2.304000000000002</v>
      </c>
      <c r="Q59" s="22"/>
      <c r="R59" s="22"/>
      <c r="S59" s="22">
        <f t="shared" si="19"/>
        <v>1.7856000000000016</v>
      </c>
      <c r="T59" s="22">
        <f t="shared" si="20"/>
        <v>0.68493176643973575</v>
      </c>
    </row>
    <row r="60" spans="1:20" x14ac:dyDescent="0.2">
      <c r="A60" s="5">
        <v>69</v>
      </c>
      <c r="H60" s="21"/>
      <c r="I60" s="5"/>
      <c r="M60" s="5">
        <f>scrimecost*Meta!O57</f>
        <v>140.184</v>
      </c>
      <c r="N60" s="5">
        <f>L60-Grade12!L60</f>
        <v>0</v>
      </c>
      <c r="O60" s="5">
        <f>Grade12!M60-M60</f>
        <v>2.304000000000002</v>
      </c>
      <c r="Q60" s="22"/>
      <c r="R60" s="22"/>
      <c r="S60" s="22">
        <f t="shared" si="19"/>
        <v>1.7856000000000016</v>
      </c>
      <c r="T60" s="22">
        <f t="shared" si="20"/>
        <v>0.67193083509838003</v>
      </c>
    </row>
    <row r="61" spans="1:20" x14ac:dyDescent="0.2">
      <c r="A61" s="5">
        <v>70</v>
      </c>
      <c r="H61" s="21"/>
      <c r="I61" s="5"/>
      <c r="M61" s="5">
        <f>scrimecost*Meta!O58</f>
        <v>140.184</v>
      </c>
      <c r="N61" s="5">
        <f>L61-Grade12!L61</f>
        <v>0</v>
      </c>
      <c r="O61" s="5">
        <f>Grade12!M61-M61</f>
        <v>2.304000000000002</v>
      </c>
      <c r="Q61" s="22"/>
      <c r="R61" s="22"/>
      <c r="S61" s="22">
        <f t="shared" si="19"/>
        <v>1.7856000000000016</v>
      </c>
      <c r="T61" s="22">
        <f t="shared" si="20"/>
        <v>0.65917667901848009</v>
      </c>
    </row>
    <row r="62" spans="1:20" x14ac:dyDescent="0.2">
      <c r="A62" s="5">
        <v>71</v>
      </c>
      <c r="H62" s="21"/>
      <c r="I62" s="5"/>
      <c r="M62" s="5">
        <f>scrimecost*Meta!O59</f>
        <v>140.184</v>
      </c>
      <c r="N62" s="5">
        <f>L62-Grade12!L62</f>
        <v>0</v>
      </c>
      <c r="O62" s="5">
        <f>Grade12!M62-M62</f>
        <v>2.304000000000002</v>
      </c>
      <c r="Q62" s="22"/>
      <c r="R62" s="22"/>
      <c r="S62" s="22">
        <f t="shared" si="19"/>
        <v>1.7856000000000016</v>
      </c>
      <c r="T62" s="22">
        <f t="shared" si="20"/>
        <v>0.64666461407179454</v>
      </c>
    </row>
    <row r="63" spans="1:20" x14ac:dyDescent="0.2">
      <c r="A63" s="5">
        <v>72</v>
      </c>
      <c r="H63" s="21"/>
      <c r="M63" s="5">
        <f>scrimecost*Meta!O60</f>
        <v>140.184</v>
      </c>
      <c r="N63" s="5">
        <f>L63-Grade12!L63</f>
        <v>0</v>
      </c>
      <c r="O63" s="5">
        <f>Grade12!M63-M63</f>
        <v>2.304000000000002</v>
      </c>
      <c r="Q63" s="22"/>
      <c r="R63" s="22"/>
      <c r="S63" s="22">
        <f t="shared" si="19"/>
        <v>1.7856000000000016</v>
      </c>
      <c r="T63" s="22">
        <f t="shared" si="20"/>
        <v>0.63439004504117058</v>
      </c>
    </row>
    <row r="64" spans="1:20" x14ac:dyDescent="0.2">
      <c r="A64" s="5">
        <v>73</v>
      </c>
      <c r="H64" s="21"/>
      <c r="M64" s="5">
        <f>scrimecost*Meta!O61</f>
        <v>140.184</v>
      </c>
      <c r="N64" s="5">
        <f>L64-Grade12!L64</f>
        <v>0</v>
      </c>
      <c r="O64" s="5">
        <f>Grade12!M64-M64</f>
        <v>2.304000000000002</v>
      </c>
      <c r="Q64" s="22"/>
      <c r="R64" s="22"/>
      <c r="S64" s="22">
        <f t="shared" si="19"/>
        <v>1.7856000000000016</v>
      </c>
      <c r="T64" s="22">
        <f t="shared" si="20"/>
        <v>0.622348463932893</v>
      </c>
    </row>
    <row r="65" spans="1:20" x14ac:dyDescent="0.2">
      <c r="A65" s="5">
        <v>74</v>
      </c>
      <c r="H65" s="21"/>
      <c r="M65" s="5">
        <f>scrimecost*Meta!O62</f>
        <v>140.184</v>
      </c>
      <c r="N65" s="5">
        <f>L65-Grade12!L65</f>
        <v>0</v>
      </c>
      <c r="O65" s="5">
        <f>Grade12!M65-M65</f>
        <v>2.304000000000002</v>
      </c>
      <c r="Q65" s="22"/>
      <c r="R65" s="22"/>
      <c r="S65" s="22">
        <f t="shared" si="19"/>
        <v>1.7856000000000016</v>
      </c>
      <c r="T65" s="22">
        <f t="shared" si="20"/>
        <v>0.61053544832106466</v>
      </c>
    </row>
    <row r="66" spans="1:20" x14ac:dyDescent="0.2">
      <c r="A66" s="5">
        <v>75</v>
      </c>
      <c r="H66" s="21"/>
      <c r="M66" s="5">
        <f>scrimecost*Meta!O63</f>
        <v>140.184</v>
      </c>
      <c r="N66" s="5">
        <f>L66-Grade12!L66</f>
        <v>0</v>
      </c>
      <c r="O66" s="5">
        <f>Grade12!M66-M66</f>
        <v>2.304000000000002</v>
      </c>
      <c r="Q66" s="22"/>
      <c r="R66" s="22"/>
      <c r="S66" s="22">
        <f t="shared" si="19"/>
        <v>1.7856000000000016</v>
      </c>
      <c r="T66" s="22">
        <f t="shared" si="20"/>
        <v>0.59894665972341332</v>
      </c>
    </row>
    <row r="67" spans="1:20" x14ac:dyDescent="0.2">
      <c r="A67" s="5">
        <v>76</v>
      </c>
      <c r="H67" s="21"/>
      <c r="M67" s="5">
        <f>scrimecost*Meta!O64</f>
        <v>140.184</v>
      </c>
      <c r="N67" s="5">
        <f>L67-Grade12!L67</f>
        <v>0</v>
      </c>
      <c r="O67" s="5">
        <f>Grade12!M67-M67</f>
        <v>2.304000000000002</v>
      </c>
      <c r="Q67" s="22"/>
      <c r="R67" s="22"/>
      <c r="S67" s="22">
        <f t="shared" si="19"/>
        <v>1.7856000000000016</v>
      </c>
      <c r="T67" s="22">
        <f t="shared" si="20"/>
        <v>0.5875778420079284</v>
      </c>
    </row>
    <row r="68" spans="1:20" x14ac:dyDescent="0.2">
      <c r="A68" s="5">
        <v>77</v>
      </c>
      <c r="H68" s="21"/>
      <c r="M68" s="5">
        <f>scrimecost*Meta!O65</f>
        <v>140.184</v>
      </c>
      <c r="N68" s="5">
        <f>L68-Grade12!L68</f>
        <v>0</v>
      </c>
      <c r="O68" s="5">
        <f>Grade12!M68-M68</f>
        <v>2.304000000000002</v>
      </c>
      <c r="Q68" s="22"/>
      <c r="R68" s="22"/>
      <c r="S68" s="22">
        <f t="shared" si="19"/>
        <v>1.7856000000000016</v>
      </c>
      <c r="T68" s="22">
        <f t="shared" si="20"/>
        <v>0.57642481982974159</v>
      </c>
    </row>
    <row r="69" spans="1:20" x14ac:dyDescent="0.2">
      <c r="A69" s="5">
        <v>78</v>
      </c>
      <c r="H69" s="21"/>
      <c r="M69" s="5">
        <f>scrimecost*Meta!O66</f>
        <v>140.184</v>
      </c>
      <c r="N69" s="5">
        <f>L69-Grade12!L69</f>
        <v>0</v>
      </c>
      <c r="O69" s="5">
        <f>Grade12!M69-M69</f>
        <v>2.304000000000002</v>
      </c>
      <c r="Q69" s="22"/>
      <c r="R69" s="22"/>
      <c r="S69" s="22">
        <f t="shared" si="19"/>
        <v>1.7856000000000016</v>
      </c>
      <c r="T69" s="22">
        <f t="shared" si="20"/>
        <v>0.56548349709767765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-5.452737150690723E-10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O12" sqref="O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Meta!A8+6</f>
        <v>20</v>
      </c>
      <c r="C2" s="7">
        <f>Meta!B8</f>
        <v>61529</v>
      </c>
      <c r="D2" s="7">
        <f>Meta!C8</f>
        <v>27396</v>
      </c>
      <c r="E2" s="1">
        <f>Meta!D8</f>
        <v>4.3999999999999997E-2</v>
      </c>
      <c r="F2" s="1">
        <f>Meta!F8</f>
        <v>0.80100000000000005</v>
      </c>
      <c r="G2" s="1">
        <f>Meta!I8</f>
        <v>1.8381311833585117</v>
      </c>
      <c r="H2" s="1">
        <f>Meta!E8</f>
        <v>0.77500000000000002</v>
      </c>
      <c r="I2" s="13"/>
      <c r="J2" s="1">
        <f>Meta!X7</f>
        <v>0.83199999999999996</v>
      </c>
      <c r="K2" s="1">
        <f>Meta!D7</f>
        <v>4.4999999999999998E-2</v>
      </c>
      <c r="L2" s="29"/>
      <c r="N2" s="22">
        <f>Meta!T8</f>
        <v>74613</v>
      </c>
      <c r="O2" s="22">
        <f>Meta!U8</f>
        <v>32425</v>
      </c>
      <c r="P2" s="1">
        <f>Meta!V8</f>
        <v>3.5999999999999997E-2</v>
      </c>
      <c r="Q2" s="1">
        <f>Meta!X8</f>
        <v>0.83899999999999997</v>
      </c>
      <c r="R2" s="22">
        <f>Meta!W8</f>
        <v>1915</v>
      </c>
      <c r="T2" s="12">
        <f>IRR(S5:S69)+1</f>
        <v>1.0188296834317603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B10" s="1">
        <v>1</v>
      </c>
      <c r="C10" s="5">
        <f>0.1*Grade13!C10</f>
        <v>3175.6189745203592</v>
      </c>
      <c r="D10" s="5">
        <f t="shared" ref="D10:D36" si="0">IF(A10&lt;startage,1,0)*(C10*(1-initialunempprob))+IF(A10=startage,1,0)*(C10*(1-unempprob))+IF(A10&gt;startage,1,0)*(C10*(1-unempprob)+unempprob*300*52)</f>
        <v>3032.716120666943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232.00278323102114</v>
      </c>
      <c r="G10" s="5">
        <f t="shared" ref="G10:G56" si="3">D10-F10</f>
        <v>2800.7133374359219</v>
      </c>
      <c r="H10" s="22">
        <f>0.1*Grade13!H10</f>
        <v>1421.4532445965629</v>
      </c>
      <c r="I10" s="5">
        <f t="shared" ref="I10:I36" si="4">G10+IF(A10&lt;startage,1,0)*(H10*(1-initialunempprob))+IF(A10&gt;=startage,1,0)*(H10*(1-unempprob))</f>
        <v>4158.2011860256389</v>
      </c>
      <c r="J10" s="26">
        <f t="shared" ref="J10:J56" si="5">(F10-(IF(A10&gt;startage,1,0)*(unempprob*300*52)))/(IF(A10&lt;startage,1,0)*((C10+H10)*(1-initialunempprob))+IF(A10&gt;=startage,1,0)*((C10+H10)*(1-unempprob)))</f>
        <v>5.2845559080095167E-2</v>
      </c>
      <c r="L10" s="22">
        <f>0.1*Grade13!L10</f>
        <v>5328.5568087583088</v>
      </c>
      <c r="M10" s="5">
        <f>scrimecost*Meta!O7</f>
        <v>6520.5749999999998</v>
      </c>
      <c r="N10" s="5">
        <f>L10-Grade13!L10</f>
        <v>-47957.011278824772</v>
      </c>
      <c r="O10" s="5"/>
      <c r="P10" s="22"/>
      <c r="Q10" s="22">
        <f>0.05*feel*Grade13!G10</f>
        <v>325.15480301768611</v>
      </c>
      <c r="R10" s="22">
        <f>coltuition</f>
        <v>8279</v>
      </c>
      <c r="S10" s="22">
        <f t="shared" ref="S10:S41" si="6">IF(A10&lt;startage,1,0)*(N10-Q10-R10)+IF(A10&gt;=startage,1,0)*completionprob*(N10*spart+O10+P10)</f>
        <v>-56561.166081842457</v>
      </c>
      <c r="T10" s="22">
        <f t="shared" ref="T10:T41" si="7">S10/sreturn^(A10-startage+1)</f>
        <v>-56561.166081842457</v>
      </c>
    </row>
    <row r="11" spans="1:20" x14ac:dyDescent="0.2">
      <c r="A11" s="5">
        <v>20</v>
      </c>
      <c r="B11" s="1">
        <f t="shared" ref="B11:B36" si="8">(1+experiencepremium)^(A11-startage)</f>
        <v>1</v>
      </c>
      <c r="C11" s="5">
        <f t="shared" ref="C11:C36" si="9">pretaxincome*B11/expnorm</f>
        <v>33473.671823345212</v>
      </c>
      <c r="D11" s="5">
        <f t="shared" si="0"/>
        <v>32000.830263118023</v>
      </c>
      <c r="E11" s="5">
        <f t="shared" si="1"/>
        <v>22500.830263118023</v>
      </c>
      <c r="F11" s="5">
        <f t="shared" si="2"/>
        <v>7648.2710809080345</v>
      </c>
      <c r="G11" s="5">
        <f t="shared" si="3"/>
        <v>24352.559182209989</v>
      </c>
      <c r="H11" s="22">
        <f t="shared" ref="H11:H36" si="10">benefits*B11/expnorm</f>
        <v>14904.268121899679</v>
      </c>
      <c r="I11" s="5">
        <f t="shared" si="4"/>
        <v>38601.039506746078</v>
      </c>
      <c r="J11" s="26">
        <f t="shared" si="5"/>
        <v>0.16537048841868962</v>
      </c>
      <c r="L11" s="22">
        <f t="shared" ref="L11:L36" si="11">(sincome+sbenefits)*(1-sunemp)*B11/expnorm</f>
        <v>56135.61911912504</v>
      </c>
      <c r="M11" s="5">
        <f>scrimecost*Meta!O8</f>
        <v>6258.2199999999993</v>
      </c>
      <c r="N11" s="5">
        <f>L11-Grade13!L11</f>
        <v>1517.9118293523934</v>
      </c>
      <c r="O11" s="5">
        <f>Grade13!M11-M11</f>
        <v>104.57600000000002</v>
      </c>
      <c r="P11" s="22">
        <f t="shared" ref="P11:P56" si="12">(spart-initialspart)*(L11*J11+nptrans)</f>
        <v>110.86022325990677</v>
      </c>
      <c r="Q11" s="22"/>
      <c r="R11" s="22"/>
      <c r="S11" s="22">
        <f t="shared" si="6"/>
        <v>1153.947292267088</v>
      </c>
      <c r="T11" s="22">
        <f t="shared" si="7"/>
        <v>1132.6204085261888</v>
      </c>
    </row>
    <row r="12" spans="1:20" x14ac:dyDescent="0.2">
      <c r="A12" s="5">
        <v>21</v>
      </c>
      <c r="B12" s="1">
        <f t="shared" si="8"/>
        <v>1.0249999999999999</v>
      </c>
      <c r="C12" s="5">
        <f t="shared" si="9"/>
        <v>34310.513618928839</v>
      </c>
      <c r="D12" s="5">
        <f t="shared" si="0"/>
        <v>33487.25101969597</v>
      </c>
      <c r="E12" s="5">
        <f t="shared" si="1"/>
        <v>23987.25101969597</v>
      </c>
      <c r="F12" s="5">
        <f t="shared" si="2"/>
        <v>8133.5874579307347</v>
      </c>
      <c r="G12" s="5">
        <f t="shared" si="3"/>
        <v>25353.663561765235</v>
      </c>
      <c r="H12" s="22">
        <f t="shared" si="10"/>
        <v>15276.87482494717</v>
      </c>
      <c r="I12" s="5">
        <f t="shared" si="4"/>
        <v>39958.35589441473</v>
      </c>
      <c r="J12" s="26">
        <f t="shared" si="5"/>
        <v>0.15709528741351877</v>
      </c>
      <c r="L12" s="22">
        <f t="shared" si="11"/>
        <v>57539.009597103155</v>
      </c>
      <c r="M12" s="5">
        <f>scrimecost*Meta!O9</f>
        <v>5766.0650000000005</v>
      </c>
      <c r="N12" s="5">
        <f>L12-Grade13!L12</f>
        <v>1555.8596250861883</v>
      </c>
      <c r="O12" s="5">
        <f>Grade13!M12-M12</f>
        <v>96.351999999999862</v>
      </c>
      <c r="P12" s="22">
        <f t="shared" si="12"/>
        <v>109.15175075102304</v>
      </c>
      <c r="Q12" s="22"/>
      <c r="R12" s="22"/>
      <c r="S12" s="22">
        <f t="shared" si="6"/>
        <v>1170.9242315537094</v>
      </c>
      <c r="T12" s="22">
        <f t="shared" si="7"/>
        <v>1128.0428948584342</v>
      </c>
    </row>
    <row r="13" spans="1:20" x14ac:dyDescent="0.2">
      <c r="A13" s="5">
        <v>22</v>
      </c>
      <c r="B13" s="1">
        <f t="shared" si="8"/>
        <v>1.0506249999999999</v>
      </c>
      <c r="C13" s="5">
        <f t="shared" si="9"/>
        <v>35168.276459402055</v>
      </c>
      <c r="D13" s="5">
        <f t="shared" si="0"/>
        <v>34307.272295188362</v>
      </c>
      <c r="E13" s="5">
        <f t="shared" si="1"/>
        <v>24807.272295188362</v>
      </c>
      <c r="F13" s="5">
        <f t="shared" si="2"/>
        <v>8401.324404379</v>
      </c>
      <c r="G13" s="5">
        <f t="shared" si="3"/>
        <v>25905.947890809362</v>
      </c>
      <c r="H13" s="22">
        <f t="shared" si="10"/>
        <v>15658.796695570849</v>
      </c>
      <c r="I13" s="5">
        <f t="shared" si="4"/>
        <v>40875.757531775089</v>
      </c>
      <c r="J13" s="26">
        <f t="shared" si="5"/>
        <v>0.15877374214496628</v>
      </c>
      <c r="L13" s="22">
        <f t="shared" si="11"/>
        <v>58977.484837030737</v>
      </c>
      <c r="M13" s="5">
        <f>scrimecost*Meta!O10</f>
        <v>5258.59</v>
      </c>
      <c r="N13" s="5">
        <f>L13-Grade13!L13</f>
        <v>1594.7561157133459</v>
      </c>
      <c r="O13" s="5">
        <f>Grade13!M13-M13</f>
        <v>87.872000000000298</v>
      </c>
      <c r="P13" s="22">
        <f t="shared" si="12"/>
        <v>111.42653178911374</v>
      </c>
      <c r="Q13" s="22"/>
      <c r="R13" s="22"/>
      <c r="S13" s="22">
        <f t="shared" si="6"/>
        <v>1191.4066574762737</v>
      </c>
      <c r="T13" s="22">
        <f t="shared" si="7"/>
        <v>1126.5624043214671</v>
      </c>
    </row>
    <row r="14" spans="1:20" x14ac:dyDescent="0.2">
      <c r="A14" s="5">
        <v>23</v>
      </c>
      <c r="B14" s="1">
        <f t="shared" si="8"/>
        <v>1.0768906249999999</v>
      </c>
      <c r="C14" s="5">
        <f t="shared" si="9"/>
        <v>36047.483370887108</v>
      </c>
      <c r="D14" s="5">
        <f t="shared" si="0"/>
        <v>35147.794102568078</v>
      </c>
      <c r="E14" s="5">
        <f t="shared" si="1"/>
        <v>25647.794102568078</v>
      </c>
      <c r="F14" s="5">
        <f t="shared" si="2"/>
        <v>8675.7547744884778</v>
      </c>
      <c r="G14" s="5">
        <f t="shared" si="3"/>
        <v>26472.039328079598</v>
      </c>
      <c r="H14" s="22">
        <f t="shared" si="10"/>
        <v>16050.26661296012</v>
      </c>
      <c r="I14" s="5">
        <f t="shared" si="4"/>
        <v>41816.094210069474</v>
      </c>
      <c r="J14" s="26">
        <f t="shared" si="5"/>
        <v>0.16041125895613462</v>
      </c>
      <c r="L14" s="22">
        <f t="shared" si="11"/>
        <v>60451.921957956511</v>
      </c>
      <c r="M14" s="5">
        <f>scrimecost*Meta!O11</f>
        <v>4902.4000000000005</v>
      </c>
      <c r="N14" s="5">
        <f>L14-Grade13!L14</f>
        <v>1634.625018606188</v>
      </c>
      <c r="O14" s="5">
        <f>Grade13!M14-M14</f>
        <v>81.919999999999163</v>
      </c>
      <c r="P14" s="22">
        <f t="shared" si="12"/>
        <v>113.75818235315673</v>
      </c>
      <c r="Q14" s="22"/>
      <c r="R14" s="22"/>
      <c r="S14" s="22">
        <f t="shared" si="6"/>
        <v>1214.5246440469045</v>
      </c>
      <c r="T14" s="22">
        <f t="shared" si="7"/>
        <v>1127.1973867586071</v>
      </c>
    </row>
    <row r="15" spans="1:20" x14ac:dyDescent="0.2">
      <c r="A15" s="5">
        <v>24</v>
      </c>
      <c r="B15" s="1">
        <f t="shared" si="8"/>
        <v>1.1038128906249998</v>
      </c>
      <c r="C15" s="5">
        <f t="shared" si="9"/>
        <v>36948.670455159277</v>
      </c>
      <c r="D15" s="5">
        <f t="shared" si="0"/>
        <v>36009.328955132267</v>
      </c>
      <c r="E15" s="5">
        <f t="shared" si="1"/>
        <v>26509.328955132267</v>
      </c>
      <c r="F15" s="5">
        <f t="shared" si="2"/>
        <v>8957.0459038506851</v>
      </c>
      <c r="G15" s="5">
        <f t="shared" si="3"/>
        <v>27052.283051281582</v>
      </c>
      <c r="H15" s="22">
        <f t="shared" si="10"/>
        <v>16451.523278284119</v>
      </c>
      <c r="I15" s="5">
        <f t="shared" si="4"/>
        <v>42779.939305321197</v>
      </c>
      <c r="J15" s="26">
        <f t="shared" si="5"/>
        <v>0.16200883633288418</v>
      </c>
      <c r="L15" s="22">
        <f t="shared" si="11"/>
        <v>61963.220006905409</v>
      </c>
      <c r="M15" s="5">
        <f>scrimecost*Meta!O12</f>
        <v>4676.43</v>
      </c>
      <c r="N15" s="5">
        <f>L15-Grade13!L15</f>
        <v>1675.4906440713385</v>
      </c>
      <c r="O15" s="5">
        <f>Grade13!M15-M15</f>
        <v>78.144000000000233</v>
      </c>
      <c r="P15" s="22">
        <f t="shared" si="12"/>
        <v>116.14812418130073</v>
      </c>
      <c r="Q15" s="22"/>
      <c r="R15" s="22"/>
      <c r="S15" s="22">
        <f t="shared" si="6"/>
        <v>1240.0223002817943</v>
      </c>
      <c r="T15" s="22">
        <f t="shared" si="7"/>
        <v>1129.5918430728318</v>
      </c>
    </row>
    <row r="16" spans="1:20" x14ac:dyDescent="0.2">
      <c r="A16" s="5">
        <v>25</v>
      </c>
      <c r="B16" s="1">
        <f t="shared" si="8"/>
        <v>1.1314082128906247</v>
      </c>
      <c r="C16" s="5">
        <f t="shared" si="9"/>
        <v>37872.387216538264</v>
      </c>
      <c r="D16" s="5">
        <f t="shared" si="0"/>
        <v>36892.402179010583</v>
      </c>
      <c r="E16" s="5">
        <f t="shared" si="1"/>
        <v>27392.402179010583</v>
      </c>
      <c r="F16" s="5">
        <f t="shared" si="2"/>
        <v>9245.3693114469552</v>
      </c>
      <c r="G16" s="5">
        <f t="shared" si="3"/>
        <v>27647.032867563626</v>
      </c>
      <c r="H16" s="22">
        <f t="shared" si="10"/>
        <v>16862.811360241223</v>
      </c>
      <c r="I16" s="5">
        <f t="shared" si="4"/>
        <v>43767.880527954236</v>
      </c>
      <c r="J16" s="26">
        <f t="shared" si="5"/>
        <v>0.16356744840776186</v>
      </c>
      <c r="L16" s="22">
        <f t="shared" si="11"/>
        <v>63512.300507078042</v>
      </c>
      <c r="M16" s="5">
        <f>scrimecost*Meta!O13</f>
        <v>3893.1949999999997</v>
      </c>
      <c r="N16" s="5">
        <f>L16-Grade13!L16</f>
        <v>1717.377910173127</v>
      </c>
      <c r="O16" s="5">
        <f>Grade13!M16-M16</f>
        <v>65.05600000000004</v>
      </c>
      <c r="P16" s="22">
        <f t="shared" si="12"/>
        <v>118.59781455514839</v>
      </c>
      <c r="Q16" s="22"/>
      <c r="R16" s="22"/>
      <c r="S16" s="22">
        <f t="shared" si="6"/>
        <v>1259.0137579225616</v>
      </c>
      <c r="T16" s="22">
        <f t="shared" si="7"/>
        <v>1125.6955219795561</v>
      </c>
    </row>
    <row r="17" spans="1:20" x14ac:dyDescent="0.2">
      <c r="A17" s="5">
        <v>26</v>
      </c>
      <c r="B17" s="1">
        <f t="shared" si="8"/>
        <v>1.1596934182128902</v>
      </c>
      <c r="C17" s="5">
        <f t="shared" si="9"/>
        <v>38819.196896951711</v>
      </c>
      <c r="D17" s="5">
        <f t="shared" si="0"/>
        <v>37797.552233485832</v>
      </c>
      <c r="E17" s="5">
        <f t="shared" si="1"/>
        <v>28297.552233485832</v>
      </c>
      <c r="F17" s="5">
        <f t="shared" si="2"/>
        <v>9540.9008042331243</v>
      </c>
      <c r="G17" s="5">
        <f t="shared" si="3"/>
        <v>28256.651429252706</v>
      </c>
      <c r="H17" s="22">
        <f t="shared" si="10"/>
        <v>17284.381644247253</v>
      </c>
      <c r="I17" s="5">
        <f t="shared" si="4"/>
        <v>44780.520281153076</v>
      </c>
      <c r="J17" s="26">
        <f t="shared" si="5"/>
        <v>0.16508804555398388</v>
      </c>
      <c r="L17" s="22">
        <f t="shared" si="11"/>
        <v>65100.108019754989</v>
      </c>
      <c r="M17" s="5">
        <f>scrimecost*Meta!O14</f>
        <v>3893.1949999999997</v>
      </c>
      <c r="N17" s="5">
        <f>L17-Grade13!L17</f>
        <v>1760.312357927447</v>
      </c>
      <c r="O17" s="5">
        <f>Grade13!M17-M17</f>
        <v>65.05600000000004</v>
      </c>
      <c r="P17" s="22">
        <f t="shared" si="12"/>
        <v>121.10874718834219</v>
      </c>
      <c r="Q17" s="22"/>
      <c r="R17" s="22"/>
      <c r="S17" s="22">
        <f t="shared" si="6"/>
        <v>1288.8767820043395</v>
      </c>
      <c r="T17" s="22">
        <f t="shared" si="7"/>
        <v>1131.098101163484</v>
      </c>
    </row>
    <row r="18" spans="1:20" x14ac:dyDescent="0.2">
      <c r="A18" s="5">
        <v>27</v>
      </c>
      <c r="B18" s="1">
        <f t="shared" si="8"/>
        <v>1.1886857536682125</v>
      </c>
      <c r="C18" s="5">
        <f t="shared" si="9"/>
        <v>39789.676819375505</v>
      </c>
      <c r="D18" s="5">
        <f t="shared" si="0"/>
        <v>38725.331039322984</v>
      </c>
      <c r="E18" s="5">
        <f t="shared" si="1"/>
        <v>29225.331039322984</v>
      </c>
      <c r="F18" s="5">
        <f t="shared" si="2"/>
        <v>9843.8205843389551</v>
      </c>
      <c r="G18" s="5">
        <f t="shared" si="3"/>
        <v>28881.510454984029</v>
      </c>
      <c r="H18" s="22">
        <f t="shared" si="10"/>
        <v>17716.491185353432</v>
      </c>
      <c r="I18" s="5">
        <f t="shared" si="4"/>
        <v>45818.476028181911</v>
      </c>
      <c r="J18" s="26">
        <f t="shared" si="5"/>
        <v>0.16657155496493231</v>
      </c>
      <c r="L18" s="22">
        <f t="shared" si="11"/>
        <v>66727.610720248864</v>
      </c>
      <c r="M18" s="5">
        <f>scrimecost*Meta!O15</f>
        <v>3893.1949999999997</v>
      </c>
      <c r="N18" s="5">
        <f>L18-Grade13!L18</f>
        <v>1804.3201668756301</v>
      </c>
      <c r="O18" s="5">
        <f>Grade13!M18-M18</f>
        <v>65.05600000000004</v>
      </c>
      <c r="P18" s="22">
        <f t="shared" si="12"/>
        <v>123.6824531373659</v>
      </c>
      <c r="Q18" s="22"/>
      <c r="R18" s="22"/>
      <c r="S18" s="22">
        <f t="shared" si="6"/>
        <v>1319.486381688165</v>
      </c>
      <c r="T18" s="22">
        <f t="shared" si="7"/>
        <v>1136.5595504638927</v>
      </c>
    </row>
    <row r="19" spans="1:20" x14ac:dyDescent="0.2">
      <c r="A19" s="5">
        <v>28</v>
      </c>
      <c r="B19" s="1">
        <f t="shared" si="8"/>
        <v>1.2184028975099177</v>
      </c>
      <c r="C19" s="5">
        <f t="shared" si="9"/>
        <v>40784.418739859895</v>
      </c>
      <c r="D19" s="5">
        <f t="shared" si="0"/>
        <v>39676.304315306057</v>
      </c>
      <c r="E19" s="5">
        <f t="shared" si="1"/>
        <v>30176.304315306057</v>
      </c>
      <c r="F19" s="5">
        <f t="shared" si="2"/>
        <v>10154.313358947427</v>
      </c>
      <c r="G19" s="5">
        <f t="shared" si="3"/>
        <v>29521.99095635863</v>
      </c>
      <c r="H19" s="22">
        <f t="shared" si="10"/>
        <v>18159.403464987266</v>
      </c>
      <c r="I19" s="5">
        <f t="shared" si="4"/>
        <v>46882.380668886457</v>
      </c>
      <c r="J19" s="26">
        <f t="shared" si="5"/>
        <v>0.16801888121951608</v>
      </c>
      <c r="L19" s="22">
        <f t="shared" si="11"/>
        <v>68395.800988255083</v>
      </c>
      <c r="M19" s="5">
        <f>scrimecost*Meta!O16</f>
        <v>3893.1949999999997</v>
      </c>
      <c r="N19" s="5">
        <f>L19-Grade13!L19</f>
        <v>1849.4281710475334</v>
      </c>
      <c r="O19" s="5">
        <f>Grade13!M19-M19</f>
        <v>65.05600000000004</v>
      </c>
      <c r="P19" s="22">
        <f t="shared" si="12"/>
        <v>126.32050173511514</v>
      </c>
      <c r="Q19" s="22"/>
      <c r="R19" s="22"/>
      <c r="S19" s="22">
        <f t="shared" si="6"/>
        <v>1350.8612213640968</v>
      </c>
      <c r="T19" s="22">
        <f t="shared" si="7"/>
        <v>1142.0797431077901</v>
      </c>
    </row>
    <row r="20" spans="1:20" x14ac:dyDescent="0.2">
      <c r="A20" s="5">
        <v>29</v>
      </c>
      <c r="B20" s="1">
        <f t="shared" si="8"/>
        <v>1.2488629699476654</v>
      </c>
      <c r="C20" s="5">
        <f t="shared" si="9"/>
        <v>41804.029208356384</v>
      </c>
      <c r="D20" s="5">
        <f t="shared" si="0"/>
        <v>40651.051923188701</v>
      </c>
      <c r="E20" s="5">
        <f t="shared" si="1"/>
        <v>31151.051923188701</v>
      </c>
      <c r="F20" s="5">
        <f t="shared" si="2"/>
        <v>10472.56845292111</v>
      </c>
      <c r="G20" s="5">
        <f t="shared" si="3"/>
        <v>30178.483470267591</v>
      </c>
      <c r="H20" s="22">
        <f t="shared" si="10"/>
        <v>18613.388551611948</v>
      </c>
      <c r="I20" s="5">
        <f t="shared" si="4"/>
        <v>47972.882925608617</v>
      </c>
      <c r="J20" s="26">
        <f t="shared" si="5"/>
        <v>0.16943090683374415</v>
      </c>
      <c r="L20" s="22">
        <f t="shared" si="11"/>
        <v>70105.696012961445</v>
      </c>
      <c r="M20" s="5">
        <f>scrimecost*Meta!O17</f>
        <v>3893.1949999999997</v>
      </c>
      <c r="N20" s="5">
        <f>L20-Grade13!L20</f>
        <v>1895.6638753237057</v>
      </c>
      <c r="O20" s="5">
        <f>Grade13!M20-M20</f>
        <v>65.05600000000004</v>
      </c>
      <c r="P20" s="22">
        <f t="shared" si="12"/>
        <v>129.02450154780811</v>
      </c>
      <c r="Q20" s="22"/>
      <c r="R20" s="22"/>
      <c r="S20" s="22">
        <f t="shared" si="6"/>
        <v>1383.0204320319078</v>
      </c>
      <c r="T20" s="22">
        <f t="shared" si="7"/>
        <v>1147.6585604867023</v>
      </c>
    </row>
    <row r="21" spans="1:20" x14ac:dyDescent="0.2">
      <c r="A21" s="5">
        <v>30</v>
      </c>
      <c r="B21" s="1">
        <f t="shared" si="8"/>
        <v>1.2800845441963571</v>
      </c>
      <c r="C21" s="5">
        <f t="shared" si="9"/>
        <v>42849.129938565296</v>
      </c>
      <c r="D21" s="5">
        <f t="shared" si="0"/>
        <v>41650.168221268425</v>
      </c>
      <c r="E21" s="5">
        <f t="shared" si="1"/>
        <v>32150.168221268425</v>
      </c>
      <c r="F21" s="5">
        <f t="shared" si="2"/>
        <v>10798.77992424414</v>
      </c>
      <c r="G21" s="5">
        <f t="shared" si="3"/>
        <v>30851.388297024285</v>
      </c>
      <c r="H21" s="22">
        <f t="shared" si="10"/>
        <v>19078.723265402248</v>
      </c>
      <c r="I21" s="5">
        <f t="shared" si="4"/>
        <v>49090.647738748834</v>
      </c>
      <c r="J21" s="26">
        <f t="shared" si="5"/>
        <v>0.17080849279884472</v>
      </c>
      <c r="L21" s="22">
        <f t="shared" si="11"/>
        <v>71858.338413285484</v>
      </c>
      <c r="M21" s="5">
        <f>scrimecost*Meta!O18</f>
        <v>3207.625</v>
      </c>
      <c r="N21" s="5">
        <f>L21-Grade13!L21</f>
        <v>1943.0554722068046</v>
      </c>
      <c r="O21" s="5">
        <f>Grade13!M21-M21</f>
        <v>53.599999999999909</v>
      </c>
      <c r="P21" s="22">
        <f t="shared" si="12"/>
        <v>131.79610135581845</v>
      </c>
      <c r="Q21" s="22"/>
      <c r="R21" s="22"/>
      <c r="S21" s="22">
        <f t="shared" si="6"/>
        <v>1407.1052229664288</v>
      </c>
      <c r="T21" s="22">
        <f t="shared" si="7"/>
        <v>1146.064578004841</v>
      </c>
    </row>
    <row r="22" spans="1:20" x14ac:dyDescent="0.2">
      <c r="A22" s="5">
        <v>31</v>
      </c>
      <c r="B22" s="1">
        <f t="shared" si="8"/>
        <v>1.312086657801266</v>
      </c>
      <c r="C22" s="5">
        <f t="shared" si="9"/>
        <v>43920.358187029429</v>
      </c>
      <c r="D22" s="5">
        <f t="shared" si="0"/>
        <v>42674.262426800131</v>
      </c>
      <c r="E22" s="5">
        <f t="shared" si="1"/>
        <v>33174.262426800131</v>
      </c>
      <c r="F22" s="5">
        <f t="shared" si="2"/>
        <v>11133.146682350243</v>
      </c>
      <c r="G22" s="5">
        <f t="shared" si="3"/>
        <v>31541.115744449889</v>
      </c>
      <c r="H22" s="22">
        <f t="shared" si="10"/>
        <v>19555.691347037304</v>
      </c>
      <c r="I22" s="5">
        <f t="shared" si="4"/>
        <v>50236.356672217553</v>
      </c>
      <c r="J22" s="26">
        <f t="shared" si="5"/>
        <v>0.17215247910625991</v>
      </c>
      <c r="L22" s="22">
        <f t="shared" si="11"/>
        <v>73654.796873617612</v>
      </c>
      <c r="M22" s="5">
        <f>scrimecost*Meta!O19</f>
        <v>3207.625</v>
      </c>
      <c r="N22" s="5">
        <f>L22-Grade13!L22</f>
        <v>1991.6318590119627</v>
      </c>
      <c r="O22" s="5">
        <f>Grade13!M22-M22</f>
        <v>53.599999999999909</v>
      </c>
      <c r="P22" s="22">
        <f t="shared" si="12"/>
        <v>134.63699115902904</v>
      </c>
      <c r="Q22" s="22"/>
      <c r="R22" s="22"/>
      <c r="S22" s="22">
        <f t="shared" si="6"/>
        <v>1440.892493674301</v>
      </c>
      <c r="T22" s="22">
        <f t="shared" si="7"/>
        <v>1151.8939679374905</v>
      </c>
    </row>
    <row r="23" spans="1:20" x14ac:dyDescent="0.2">
      <c r="A23" s="5">
        <v>32</v>
      </c>
      <c r="B23" s="1">
        <f t="shared" si="8"/>
        <v>1.3448888242462975</v>
      </c>
      <c r="C23" s="5">
        <f t="shared" si="9"/>
        <v>45018.367141705159</v>
      </c>
      <c r="D23" s="5">
        <f t="shared" si="0"/>
        <v>43723.958987470134</v>
      </c>
      <c r="E23" s="5">
        <f t="shared" si="1"/>
        <v>34223.958987470134</v>
      </c>
      <c r="F23" s="5">
        <f t="shared" si="2"/>
        <v>11475.872609408998</v>
      </c>
      <c r="G23" s="5">
        <f t="shared" si="3"/>
        <v>32248.086378061136</v>
      </c>
      <c r="H23" s="22">
        <f t="shared" si="10"/>
        <v>20044.583630713234</v>
      </c>
      <c r="I23" s="5">
        <f t="shared" si="4"/>
        <v>51410.708329022986</v>
      </c>
      <c r="J23" s="26">
        <f t="shared" si="5"/>
        <v>0.17346368525983571</v>
      </c>
      <c r="L23" s="22">
        <f t="shared" si="11"/>
        <v>75496.166795458048</v>
      </c>
      <c r="M23" s="5">
        <f>scrimecost*Meta!O20</f>
        <v>3207.625</v>
      </c>
      <c r="N23" s="5">
        <f>L23-Grade13!L23</f>
        <v>2041.422655487273</v>
      </c>
      <c r="O23" s="5">
        <f>Grade13!M23-M23</f>
        <v>53.599999999999909</v>
      </c>
      <c r="P23" s="22">
        <f t="shared" si="12"/>
        <v>137.54890320731991</v>
      </c>
      <c r="Q23" s="22"/>
      <c r="R23" s="22"/>
      <c r="S23" s="22">
        <f t="shared" si="6"/>
        <v>1475.5244461498849</v>
      </c>
      <c r="T23" s="22">
        <f t="shared" si="7"/>
        <v>1157.7792046046823</v>
      </c>
    </row>
    <row r="24" spans="1:20" x14ac:dyDescent="0.2">
      <c r="A24" s="5">
        <v>33</v>
      </c>
      <c r="B24" s="1">
        <f t="shared" si="8"/>
        <v>1.3785110448524549</v>
      </c>
      <c r="C24" s="5">
        <f t="shared" si="9"/>
        <v>46143.826320247783</v>
      </c>
      <c r="D24" s="5">
        <f t="shared" si="0"/>
        <v>44799.89796215688</v>
      </c>
      <c r="E24" s="5">
        <f t="shared" si="1"/>
        <v>35299.89796215688</v>
      </c>
      <c r="F24" s="5">
        <f t="shared" si="2"/>
        <v>11907.156480859911</v>
      </c>
      <c r="G24" s="5">
        <f t="shared" si="3"/>
        <v>32892.741481296966</v>
      </c>
      <c r="H24" s="22">
        <f t="shared" si="10"/>
        <v>20545.698221481063</v>
      </c>
      <c r="I24" s="5">
        <f t="shared" si="4"/>
        <v>52534.428981032863</v>
      </c>
      <c r="J24" s="26">
        <f t="shared" si="5"/>
        <v>0.17599755062381067</v>
      </c>
      <c r="L24" s="22">
        <f t="shared" si="11"/>
        <v>77383.570965344494</v>
      </c>
      <c r="M24" s="5">
        <f>scrimecost*Meta!O21</f>
        <v>3207.625</v>
      </c>
      <c r="N24" s="5">
        <f>L24-Grade13!L24</f>
        <v>2092.4582218744472</v>
      </c>
      <c r="O24" s="5">
        <f>Grade13!M24-M24</f>
        <v>53.599999999999909</v>
      </c>
      <c r="P24" s="22">
        <f t="shared" si="12"/>
        <v>141.21323263897139</v>
      </c>
      <c r="Q24" s="22"/>
      <c r="R24" s="22"/>
      <c r="S24" s="22">
        <f t="shared" si="6"/>
        <v>1511.5489026135151</v>
      </c>
      <c r="T24" s="22">
        <f t="shared" si="7"/>
        <v>1164.125890830732</v>
      </c>
    </row>
    <row r="25" spans="1:20" x14ac:dyDescent="0.2">
      <c r="A25" s="5">
        <v>34</v>
      </c>
      <c r="B25" s="1">
        <f t="shared" si="8"/>
        <v>1.4129738209737661</v>
      </c>
      <c r="C25" s="5">
        <f t="shared" si="9"/>
        <v>47297.421978253973</v>
      </c>
      <c r="D25" s="5">
        <f t="shared" si="0"/>
        <v>45902.735411210801</v>
      </c>
      <c r="E25" s="5">
        <f t="shared" si="1"/>
        <v>36402.735411210801</v>
      </c>
      <c r="F25" s="5">
        <f t="shared" si="2"/>
        <v>12377.516652881406</v>
      </c>
      <c r="G25" s="5">
        <f t="shared" si="3"/>
        <v>33525.218758329393</v>
      </c>
      <c r="H25" s="22">
        <f t="shared" si="10"/>
        <v>21059.340677018088</v>
      </c>
      <c r="I25" s="5">
        <f t="shared" si="4"/>
        <v>53657.948445558679</v>
      </c>
      <c r="J25" s="26">
        <f t="shared" si="5"/>
        <v>0.17890258468533896</v>
      </c>
      <c r="L25" s="22">
        <f t="shared" si="11"/>
        <v>79318.160239478108</v>
      </c>
      <c r="M25" s="5">
        <f>scrimecost*Meta!O22</f>
        <v>3207.625</v>
      </c>
      <c r="N25" s="5">
        <f>L25-Grade13!L25</f>
        <v>2144.7696774213109</v>
      </c>
      <c r="O25" s="5">
        <f>Grade13!M25-M25</f>
        <v>53.599999999999909</v>
      </c>
      <c r="P25" s="22">
        <f t="shared" si="12"/>
        <v>145.20956715529977</v>
      </c>
      <c r="Q25" s="22"/>
      <c r="R25" s="22"/>
      <c r="S25" s="22">
        <f t="shared" si="6"/>
        <v>1548.6602780466292</v>
      </c>
      <c r="T25" s="22">
        <f t="shared" si="7"/>
        <v>1170.6641411112735</v>
      </c>
    </row>
    <row r="26" spans="1:20" x14ac:dyDescent="0.2">
      <c r="A26" s="5">
        <v>35</v>
      </c>
      <c r="B26" s="1">
        <f t="shared" si="8"/>
        <v>1.4482981664981105</v>
      </c>
      <c r="C26" s="5">
        <f t="shared" si="9"/>
        <v>48479.85752771033</v>
      </c>
      <c r="D26" s="5">
        <f t="shared" si="0"/>
        <v>47033.143796491073</v>
      </c>
      <c r="E26" s="5">
        <f t="shared" si="1"/>
        <v>37533.143796491073</v>
      </c>
      <c r="F26" s="5">
        <f t="shared" si="2"/>
        <v>12859.635829203442</v>
      </c>
      <c r="G26" s="5">
        <f t="shared" si="3"/>
        <v>34173.507967287631</v>
      </c>
      <c r="H26" s="22">
        <f t="shared" si="10"/>
        <v>21585.824193943539</v>
      </c>
      <c r="I26" s="5">
        <f t="shared" si="4"/>
        <v>54809.555896697653</v>
      </c>
      <c r="J26" s="26">
        <f t="shared" si="5"/>
        <v>0.18173676425756169</v>
      </c>
      <c r="L26" s="22">
        <f t="shared" si="11"/>
        <v>81301.114245465069</v>
      </c>
      <c r="M26" s="5">
        <f>scrimecost*Meta!O23</f>
        <v>2424.39</v>
      </c>
      <c r="N26" s="5">
        <f>L26-Grade13!L26</f>
        <v>2198.3889193568612</v>
      </c>
      <c r="O26" s="5">
        <f>Grade13!M26-M26</f>
        <v>40.512000000000171</v>
      </c>
      <c r="P26" s="22">
        <f t="shared" si="12"/>
        <v>149.30581003453636</v>
      </c>
      <c r="Q26" s="22"/>
      <c r="R26" s="22"/>
      <c r="S26" s="22">
        <f t="shared" si="6"/>
        <v>1576.5562378655809</v>
      </c>
      <c r="T26" s="22">
        <f t="shared" si="7"/>
        <v>1169.7257058723872</v>
      </c>
    </row>
    <row r="27" spans="1:20" x14ac:dyDescent="0.2">
      <c r="A27" s="5">
        <v>36</v>
      </c>
      <c r="B27" s="1">
        <f t="shared" si="8"/>
        <v>1.4845056206605631</v>
      </c>
      <c r="C27" s="5">
        <f t="shared" si="9"/>
        <v>49691.853965903087</v>
      </c>
      <c r="D27" s="5">
        <f t="shared" si="0"/>
        <v>48191.812391403349</v>
      </c>
      <c r="E27" s="5">
        <f t="shared" si="1"/>
        <v>38691.812391403349</v>
      </c>
      <c r="F27" s="5">
        <f t="shared" si="2"/>
        <v>13353.807984933528</v>
      </c>
      <c r="G27" s="5">
        <f t="shared" si="3"/>
        <v>34838.004406469823</v>
      </c>
      <c r="H27" s="22">
        <f t="shared" si="10"/>
        <v>22125.469798792128</v>
      </c>
      <c r="I27" s="5">
        <f t="shared" si="4"/>
        <v>55989.953534115099</v>
      </c>
      <c r="J27" s="26">
        <f t="shared" si="5"/>
        <v>0.18450181749875461</v>
      </c>
      <c r="L27" s="22">
        <f t="shared" si="11"/>
        <v>83333.642101601683</v>
      </c>
      <c r="M27" s="5">
        <f>scrimecost*Meta!O24</f>
        <v>2424.39</v>
      </c>
      <c r="N27" s="5">
        <f>L27-Grade13!L27</f>
        <v>2253.3486423407739</v>
      </c>
      <c r="O27" s="5">
        <f>Grade13!M27-M27</f>
        <v>40.512000000000171</v>
      </c>
      <c r="P27" s="22">
        <f t="shared" si="12"/>
        <v>153.50445898575387</v>
      </c>
      <c r="Q27" s="22"/>
      <c r="R27" s="22"/>
      <c r="S27" s="22">
        <f t="shared" si="6"/>
        <v>1615.5463766799892</v>
      </c>
      <c r="T27" s="22">
        <f t="shared" si="7"/>
        <v>1176.5012877425513</v>
      </c>
    </row>
    <row r="28" spans="1:20" x14ac:dyDescent="0.2">
      <c r="A28" s="5">
        <v>37</v>
      </c>
      <c r="B28" s="1">
        <f t="shared" si="8"/>
        <v>1.521618261177077</v>
      </c>
      <c r="C28" s="5">
        <f t="shared" si="9"/>
        <v>50934.150315050654</v>
      </c>
      <c r="D28" s="5">
        <f t="shared" si="0"/>
        <v>49379.447701188423</v>
      </c>
      <c r="E28" s="5">
        <f t="shared" si="1"/>
        <v>39879.447701188423</v>
      </c>
      <c r="F28" s="5">
        <f t="shared" si="2"/>
        <v>13860.334444556862</v>
      </c>
      <c r="G28" s="5">
        <f t="shared" si="3"/>
        <v>35519.113256631565</v>
      </c>
      <c r="H28" s="22">
        <f t="shared" si="10"/>
        <v>22678.606543761929</v>
      </c>
      <c r="I28" s="5">
        <f t="shared" si="4"/>
        <v>57199.861112467966</v>
      </c>
      <c r="J28" s="26">
        <f t="shared" si="5"/>
        <v>0.18719943041699161</v>
      </c>
      <c r="L28" s="22">
        <f t="shared" si="11"/>
        <v>85416.983154141722</v>
      </c>
      <c r="M28" s="5">
        <f>scrimecost*Meta!O25</f>
        <v>2424.39</v>
      </c>
      <c r="N28" s="5">
        <f>L28-Grade13!L28</f>
        <v>2309.6823583992955</v>
      </c>
      <c r="O28" s="5">
        <f>Grade13!M28-M28</f>
        <v>40.512000000000171</v>
      </c>
      <c r="P28" s="22">
        <f t="shared" si="12"/>
        <v>157.80807416075183</v>
      </c>
      <c r="Q28" s="22"/>
      <c r="R28" s="22"/>
      <c r="S28" s="22">
        <f t="shared" si="6"/>
        <v>1655.5112689647647</v>
      </c>
      <c r="T28" s="22">
        <f t="shared" si="7"/>
        <v>1183.3236079282824</v>
      </c>
    </row>
    <row r="29" spans="1:20" x14ac:dyDescent="0.2">
      <c r="A29" s="5">
        <v>38</v>
      </c>
      <c r="B29" s="1">
        <f t="shared" si="8"/>
        <v>1.559658717706504</v>
      </c>
      <c r="C29" s="5">
        <f t="shared" si="9"/>
        <v>52207.504072926931</v>
      </c>
      <c r="D29" s="5">
        <f t="shared" si="0"/>
        <v>50596.773893718142</v>
      </c>
      <c r="E29" s="5">
        <f t="shared" si="1"/>
        <v>41096.773893718142</v>
      </c>
      <c r="F29" s="5">
        <f t="shared" si="2"/>
        <v>14379.524065670788</v>
      </c>
      <c r="G29" s="5">
        <f t="shared" si="3"/>
        <v>36217.249828047352</v>
      </c>
      <c r="H29" s="22">
        <f t="shared" si="10"/>
        <v>23245.571707355975</v>
      </c>
      <c r="I29" s="5">
        <f t="shared" si="4"/>
        <v>58440.01638027966</v>
      </c>
      <c r="J29" s="26">
        <f t="shared" si="5"/>
        <v>0.1898312478981985</v>
      </c>
      <c r="L29" s="22">
        <f t="shared" si="11"/>
        <v>87552.407732995271</v>
      </c>
      <c r="M29" s="5">
        <f>scrimecost*Meta!O26</f>
        <v>2424.39</v>
      </c>
      <c r="N29" s="5">
        <f>L29-Grade13!L29</f>
        <v>2367.4244173592742</v>
      </c>
      <c r="O29" s="5">
        <f>Grade13!M29-M29</f>
        <v>40.512000000000171</v>
      </c>
      <c r="P29" s="22">
        <f t="shared" si="12"/>
        <v>162.21927971512477</v>
      </c>
      <c r="Q29" s="22"/>
      <c r="R29" s="22"/>
      <c r="S29" s="22">
        <f t="shared" si="6"/>
        <v>1696.4752835566558</v>
      </c>
      <c r="T29" s="22">
        <f t="shared" si="7"/>
        <v>1190.1928440795264</v>
      </c>
    </row>
    <row r="30" spans="1:20" x14ac:dyDescent="0.2">
      <c r="A30" s="5">
        <v>39</v>
      </c>
      <c r="B30" s="1">
        <f t="shared" si="8"/>
        <v>1.5986501856491666</v>
      </c>
      <c r="C30" s="5">
        <f t="shared" si="9"/>
        <v>53512.691674750095</v>
      </c>
      <c r="D30" s="5">
        <f t="shared" si="0"/>
        <v>51844.533241061086</v>
      </c>
      <c r="E30" s="5">
        <f t="shared" si="1"/>
        <v>42344.533241061086</v>
      </c>
      <c r="F30" s="5">
        <f t="shared" si="2"/>
        <v>14911.693427312553</v>
      </c>
      <c r="G30" s="5">
        <f t="shared" si="3"/>
        <v>36932.839813748535</v>
      </c>
      <c r="H30" s="22">
        <f t="shared" si="10"/>
        <v>23826.711000039875</v>
      </c>
      <c r="I30" s="5">
        <f t="shared" si="4"/>
        <v>59711.175529786655</v>
      </c>
      <c r="J30" s="26">
        <f t="shared" si="5"/>
        <v>0.19239887470913192</v>
      </c>
      <c r="L30" s="22">
        <f t="shared" si="11"/>
        <v>89741.217926320154</v>
      </c>
      <c r="M30" s="5">
        <f>scrimecost*Meta!O27</f>
        <v>2424.39</v>
      </c>
      <c r="N30" s="5">
        <f>L30-Grade13!L30</f>
        <v>2426.610027793271</v>
      </c>
      <c r="O30" s="5">
        <f>Grade13!M30-M30</f>
        <v>40.512000000000171</v>
      </c>
      <c r="P30" s="22">
        <f t="shared" si="12"/>
        <v>166.74076540835699</v>
      </c>
      <c r="Q30" s="22"/>
      <c r="R30" s="22"/>
      <c r="S30" s="22">
        <f t="shared" si="6"/>
        <v>1738.4633985133567</v>
      </c>
      <c r="T30" s="22">
        <f t="shared" si="7"/>
        <v>1197.1091768703059</v>
      </c>
    </row>
    <row r="31" spans="1:20" x14ac:dyDescent="0.2">
      <c r="A31" s="5">
        <v>40</v>
      </c>
      <c r="B31" s="1">
        <f t="shared" si="8"/>
        <v>1.6386164402903955</v>
      </c>
      <c r="C31" s="5">
        <f t="shared" si="9"/>
        <v>54850.508966618843</v>
      </c>
      <c r="D31" s="5">
        <f t="shared" si="0"/>
        <v>53123.486572087611</v>
      </c>
      <c r="E31" s="5">
        <f t="shared" si="1"/>
        <v>43623.486572087611</v>
      </c>
      <c r="F31" s="5">
        <f t="shared" si="2"/>
        <v>15457.167022995365</v>
      </c>
      <c r="G31" s="5">
        <f t="shared" si="3"/>
        <v>37666.319549092244</v>
      </c>
      <c r="H31" s="22">
        <f t="shared" si="10"/>
        <v>24422.378775040874</v>
      </c>
      <c r="I31" s="5">
        <f t="shared" si="4"/>
        <v>61014.113658031318</v>
      </c>
      <c r="J31" s="26">
        <f t="shared" si="5"/>
        <v>0.19490387647589633</v>
      </c>
      <c r="L31" s="22">
        <f t="shared" si="11"/>
        <v>91984.748374478135</v>
      </c>
      <c r="M31" s="5">
        <f>scrimecost*Meta!O28</f>
        <v>2165.8650000000002</v>
      </c>
      <c r="N31" s="5">
        <f>L31-Grade13!L31</f>
        <v>2487.2752784880868</v>
      </c>
      <c r="O31" s="5">
        <f>Grade13!M31-M31</f>
        <v>36.191999999999553</v>
      </c>
      <c r="P31" s="22">
        <f t="shared" si="12"/>
        <v>171.37528824392001</v>
      </c>
      <c r="Q31" s="22"/>
      <c r="R31" s="22"/>
      <c r="S31" s="22">
        <f t="shared" si="6"/>
        <v>1778.1532163439538</v>
      </c>
      <c r="T31" s="22">
        <f t="shared" si="7"/>
        <v>1201.8099592493031</v>
      </c>
    </row>
    <row r="32" spans="1:20" x14ac:dyDescent="0.2">
      <c r="A32" s="5">
        <v>41</v>
      </c>
      <c r="B32" s="1">
        <f t="shared" si="8"/>
        <v>1.6795818512976552</v>
      </c>
      <c r="C32" s="5">
        <f t="shared" si="9"/>
        <v>56221.771690784313</v>
      </c>
      <c r="D32" s="5">
        <f t="shared" si="0"/>
        <v>54434.413736389804</v>
      </c>
      <c r="E32" s="5">
        <f t="shared" si="1"/>
        <v>44934.413736389804</v>
      </c>
      <c r="F32" s="5">
        <f t="shared" si="2"/>
        <v>16016.27745857025</v>
      </c>
      <c r="G32" s="5">
        <f t="shared" si="3"/>
        <v>38418.136277819554</v>
      </c>
      <c r="H32" s="22">
        <f t="shared" si="10"/>
        <v>25032.938244416891</v>
      </c>
      <c r="I32" s="5">
        <f t="shared" si="4"/>
        <v>62349.625239482106</v>
      </c>
      <c r="J32" s="26">
        <f t="shared" si="5"/>
        <v>0.19734778063859332</v>
      </c>
      <c r="L32" s="22">
        <f t="shared" si="11"/>
        <v>94284.367083840072</v>
      </c>
      <c r="M32" s="5">
        <f>scrimecost*Meta!O29</f>
        <v>2165.8650000000002</v>
      </c>
      <c r="N32" s="5">
        <f>L32-Grade13!L32</f>
        <v>2549.4571604502707</v>
      </c>
      <c r="O32" s="5">
        <f>Grade13!M32-M32</f>
        <v>36.191999999999553</v>
      </c>
      <c r="P32" s="22">
        <f t="shared" si="12"/>
        <v>176.12567415037211</v>
      </c>
      <c r="Q32" s="22"/>
      <c r="R32" s="22"/>
      <c r="S32" s="22">
        <f t="shared" si="6"/>
        <v>1822.2669796203152</v>
      </c>
      <c r="T32" s="22">
        <f t="shared" si="7"/>
        <v>1208.8628602612973</v>
      </c>
    </row>
    <row r="33" spans="1:20" x14ac:dyDescent="0.2">
      <c r="A33" s="5">
        <v>42</v>
      </c>
      <c r="B33" s="1">
        <f t="shared" si="8"/>
        <v>1.7215713975800966</v>
      </c>
      <c r="C33" s="5">
        <f t="shared" si="9"/>
        <v>57627.315983053915</v>
      </c>
      <c r="D33" s="5">
        <f t="shared" si="0"/>
        <v>55778.114079799539</v>
      </c>
      <c r="E33" s="5">
        <f t="shared" si="1"/>
        <v>46278.114079799539</v>
      </c>
      <c r="F33" s="5">
        <f t="shared" si="2"/>
        <v>16589.365655034504</v>
      </c>
      <c r="G33" s="5">
        <f t="shared" si="3"/>
        <v>39188.748424765035</v>
      </c>
      <c r="H33" s="22">
        <f t="shared" si="10"/>
        <v>25658.76170052731</v>
      </c>
      <c r="I33" s="5">
        <f t="shared" si="4"/>
        <v>63718.524610469147</v>
      </c>
      <c r="J33" s="26">
        <f t="shared" si="5"/>
        <v>0.19973207738268786</v>
      </c>
      <c r="L33" s="22">
        <f t="shared" si="11"/>
        <v>96641.476260936077</v>
      </c>
      <c r="M33" s="5">
        <f>scrimecost*Meta!O30</f>
        <v>2165.8650000000002</v>
      </c>
      <c r="N33" s="5">
        <f>L33-Grade13!L33</f>
        <v>2613.1935894615308</v>
      </c>
      <c r="O33" s="5">
        <f>Grade13!M33-M33</f>
        <v>36.191999999999553</v>
      </c>
      <c r="P33" s="22">
        <f t="shared" si="12"/>
        <v>180.99481970448551</v>
      </c>
      <c r="Q33" s="22"/>
      <c r="R33" s="22"/>
      <c r="S33" s="22">
        <f t="shared" si="6"/>
        <v>1867.4835869786</v>
      </c>
      <c r="T33" s="22">
        <f t="shared" si="7"/>
        <v>1215.9626449844025</v>
      </c>
    </row>
    <row r="34" spans="1:20" x14ac:dyDescent="0.2">
      <c r="A34" s="5">
        <v>43</v>
      </c>
      <c r="B34" s="1">
        <f t="shared" si="8"/>
        <v>1.7646106825195991</v>
      </c>
      <c r="C34" s="5">
        <f t="shared" si="9"/>
        <v>59067.998882630265</v>
      </c>
      <c r="D34" s="5">
        <f t="shared" si="0"/>
        <v>57155.406931794532</v>
      </c>
      <c r="E34" s="5">
        <f t="shared" si="1"/>
        <v>47655.406931794532</v>
      </c>
      <c r="F34" s="5">
        <f t="shared" si="2"/>
        <v>17176.781056410367</v>
      </c>
      <c r="G34" s="5">
        <f t="shared" si="3"/>
        <v>39978.625875384168</v>
      </c>
      <c r="H34" s="22">
        <f t="shared" si="10"/>
        <v>26300.230743040494</v>
      </c>
      <c r="I34" s="5">
        <f t="shared" si="4"/>
        <v>65121.646465730882</v>
      </c>
      <c r="J34" s="26">
        <f t="shared" si="5"/>
        <v>0.20205822054765818</v>
      </c>
      <c r="L34" s="22">
        <f t="shared" si="11"/>
        <v>99057.513167459489</v>
      </c>
      <c r="M34" s="5">
        <f>scrimecost*Meta!O31</f>
        <v>2165.8650000000002</v>
      </c>
      <c r="N34" s="5">
        <f>L34-Grade13!L34</f>
        <v>2678.5234291980887</v>
      </c>
      <c r="O34" s="5">
        <f>Grade13!M34-M34</f>
        <v>36.191999999999553</v>
      </c>
      <c r="P34" s="22">
        <f t="shared" si="12"/>
        <v>185.98569389745174</v>
      </c>
      <c r="Q34" s="22"/>
      <c r="R34" s="22"/>
      <c r="S34" s="22">
        <f t="shared" si="6"/>
        <v>1913.8306095208518</v>
      </c>
      <c r="T34" s="22">
        <f t="shared" si="7"/>
        <v>1223.1095203023599</v>
      </c>
    </row>
    <row r="35" spans="1:20" x14ac:dyDescent="0.2">
      <c r="A35" s="5">
        <v>44</v>
      </c>
      <c r="B35" s="1">
        <f t="shared" si="8"/>
        <v>1.8087259495825889</v>
      </c>
      <c r="C35" s="5">
        <f t="shared" si="9"/>
        <v>60544.698854696013</v>
      </c>
      <c r="D35" s="5">
        <f t="shared" si="0"/>
        <v>58567.132105089389</v>
      </c>
      <c r="E35" s="5">
        <f t="shared" si="1"/>
        <v>49067.132105089389</v>
      </c>
      <c r="F35" s="5">
        <f t="shared" si="2"/>
        <v>17778.881842820625</v>
      </c>
      <c r="G35" s="5">
        <f t="shared" si="3"/>
        <v>40788.250262268761</v>
      </c>
      <c r="H35" s="22">
        <f t="shared" si="10"/>
        <v>26957.736511616506</v>
      </c>
      <c r="I35" s="5">
        <f t="shared" si="4"/>
        <v>66559.846367374135</v>
      </c>
      <c r="J35" s="26">
        <f t="shared" si="5"/>
        <v>0.20432762851348291</v>
      </c>
      <c r="L35" s="22">
        <f t="shared" si="11"/>
        <v>101533.95099664597</v>
      </c>
      <c r="M35" s="5">
        <f>scrimecost*Meta!O32</f>
        <v>2165.8650000000002</v>
      </c>
      <c r="N35" s="5">
        <f>L35-Grade13!L35</f>
        <v>2745.4865149280522</v>
      </c>
      <c r="O35" s="5">
        <f>Grade13!M35-M35</f>
        <v>36.191999999999553</v>
      </c>
      <c r="P35" s="22">
        <f t="shared" si="12"/>
        <v>191.10133994524216</v>
      </c>
      <c r="Q35" s="22"/>
      <c r="R35" s="22"/>
      <c r="S35" s="22">
        <f t="shared" si="6"/>
        <v>1961.3363076266553</v>
      </c>
      <c r="T35" s="22">
        <f t="shared" si="7"/>
        <v>1230.3036957759934</v>
      </c>
    </row>
    <row r="36" spans="1:20" x14ac:dyDescent="0.2">
      <c r="A36" s="5">
        <v>45</v>
      </c>
      <c r="B36" s="1">
        <f t="shared" si="8"/>
        <v>1.8539440983221533</v>
      </c>
      <c r="C36" s="5">
        <f t="shared" si="9"/>
        <v>62058.31632606341</v>
      </c>
      <c r="D36" s="5">
        <f t="shared" si="0"/>
        <v>60014.150407716617</v>
      </c>
      <c r="E36" s="5">
        <f t="shared" si="1"/>
        <v>50514.150407716617</v>
      </c>
      <c r="F36" s="5">
        <f t="shared" si="2"/>
        <v>18396.03514889114</v>
      </c>
      <c r="G36" s="5">
        <f t="shared" si="3"/>
        <v>41618.115258825477</v>
      </c>
      <c r="H36" s="22">
        <f t="shared" si="10"/>
        <v>27631.679924406915</v>
      </c>
      <c r="I36" s="5">
        <f t="shared" si="4"/>
        <v>68034.00126655848</v>
      </c>
      <c r="J36" s="26">
        <f t="shared" si="5"/>
        <v>0.20654168506550705</v>
      </c>
      <c r="L36" s="22">
        <f t="shared" si="11"/>
        <v>104072.2997715621</v>
      </c>
      <c r="M36" s="5">
        <f>scrimecost*Meta!O33</f>
        <v>1836.4849999999999</v>
      </c>
      <c r="N36" s="5">
        <f>L36-Grade13!L36</f>
        <v>2814.123677801239</v>
      </c>
      <c r="O36" s="5">
        <f>Grade13!M36-M36</f>
        <v>30.688000000000102</v>
      </c>
      <c r="P36" s="22">
        <f t="shared" si="12"/>
        <v>196.34487714422733</v>
      </c>
      <c r="Q36" s="22"/>
      <c r="R36" s="22"/>
      <c r="S36" s="22">
        <f t="shared" si="6"/>
        <v>2005.7640481850869</v>
      </c>
      <c r="T36" s="22">
        <f t="shared" si="7"/>
        <v>1234.919117103565</v>
      </c>
    </row>
    <row r="37" spans="1:20" x14ac:dyDescent="0.2">
      <c r="A37" s="5">
        <v>46</v>
      </c>
      <c r="B37" s="1">
        <f t="shared" ref="B37:B56" si="13">(1+experiencepremium)^(A37-startage)</f>
        <v>1.9002927007802071</v>
      </c>
      <c r="C37" s="5">
        <f t="shared" ref="C37:C56" si="14">pretaxincome*B37/expnorm</f>
        <v>63609.774234214987</v>
      </c>
      <c r="D37" s="5">
        <f t="shared" ref="D37:D56" si="15">IF(A37&lt;startage,1,0)*(C37*(1-initialunempprob))+IF(A37=startage,1,0)*(C37*(1-unempprob))+IF(A37&gt;startage,1,0)*(C37*(1-unempprob)+unempprob*300*52)</f>
        <v>61497.344167909527</v>
      </c>
      <c r="E37" s="5">
        <f t="shared" si="1"/>
        <v>51997.344167909527</v>
      </c>
      <c r="F37" s="5">
        <f t="shared" si="2"/>
        <v>19028.617287613415</v>
      </c>
      <c r="G37" s="5">
        <f t="shared" si="3"/>
        <v>42468.726880296112</v>
      </c>
      <c r="H37" s="22">
        <f t="shared" ref="H37:H56" si="16">benefits*B37/expnorm</f>
        <v>28322.471922517088</v>
      </c>
      <c r="I37" s="5">
        <f t="shared" ref="I37:I56" si="17">G37+IF(A37&lt;startage,1,0)*(H37*(1-initialunempprob))+IF(A37&gt;=startage,1,0)*(H37*(1-unempprob))</f>
        <v>69545.010038222448</v>
      </c>
      <c r="J37" s="26">
        <f t="shared" si="5"/>
        <v>0.20870174023821347</v>
      </c>
      <c r="L37" s="22">
        <f t="shared" ref="L37:L56" si="18">(sincome+sbenefits)*(1-sunemp)*B37/expnorm</f>
        <v>106674.10726585115</v>
      </c>
      <c r="M37" s="5">
        <f>scrimecost*Meta!O34</f>
        <v>1836.4849999999999</v>
      </c>
      <c r="N37" s="5">
        <f>L37-Grade13!L37</f>
        <v>2884.4767697462812</v>
      </c>
      <c r="O37" s="5">
        <f>Grade13!M37-M37</f>
        <v>30.688000000000102</v>
      </c>
      <c r="P37" s="22">
        <f t="shared" si="12"/>
        <v>201.71950277318712</v>
      </c>
      <c r="Q37" s="22"/>
      <c r="R37" s="22"/>
      <c r="S37" s="22">
        <f t="shared" si="6"/>
        <v>2055.6747222574959</v>
      </c>
      <c r="T37" s="22">
        <f t="shared" si="7"/>
        <v>1242.257070044961</v>
      </c>
    </row>
    <row r="38" spans="1:20" x14ac:dyDescent="0.2">
      <c r="A38" s="5">
        <v>47</v>
      </c>
      <c r="B38" s="1">
        <f t="shared" si="13"/>
        <v>1.9478000182997122</v>
      </c>
      <c r="C38" s="5">
        <f t="shared" si="14"/>
        <v>65200.018590070365</v>
      </c>
      <c r="D38" s="5">
        <f t="shared" si="15"/>
        <v>63017.617772107267</v>
      </c>
      <c r="E38" s="5">
        <f t="shared" si="1"/>
        <v>53517.617772107267</v>
      </c>
      <c r="F38" s="5">
        <f t="shared" si="2"/>
        <v>19677.013979803749</v>
      </c>
      <c r="G38" s="5">
        <f t="shared" si="3"/>
        <v>43340.603792303518</v>
      </c>
      <c r="H38" s="22">
        <f t="shared" si="16"/>
        <v>29030.533720580013</v>
      </c>
      <c r="I38" s="5">
        <f t="shared" si="17"/>
        <v>71093.794029178011</v>
      </c>
      <c r="J38" s="26">
        <f t="shared" si="5"/>
        <v>0.21080911113841488</v>
      </c>
      <c r="L38" s="22">
        <f t="shared" si="18"/>
        <v>109340.95994749741</v>
      </c>
      <c r="M38" s="5">
        <f>scrimecost*Meta!O35</f>
        <v>1836.4849999999999</v>
      </c>
      <c r="N38" s="5">
        <f>L38-Grade13!L38</f>
        <v>2956.588688989912</v>
      </c>
      <c r="O38" s="5">
        <f>Grade13!M38-M38</f>
        <v>30.688000000000102</v>
      </c>
      <c r="P38" s="22">
        <f t="shared" si="12"/>
        <v>207.22849404287086</v>
      </c>
      <c r="Q38" s="22"/>
      <c r="R38" s="22"/>
      <c r="S38" s="22">
        <f t="shared" si="6"/>
        <v>2106.8331631816905</v>
      </c>
      <c r="T38" s="22">
        <f t="shared" si="7"/>
        <v>1249.6420707277664</v>
      </c>
    </row>
    <row r="39" spans="1:20" x14ac:dyDescent="0.2">
      <c r="A39" s="5">
        <v>48</v>
      </c>
      <c r="B39" s="1">
        <f t="shared" si="13"/>
        <v>1.9964950187572048</v>
      </c>
      <c r="C39" s="5">
        <f t="shared" si="14"/>
        <v>66830.019054822114</v>
      </c>
      <c r="D39" s="5">
        <f t="shared" si="15"/>
        <v>64575.898216409943</v>
      </c>
      <c r="E39" s="5">
        <f t="shared" si="1"/>
        <v>55075.898216409943</v>
      </c>
      <c r="F39" s="5">
        <f t="shared" si="2"/>
        <v>20341.620589298844</v>
      </c>
      <c r="G39" s="5">
        <f t="shared" si="3"/>
        <v>44234.2776271111</v>
      </c>
      <c r="H39" s="22">
        <f t="shared" si="16"/>
        <v>29756.297063594513</v>
      </c>
      <c r="I39" s="5">
        <f t="shared" si="17"/>
        <v>72681.297619907447</v>
      </c>
      <c r="J39" s="26">
        <f t="shared" si="5"/>
        <v>0.21286508274836755</v>
      </c>
      <c r="L39" s="22">
        <f t="shared" si="18"/>
        <v>112074.48394618485</v>
      </c>
      <c r="M39" s="5">
        <f>scrimecost*Meta!O36</f>
        <v>1836.4849999999999</v>
      </c>
      <c r="N39" s="5">
        <f>L39-Grade13!L39</f>
        <v>3030.5034062146588</v>
      </c>
      <c r="O39" s="5">
        <f>Grade13!M39-M39</f>
        <v>30.688000000000102</v>
      </c>
      <c r="P39" s="22">
        <f t="shared" si="12"/>
        <v>212.87521009429676</v>
      </c>
      <c r="Q39" s="22"/>
      <c r="R39" s="22"/>
      <c r="S39" s="22">
        <f t="shared" si="6"/>
        <v>2159.2705651290066</v>
      </c>
      <c r="T39" s="22">
        <f t="shared" si="7"/>
        <v>1257.0743559035277</v>
      </c>
    </row>
    <row r="40" spans="1:20" x14ac:dyDescent="0.2">
      <c r="A40" s="5">
        <v>49</v>
      </c>
      <c r="B40" s="1">
        <f t="shared" si="13"/>
        <v>2.0464073942261352</v>
      </c>
      <c r="C40" s="5">
        <f t="shared" si="14"/>
        <v>68500.76953119268</v>
      </c>
      <c r="D40" s="5">
        <f t="shared" si="15"/>
        <v>66173.135671820201</v>
      </c>
      <c r="E40" s="5">
        <f t="shared" si="1"/>
        <v>56673.135671820201</v>
      </c>
      <c r="F40" s="5">
        <f t="shared" si="2"/>
        <v>21022.842364031316</v>
      </c>
      <c r="G40" s="5">
        <f t="shared" si="3"/>
        <v>45150.293307788888</v>
      </c>
      <c r="H40" s="22">
        <f t="shared" si="16"/>
        <v>30500.204490184376</v>
      </c>
      <c r="I40" s="5">
        <f t="shared" si="17"/>
        <v>74308.488800405146</v>
      </c>
      <c r="J40" s="26">
        <f t="shared" si="5"/>
        <v>0.21487090870929687</v>
      </c>
      <c r="L40" s="22">
        <f t="shared" si="18"/>
        <v>114876.34604483949</v>
      </c>
      <c r="M40" s="5">
        <f>scrimecost*Meta!O37</f>
        <v>1836.4849999999999</v>
      </c>
      <c r="N40" s="5">
        <f>L40-Grade13!L40</f>
        <v>3106.2659913700772</v>
      </c>
      <c r="O40" s="5">
        <f>Grade13!M40-M40</f>
        <v>30.688000000000102</v>
      </c>
      <c r="P40" s="22">
        <f t="shared" si="12"/>
        <v>218.66309404700831</v>
      </c>
      <c r="Q40" s="22"/>
      <c r="R40" s="22"/>
      <c r="S40" s="22">
        <f t="shared" si="6"/>
        <v>2213.0189021250399</v>
      </c>
      <c r="T40" s="22">
        <f t="shared" si="7"/>
        <v>1264.5541646481061</v>
      </c>
    </row>
    <row r="41" spans="1:20" x14ac:dyDescent="0.2">
      <c r="A41" s="5">
        <v>50</v>
      </c>
      <c r="B41" s="1">
        <f t="shared" si="13"/>
        <v>2.097567579081788</v>
      </c>
      <c r="C41" s="5">
        <f t="shared" si="14"/>
        <v>70213.288769472478</v>
      </c>
      <c r="D41" s="5">
        <f t="shared" si="15"/>
        <v>67810.30406361568</v>
      </c>
      <c r="E41" s="5">
        <f t="shared" si="1"/>
        <v>58310.30406361568</v>
      </c>
      <c r="F41" s="5">
        <f t="shared" si="2"/>
        <v>21721.094683132091</v>
      </c>
      <c r="G41" s="5">
        <f t="shared" si="3"/>
        <v>46089.209380483589</v>
      </c>
      <c r="H41" s="22">
        <f t="shared" si="16"/>
        <v>31262.709602438979</v>
      </c>
      <c r="I41" s="5">
        <f t="shared" si="17"/>
        <v>75976.359760415246</v>
      </c>
      <c r="J41" s="26">
        <f t="shared" si="5"/>
        <v>0.21682781208581334</v>
      </c>
      <c r="L41" s="22">
        <f t="shared" si="18"/>
        <v>117748.25469596044</v>
      </c>
      <c r="M41" s="5">
        <f>scrimecost*Meta!O38</f>
        <v>1329.01</v>
      </c>
      <c r="N41" s="5">
        <f>L41-Grade13!L41</f>
        <v>3183.9226411542477</v>
      </c>
      <c r="O41" s="5">
        <f>Grade13!M41-M41</f>
        <v>22.207999999999856</v>
      </c>
      <c r="P41" s="22">
        <f t="shared" si="12"/>
        <v>224.59567509853758</v>
      </c>
      <c r="Q41" s="22"/>
      <c r="R41" s="22"/>
      <c r="S41" s="22">
        <f t="shared" si="6"/>
        <v>2261.5389475458874</v>
      </c>
      <c r="T41" s="22">
        <f t="shared" si="7"/>
        <v>1268.3957982188094</v>
      </c>
    </row>
    <row r="42" spans="1:20" x14ac:dyDescent="0.2">
      <c r="A42" s="5">
        <v>51</v>
      </c>
      <c r="B42" s="1">
        <f t="shared" si="13"/>
        <v>2.1500067685588333</v>
      </c>
      <c r="C42" s="5">
        <f t="shared" si="14"/>
        <v>71968.620988709314</v>
      </c>
      <c r="D42" s="5">
        <f t="shared" si="15"/>
        <v>69488.401665206096</v>
      </c>
      <c r="E42" s="5">
        <f t="shared" si="1"/>
        <v>59988.401665206096</v>
      </c>
      <c r="F42" s="5">
        <f t="shared" si="2"/>
        <v>22436.803310210402</v>
      </c>
      <c r="G42" s="5">
        <f t="shared" si="3"/>
        <v>47051.598354995695</v>
      </c>
      <c r="H42" s="22">
        <f t="shared" si="16"/>
        <v>32044.277342499965</v>
      </c>
      <c r="I42" s="5">
        <f t="shared" si="17"/>
        <v>77685.927494425661</v>
      </c>
      <c r="J42" s="26">
        <f t="shared" si="5"/>
        <v>0.21873698611168305</v>
      </c>
      <c r="L42" s="22">
        <f t="shared" si="18"/>
        <v>120691.96106335947</v>
      </c>
      <c r="M42" s="5">
        <f>scrimecost*Meta!O39</f>
        <v>1329.01</v>
      </c>
      <c r="N42" s="5">
        <f>L42-Grade13!L42</f>
        <v>3263.5207071831537</v>
      </c>
      <c r="O42" s="5">
        <f>Grade13!M42-M42</f>
        <v>22.207999999999856</v>
      </c>
      <c r="P42" s="22">
        <f t="shared" si="12"/>
        <v>230.67657067635514</v>
      </c>
      <c r="Q42" s="22"/>
      <c r="R42" s="22"/>
      <c r="S42" s="22">
        <f t="shared" ref="S42:S69" si="19">IF(A42&lt;startage,1,0)*(N42-Q42-R42)+IF(A42&gt;=startage,1,0)*completionprob*(N42*spart+O42+P42)</f>
        <v>2318.0082941023411</v>
      </c>
      <c r="T42" s="22">
        <f t="shared" ref="T42:T69" si="20">S42/sreturn^(A42-startage+1)</f>
        <v>1276.039502977698</v>
      </c>
    </row>
    <row r="43" spans="1:20" x14ac:dyDescent="0.2">
      <c r="A43" s="5">
        <v>52</v>
      </c>
      <c r="B43" s="1">
        <f t="shared" si="13"/>
        <v>2.2037569377728037</v>
      </c>
      <c r="C43" s="5">
        <f t="shared" si="14"/>
        <v>73767.836513427028</v>
      </c>
      <c r="D43" s="5">
        <f t="shared" si="15"/>
        <v>71208.451706836233</v>
      </c>
      <c r="E43" s="5">
        <f t="shared" si="1"/>
        <v>61708.451706836233</v>
      </c>
      <c r="F43" s="5">
        <f t="shared" si="2"/>
        <v>23170.404652965655</v>
      </c>
      <c r="G43" s="5">
        <f t="shared" si="3"/>
        <v>48038.047053870578</v>
      </c>
      <c r="H43" s="22">
        <f t="shared" si="16"/>
        <v>32845.384276062454</v>
      </c>
      <c r="I43" s="5">
        <f t="shared" si="17"/>
        <v>79438.234421786285</v>
      </c>
      <c r="J43" s="26">
        <f t="shared" si="5"/>
        <v>0.2205995949174096</v>
      </c>
      <c r="L43" s="22">
        <f t="shared" si="18"/>
        <v>123709.26008994345</v>
      </c>
      <c r="M43" s="5">
        <f>scrimecost*Meta!O40</f>
        <v>1329.01</v>
      </c>
      <c r="N43" s="5">
        <f>L43-Grade13!L43</f>
        <v>3345.10872486273</v>
      </c>
      <c r="O43" s="5">
        <f>Grade13!M43-M43</f>
        <v>22.207999999999856</v>
      </c>
      <c r="P43" s="22">
        <f t="shared" si="12"/>
        <v>236.90948864361815</v>
      </c>
      <c r="Q43" s="22"/>
      <c r="R43" s="22"/>
      <c r="S43" s="22">
        <f t="shared" si="19"/>
        <v>2375.8893743226722</v>
      </c>
      <c r="T43" s="22">
        <f t="shared" si="20"/>
        <v>1283.7302034408679</v>
      </c>
    </row>
    <row r="44" spans="1:20" x14ac:dyDescent="0.2">
      <c r="A44" s="5">
        <v>53</v>
      </c>
      <c r="B44" s="1">
        <f t="shared" si="13"/>
        <v>2.2588508612171236</v>
      </c>
      <c r="C44" s="5">
        <f t="shared" si="14"/>
        <v>75612.032426262682</v>
      </c>
      <c r="D44" s="5">
        <f t="shared" si="15"/>
        <v>72971.502999507109</v>
      </c>
      <c r="E44" s="5">
        <f t="shared" si="1"/>
        <v>63471.502999507109</v>
      </c>
      <c r="F44" s="5">
        <f t="shared" si="2"/>
        <v>23922.34602928978</v>
      </c>
      <c r="G44" s="5">
        <f t="shared" si="3"/>
        <v>49049.156970217329</v>
      </c>
      <c r="H44" s="22">
        <f t="shared" si="16"/>
        <v>33666.51888296401</v>
      </c>
      <c r="I44" s="5">
        <f t="shared" si="17"/>
        <v>81234.34902233092</v>
      </c>
      <c r="J44" s="26">
        <f t="shared" si="5"/>
        <v>0.22241677424006953</v>
      </c>
      <c r="L44" s="22">
        <f t="shared" si="18"/>
        <v>126801.99159219202</v>
      </c>
      <c r="M44" s="5">
        <f>scrimecost*Meta!O41</f>
        <v>1329.01</v>
      </c>
      <c r="N44" s="5">
        <f>L44-Grade13!L44</f>
        <v>3428.7364429842855</v>
      </c>
      <c r="O44" s="5">
        <f>Grade13!M44-M44</f>
        <v>22.207999999999856</v>
      </c>
      <c r="P44" s="22">
        <f t="shared" si="12"/>
        <v>243.29822956006254</v>
      </c>
      <c r="Q44" s="22"/>
      <c r="R44" s="22"/>
      <c r="S44" s="22">
        <f t="shared" si="19"/>
        <v>2435.2174815485059</v>
      </c>
      <c r="T44" s="22">
        <f t="shared" si="20"/>
        <v>1291.4681712293002</v>
      </c>
    </row>
    <row r="45" spans="1:20" x14ac:dyDescent="0.2">
      <c r="A45" s="5">
        <v>54</v>
      </c>
      <c r="B45" s="1">
        <f t="shared" si="13"/>
        <v>2.3153221327475517</v>
      </c>
      <c r="C45" s="5">
        <f t="shared" si="14"/>
        <v>77502.333236919265</v>
      </c>
      <c r="D45" s="5">
        <f t="shared" si="15"/>
        <v>74778.630574494804</v>
      </c>
      <c r="E45" s="5">
        <f t="shared" si="1"/>
        <v>65278.630574494804</v>
      </c>
      <c r="F45" s="5">
        <f t="shared" si="2"/>
        <v>24693.085940022036</v>
      </c>
      <c r="G45" s="5">
        <f t="shared" si="3"/>
        <v>50085.544634472768</v>
      </c>
      <c r="H45" s="22">
        <f t="shared" si="16"/>
        <v>34508.181855038114</v>
      </c>
      <c r="I45" s="5">
        <f t="shared" si="17"/>
        <v>83075.366487889201</v>
      </c>
      <c r="J45" s="26">
        <f t="shared" si="5"/>
        <v>0.22418963211583554</v>
      </c>
      <c r="L45" s="22">
        <f t="shared" si="18"/>
        <v>129972.04138199682</v>
      </c>
      <c r="M45" s="5">
        <f>scrimecost*Meta!O42</f>
        <v>1329.01</v>
      </c>
      <c r="N45" s="5">
        <f>L45-Grade13!L45</f>
        <v>3514.4548540589167</v>
      </c>
      <c r="O45" s="5">
        <f>Grade13!M45-M45</f>
        <v>22.207999999999856</v>
      </c>
      <c r="P45" s="22">
        <f t="shared" si="12"/>
        <v>249.84668899941835</v>
      </c>
      <c r="Q45" s="22"/>
      <c r="R45" s="22"/>
      <c r="S45" s="22">
        <f t="shared" si="19"/>
        <v>2496.0287914550081</v>
      </c>
      <c r="T45" s="22">
        <f t="shared" si="20"/>
        <v>1299.2536798492151</v>
      </c>
    </row>
    <row r="46" spans="1:20" x14ac:dyDescent="0.2">
      <c r="A46" s="5">
        <v>55</v>
      </c>
      <c r="B46" s="1">
        <f t="shared" si="13"/>
        <v>2.3732051860662402</v>
      </c>
      <c r="C46" s="5">
        <f t="shared" si="14"/>
        <v>79439.891567842235</v>
      </c>
      <c r="D46" s="5">
        <f t="shared" si="15"/>
        <v>76630.936338857166</v>
      </c>
      <c r="E46" s="5">
        <f t="shared" si="1"/>
        <v>67130.936338857166</v>
      </c>
      <c r="F46" s="5">
        <f t="shared" si="2"/>
        <v>25483.09434852258</v>
      </c>
      <c r="G46" s="5">
        <f t="shared" si="3"/>
        <v>51147.841990334586</v>
      </c>
      <c r="H46" s="22">
        <f t="shared" si="16"/>
        <v>35370.886401414064</v>
      </c>
      <c r="I46" s="5">
        <f t="shared" si="17"/>
        <v>84962.409390086425</v>
      </c>
      <c r="J46" s="26">
        <f t="shared" si="5"/>
        <v>0.2259192495556071</v>
      </c>
      <c r="L46" s="22">
        <f t="shared" si="18"/>
        <v>133221.34241654671</v>
      </c>
      <c r="M46" s="5">
        <f>scrimecost*Meta!O43</f>
        <v>794.72499999999991</v>
      </c>
      <c r="N46" s="5">
        <f>L46-Grade13!L46</f>
        <v>3602.3162254103518</v>
      </c>
      <c r="O46" s="5">
        <f>Grade13!M46-M46</f>
        <v>13.280000000000086</v>
      </c>
      <c r="P46" s="22">
        <f t="shared" si="12"/>
        <v>256.55885992475783</v>
      </c>
      <c r="Q46" s="22"/>
      <c r="R46" s="22"/>
      <c r="S46" s="22">
        <f t="shared" si="19"/>
        <v>2551.4411841091337</v>
      </c>
      <c r="T46" s="22">
        <f t="shared" si="20"/>
        <v>1303.5519294769629</v>
      </c>
    </row>
    <row r="47" spans="1:20" x14ac:dyDescent="0.2">
      <c r="A47" s="5">
        <v>56</v>
      </c>
      <c r="B47" s="1">
        <f t="shared" si="13"/>
        <v>2.4325353157178964</v>
      </c>
      <c r="C47" s="5">
        <f t="shared" si="14"/>
        <v>81425.888857038284</v>
      </c>
      <c r="D47" s="5">
        <f t="shared" si="15"/>
        <v>78529.549747328594</v>
      </c>
      <c r="E47" s="5">
        <f t="shared" si="1"/>
        <v>69029.549747328594</v>
      </c>
      <c r="F47" s="5">
        <f t="shared" si="2"/>
        <v>26292.852967235645</v>
      </c>
      <c r="G47" s="5">
        <f t="shared" si="3"/>
        <v>52236.696780092949</v>
      </c>
      <c r="H47" s="22">
        <f t="shared" si="16"/>
        <v>36255.158561449418</v>
      </c>
      <c r="I47" s="5">
        <f t="shared" si="17"/>
        <v>86896.628364838602</v>
      </c>
      <c r="J47" s="26">
        <f t="shared" si="5"/>
        <v>0.2276066812041648</v>
      </c>
      <c r="L47" s="22">
        <f t="shared" si="18"/>
        <v>136551.87597696041</v>
      </c>
      <c r="M47" s="5">
        <f>scrimecost*Meta!O44</f>
        <v>794.72499999999991</v>
      </c>
      <c r="N47" s="5">
        <f>L47-Grade13!L47</f>
        <v>3692.3741310456535</v>
      </c>
      <c r="O47" s="5">
        <f>Grade13!M47-M47</f>
        <v>13.280000000000086</v>
      </c>
      <c r="P47" s="22">
        <f t="shared" si="12"/>
        <v>263.438835123231</v>
      </c>
      <c r="Q47" s="22"/>
      <c r="R47" s="22"/>
      <c r="S47" s="22">
        <f t="shared" si="19"/>
        <v>2615.3310665796644</v>
      </c>
      <c r="T47" s="22">
        <f t="shared" si="20"/>
        <v>1311.4986819808323</v>
      </c>
    </row>
    <row r="48" spans="1:20" x14ac:dyDescent="0.2">
      <c r="A48" s="5">
        <v>57</v>
      </c>
      <c r="B48" s="1">
        <f t="shared" si="13"/>
        <v>2.4933486986108435</v>
      </c>
      <c r="C48" s="5">
        <f t="shared" si="14"/>
        <v>83461.53607846424</v>
      </c>
      <c r="D48" s="5">
        <f t="shared" si="15"/>
        <v>80475.628491011797</v>
      </c>
      <c r="E48" s="5">
        <f t="shared" si="1"/>
        <v>70975.628491011797</v>
      </c>
      <c r="F48" s="5">
        <f t="shared" si="2"/>
        <v>27122.855551416535</v>
      </c>
      <c r="G48" s="5">
        <f t="shared" si="3"/>
        <v>53352.772939595263</v>
      </c>
      <c r="H48" s="22">
        <f t="shared" si="16"/>
        <v>37161.537525485648</v>
      </c>
      <c r="I48" s="5">
        <f t="shared" si="17"/>
        <v>88879.202813959535</v>
      </c>
      <c r="J48" s="26">
        <f t="shared" si="5"/>
        <v>0.22925295598324544</v>
      </c>
      <c r="L48" s="22">
        <f t="shared" si="18"/>
        <v>139965.6728763844</v>
      </c>
      <c r="M48" s="5">
        <f>scrimecost*Meta!O45</f>
        <v>794.72499999999991</v>
      </c>
      <c r="N48" s="5">
        <f>L48-Grade13!L48</f>
        <v>3784.6834843218094</v>
      </c>
      <c r="O48" s="5">
        <f>Grade13!M48-M48</f>
        <v>13.280000000000086</v>
      </c>
      <c r="P48" s="22">
        <f t="shared" si="12"/>
        <v>270.4908097016658</v>
      </c>
      <c r="Q48" s="22"/>
      <c r="R48" s="22"/>
      <c r="S48" s="22">
        <f t="shared" si="19"/>
        <v>2680.8181961119394</v>
      </c>
      <c r="T48" s="22">
        <f t="shared" si="20"/>
        <v>1319.4925997322441</v>
      </c>
    </row>
    <row r="49" spans="1:20" x14ac:dyDescent="0.2">
      <c r="A49" s="5">
        <v>58</v>
      </c>
      <c r="B49" s="1">
        <f t="shared" si="13"/>
        <v>2.555682416076114</v>
      </c>
      <c r="C49" s="5">
        <f t="shared" si="14"/>
        <v>85548.074480425828</v>
      </c>
      <c r="D49" s="5">
        <f t="shared" si="15"/>
        <v>82470.35920328708</v>
      </c>
      <c r="E49" s="5">
        <f t="shared" si="1"/>
        <v>72970.35920328708</v>
      </c>
      <c r="F49" s="5">
        <f t="shared" si="2"/>
        <v>27973.608200201939</v>
      </c>
      <c r="G49" s="5">
        <f t="shared" si="3"/>
        <v>54496.751003085141</v>
      </c>
      <c r="H49" s="22">
        <f t="shared" si="16"/>
        <v>38090.575963622774</v>
      </c>
      <c r="I49" s="5">
        <f t="shared" si="17"/>
        <v>90911.341624308508</v>
      </c>
      <c r="J49" s="26">
        <f t="shared" si="5"/>
        <v>0.23085907771893388</v>
      </c>
      <c r="L49" s="22">
        <f t="shared" si="18"/>
        <v>143464.81469829398</v>
      </c>
      <c r="M49" s="5">
        <f>scrimecost*Meta!O46</f>
        <v>794.72499999999991</v>
      </c>
      <c r="N49" s="5">
        <f>L49-Grade13!L49</f>
        <v>3879.3005714298051</v>
      </c>
      <c r="O49" s="5">
        <f>Grade13!M49-M49</f>
        <v>13.280000000000086</v>
      </c>
      <c r="P49" s="22">
        <f t="shared" si="12"/>
        <v>277.71908364456152</v>
      </c>
      <c r="Q49" s="22"/>
      <c r="R49" s="22"/>
      <c r="S49" s="22">
        <f t="shared" si="19"/>
        <v>2747.9425038824807</v>
      </c>
      <c r="T49" s="22">
        <f t="shared" si="20"/>
        <v>1327.5339861657055</v>
      </c>
    </row>
    <row r="50" spans="1:20" x14ac:dyDescent="0.2">
      <c r="A50" s="5">
        <v>59</v>
      </c>
      <c r="B50" s="1">
        <f t="shared" si="13"/>
        <v>2.6195744764780171</v>
      </c>
      <c r="C50" s="5">
        <f t="shared" si="14"/>
        <v>87686.776342436482</v>
      </c>
      <c r="D50" s="5">
        <f t="shared" si="15"/>
        <v>84514.958183369265</v>
      </c>
      <c r="E50" s="5">
        <f t="shared" si="1"/>
        <v>75014.958183369265</v>
      </c>
      <c r="F50" s="5">
        <f t="shared" si="2"/>
        <v>28845.629665206994</v>
      </c>
      <c r="G50" s="5">
        <f t="shared" si="3"/>
        <v>55669.32851816227</v>
      </c>
      <c r="H50" s="22">
        <f t="shared" si="16"/>
        <v>39042.840362713352</v>
      </c>
      <c r="I50" s="5">
        <f t="shared" si="17"/>
        <v>92994.283904916228</v>
      </c>
      <c r="J50" s="26">
        <f t="shared" si="5"/>
        <v>0.2324260257537519</v>
      </c>
      <c r="L50" s="22">
        <f t="shared" si="18"/>
        <v>147051.43506575134</v>
      </c>
      <c r="M50" s="5">
        <f>scrimecost*Meta!O47</f>
        <v>794.72499999999991</v>
      </c>
      <c r="N50" s="5">
        <f>L50-Grade13!L50</f>
        <v>3976.2830857155786</v>
      </c>
      <c r="O50" s="5">
        <f>Grade13!M50-M50</f>
        <v>13.280000000000086</v>
      </c>
      <c r="P50" s="22">
        <f t="shared" si="12"/>
        <v>285.12806443602972</v>
      </c>
      <c r="Q50" s="22"/>
      <c r="R50" s="22"/>
      <c r="S50" s="22">
        <f t="shared" si="19"/>
        <v>2816.7449193473349</v>
      </c>
      <c r="T50" s="22">
        <f t="shared" si="20"/>
        <v>1335.623146224699</v>
      </c>
    </row>
    <row r="51" spans="1:20" x14ac:dyDescent="0.2">
      <c r="A51" s="5">
        <v>60</v>
      </c>
      <c r="B51" s="1">
        <f t="shared" si="13"/>
        <v>2.6850638383899672</v>
      </c>
      <c r="C51" s="5">
        <f t="shared" si="14"/>
        <v>89878.945750997373</v>
      </c>
      <c r="D51" s="5">
        <f t="shared" si="15"/>
        <v>86610.672137953472</v>
      </c>
      <c r="E51" s="5">
        <f t="shared" si="1"/>
        <v>77110.672137953472</v>
      </c>
      <c r="F51" s="5">
        <f t="shared" si="2"/>
        <v>29739.451666837158</v>
      </c>
      <c r="G51" s="5">
        <f t="shared" si="3"/>
        <v>56871.220471116314</v>
      </c>
      <c r="H51" s="22">
        <f t="shared" si="16"/>
        <v>40018.911371781185</v>
      </c>
      <c r="I51" s="5">
        <f t="shared" si="17"/>
        <v>95129.299742539122</v>
      </c>
      <c r="J51" s="26">
        <f t="shared" si="5"/>
        <v>0.2339547555438182</v>
      </c>
      <c r="L51" s="22">
        <f t="shared" si="18"/>
        <v>150727.7209423951</v>
      </c>
      <c r="M51" s="5">
        <f>scrimecost*Meta!O48</f>
        <v>436.62</v>
      </c>
      <c r="N51" s="5">
        <f>L51-Grade13!L51</f>
        <v>4075.6901628584601</v>
      </c>
      <c r="O51" s="5">
        <f>Grade13!M51-M51</f>
        <v>7.2959999999999923</v>
      </c>
      <c r="P51" s="22">
        <f t="shared" si="12"/>
        <v>292.72226974728449</v>
      </c>
      <c r="Q51" s="22"/>
      <c r="R51" s="22"/>
      <c r="S51" s="22">
        <f t="shared" si="19"/>
        <v>2882.6297951987876</v>
      </c>
      <c r="T51" s="22">
        <f t="shared" si="20"/>
        <v>1341.6020053490051</v>
      </c>
    </row>
    <row r="52" spans="1:20" x14ac:dyDescent="0.2">
      <c r="A52" s="5">
        <v>61</v>
      </c>
      <c r="B52" s="1">
        <f t="shared" si="13"/>
        <v>2.7521904343497163</v>
      </c>
      <c r="C52" s="5">
        <f t="shared" si="14"/>
        <v>92125.919394772325</v>
      </c>
      <c r="D52" s="5">
        <f t="shared" si="15"/>
        <v>88758.778941402328</v>
      </c>
      <c r="E52" s="5">
        <f t="shared" si="1"/>
        <v>79258.778941402328</v>
      </c>
      <c r="F52" s="5">
        <f t="shared" si="2"/>
        <v>30655.619218508094</v>
      </c>
      <c r="G52" s="5">
        <f t="shared" si="3"/>
        <v>58103.159722894234</v>
      </c>
      <c r="H52" s="22">
        <f t="shared" si="16"/>
        <v>41019.384156075706</v>
      </c>
      <c r="I52" s="5">
        <f t="shared" si="17"/>
        <v>97317.690976102604</v>
      </c>
      <c r="J52" s="26">
        <f t="shared" si="5"/>
        <v>0.23544619924144389</v>
      </c>
      <c r="L52" s="22">
        <f t="shared" si="18"/>
        <v>154495.91396595497</v>
      </c>
      <c r="M52" s="5">
        <f>scrimecost*Meta!O49</f>
        <v>436.62</v>
      </c>
      <c r="N52" s="5">
        <f>L52-Grade13!L52</f>
        <v>4177.5824169299158</v>
      </c>
      <c r="O52" s="5">
        <f>Grade13!M52-M52</f>
        <v>7.2959999999999923</v>
      </c>
      <c r="P52" s="22">
        <f t="shared" si="12"/>
        <v>300.50633019132073</v>
      </c>
      <c r="Q52" s="22"/>
      <c r="R52" s="22"/>
      <c r="S52" s="22">
        <f t="shared" si="19"/>
        <v>2954.9153329465275</v>
      </c>
      <c r="T52" s="22">
        <f t="shared" si="20"/>
        <v>1349.8275241069343</v>
      </c>
    </row>
    <row r="53" spans="1:20" x14ac:dyDescent="0.2">
      <c r="A53" s="5">
        <v>62</v>
      </c>
      <c r="B53" s="1">
        <f t="shared" si="13"/>
        <v>2.8209951952084591</v>
      </c>
      <c r="C53" s="5">
        <f t="shared" si="14"/>
        <v>94429.067379641623</v>
      </c>
      <c r="D53" s="5">
        <f t="shared" si="15"/>
        <v>90960.588414937389</v>
      </c>
      <c r="E53" s="5">
        <f t="shared" si="1"/>
        <v>81460.588414937389</v>
      </c>
      <c r="F53" s="5">
        <f t="shared" si="2"/>
        <v>31594.690958970798</v>
      </c>
      <c r="G53" s="5">
        <f t="shared" si="3"/>
        <v>59365.897455966595</v>
      </c>
      <c r="H53" s="22">
        <f t="shared" si="16"/>
        <v>42044.868759977595</v>
      </c>
      <c r="I53" s="5">
        <f t="shared" si="17"/>
        <v>99560.791990505182</v>
      </c>
      <c r="J53" s="26">
        <f t="shared" si="5"/>
        <v>0.23690126626351779</v>
      </c>
      <c r="L53" s="22">
        <f t="shared" si="18"/>
        <v>158358.31181510384</v>
      </c>
      <c r="M53" s="5">
        <f>scrimecost*Meta!O50</f>
        <v>436.62</v>
      </c>
      <c r="N53" s="5">
        <f>L53-Grade13!L53</f>
        <v>4282.0219773531135</v>
      </c>
      <c r="O53" s="5">
        <f>Grade13!M53-M53</f>
        <v>7.2959999999999923</v>
      </c>
      <c r="P53" s="22">
        <f t="shared" si="12"/>
        <v>308.4849921464579</v>
      </c>
      <c r="Q53" s="22"/>
      <c r="R53" s="22"/>
      <c r="S53" s="22">
        <f t="shared" si="19"/>
        <v>3029.0080091379327</v>
      </c>
      <c r="T53" s="22">
        <f t="shared" si="20"/>
        <v>1358.1010032827071</v>
      </c>
    </row>
    <row r="54" spans="1:20" x14ac:dyDescent="0.2">
      <c r="A54" s="5">
        <v>63</v>
      </c>
      <c r="B54" s="1">
        <f t="shared" si="13"/>
        <v>2.8915200750886707</v>
      </c>
      <c r="C54" s="5">
        <f t="shared" si="14"/>
        <v>96789.794064132657</v>
      </c>
      <c r="D54" s="5">
        <f t="shared" si="15"/>
        <v>93217.443125310805</v>
      </c>
      <c r="E54" s="5">
        <f t="shared" si="1"/>
        <v>83717.443125310805</v>
      </c>
      <c r="F54" s="5">
        <f t="shared" si="2"/>
        <v>32560.762786704381</v>
      </c>
      <c r="G54" s="5">
        <f t="shared" si="3"/>
        <v>60656.680338606428</v>
      </c>
      <c r="H54" s="22">
        <f t="shared" si="16"/>
        <v>43095.990478977044</v>
      </c>
      <c r="I54" s="5">
        <f t="shared" si="17"/>
        <v>101856.44723650848</v>
      </c>
      <c r="J54" s="26">
        <f t="shared" si="5"/>
        <v>0.23834719000933038</v>
      </c>
      <c r="L54" s="22">
        <f t="shared" si="18"/>
        <v>162317.26961048145</v>
      </c>
      <c r="M54" s="5">
        <f>scrimecost*Meta!O51</f>
        <v>436.62</v>
      </c>
      <c r="N54" s="5">
        <f>L54-Grade13!L54</f>
        <v>4389.0725267870293</v>
      </c>
      <c r="O54" s="5">
        <f>Grade13!M54-M54</f>
        <v>7.2959999999999923</v>
      </c>
      <c r="P54" s="22">
        <f t="shared" si="12"/>
        <v>316.69305571151619</v>
      </c>
      <c r="Q54" s="22"/>
      <c r="R54" s="22"/>
      <c r="S54" s="22">
        <f t="shared" si="19"/>
        <v>3104.9762019065211</v>
      </c>
      <c r="T54" s="22">
        <f t="shared" si="20"/>
        <v>1366.4329773077548</v>
      </c>
    </row>
    <row r="55" spans="1:20" x14ac:dyDescent="0.2">
      <c r="A55" s="5">
        <v>64</v>
      </c>
      <c r="B55" s="1">
        <f t="shared" si="13"/>
        <v>2.9638080769658868</v>
      </c>
      <c r="C55" s="5">
        <f t="shared" si="14"/>
        <v>99209.53891573596</v>
      </c>
      <c r="D55" s="5">
        <f t="shared" si="15"/>
        <v>95530.719203443572</v>
      </c>
      <c r="E55" s="5">
        <f t="shared" si="1"/>
        <v>86030.719203443572</v>
      </c>
      <c r="F55" s="5">
        <f t="shared" si="2"/>
        <v>33616.773316371997</v>
      </c>
      <c r="G55" s="5">
        <f t="shared" si="3"/>
        <v>61913.945887071575</v>
      </c>
      <c r="H55" s="22">
        <f t="shared" si="16"/>
        <v>44173.390240951463</v>
      </c>
      <c r="I55" s="5">
        <f t="shared" si="17"/>
        <v>104143.70695742118</v>
      </c>
      <c r="J55" s="26">
        <f t="shared" si="5"/>
        <v>0.24023778420104319</v>
      </c>
      <c r="L55" s="22">
        <f t="shared" si="18"/>
        <v>166375.20135074345</v>
      </c>
      <c r="M55" s="5">
        <f>scrimecost*Meta!O52</f>
        <v>436.62</v>
      </c>
      <c r="N55" s="5">
        <f>L55-Grade13!L55</f>
        <v>4498.799339956633</v>
      </c>
      <c r="O55" s="5">
        <f>Grade13!M55-M55</f>
        <v>7.2959999999999923</v>
      </c>
      <c r="P55" s="22">
        <f t="shared" si="12"/>
        <v>325.66526802953541</v>
      </c>
      <c r="Q55" s="22"/>
      <c r="R55" s="22"/>
      <c r="S55" s="22">
        <f t="shared" si="19"/>
        <v>3183.2767835461914</v>
      </c>
      <c r="T55" s="22">
        <f t="shared" si="20"/>
        <v>1375.0005474305553</v>
      </c>
    </row>
    <row r="56" spans="1:20" x14ac:dyDescent="0.2">
      <c r="A56" s="5">
        <v>65</v>
      </c>
      <c r="B56" s="1">
        <f t="shared" si="13"/>
        <v>3.0379032788900342</v>
      </c>
      <c r="C56" s="5">
        <f t="shared" si="14"/>
        <v>101689.77738862937</v>
      </c>
      <c r="D56" s="5">
        <f t="shared" si="15"/>
        <v>97901.827183529676</v>
      </c>
      <c r="E56" s="5">
        <f t="shared" si="1"/>
        <v>88401.827183529676</v>
      </c>
      <c r="F56" s="5">
        <f t="shared" si="2"/>
        <v>34699.184109281297</v>
      </c>
      <c r="G56" s="5">
        <f t="shared" si="3"/>
        <v>63202.643074248379</v>
      </c>
      <c r="H56" s="22">
        <f t="shared" si="16"/>
        <v>45277.724996975245</v>
      </c>
      <c r="I56" s="5">
        <f t="shared" si="17"/>
        <v>106488.1481713567</v>
      </c>
      <c r="J56" s="26">
        <f t="shared" si="5"/>
        <v>0.24208226633929955</v>
      </c>
      <c r="L56" s="22">
        <f t="shared" si="18"/>
        <v>170534.58138451204</v>
      </c>
      <c r="M56" s="5">
        <f>scrimecost*Meta!O53</f>
        <v>137.88</v>
      </c>
      <c r="N56" s="5">
        <f>L56-Grade13!L56</f>
        <v>4611.2693234556064</v>
      </c>
      <c r="O56" s="5">
        <f>Grade13!M56-M56</f>
        <v>2.304000000000002</v>
      </c>
      <c r="P56" s="22">
        <f t="shared" si="12"/>
        <v>334.86178565550512</v>
      </c>
      <c r="Q56" s="22"/>
      <c r="R56" s="22"/>
      <c r="S56" s="22">
        <f t="shared" si="19"/>
        <v>3259.6660797269383</v>
      </c>
      <c r="T56" s="22">
        <f t="shared" si="20"/>
        <v>1381.9743831947026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137.88</v>
      </c>
      <c r="N57" s="5">
        <f>L57-Grade13!L57</f>
        <v>0</v>
      </c>
      <c r="O57" s="5">
        <f>Grade13!M57-M57</f>
        <v>2.304000000000002</v>
      </c>
      <c r="Q57" s="22"/>
      <c r="R57" s="22"/>
      <c r="S57" s="22">
        <f t="shared" si="19"/>
        <v>1.7856000000000016</v>
      </c>
      <c r="T57" s="22">
        <f t="shared" si="20"/>
        <v>0.7430353354117859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137.88</v>
      </c>
      <c r="N58" s="5">
        <f>L58-Grade13!L58</f>
        <v>0</v>
      </c>
      <c r="O58" s="5">
        <f>Grade13!M58-M58</f>
        <v>2.304000000000002</v>
      </c>
      <c r="Q58" s="22"/>
      <c r="R58" s="22"/>
      <c r="S58" s="22">
        <f t="shared" si="19"/>
        <v>1.7856000000000016</v>
      </c>
      <c r="T58" s="22">
        <f t="shared" si="20"/>
        <v>0.72930279466239478</v>
      </c>
    </row>
    <row r="59" spans="1:20" x14ac:dyDescent="0.2">
      <c r="A59" s="5">
        <v>68</v>
      </c>
      <c r="H59" s="21"/>
      <c r="I59" s="5"/>
      <c r="M59" s="5">
        <f>scrimecost*Meta!O56</f>
        <v>137.88</v>
      </c>
      <c r="N59" s="5">
        <f>L59-Grade13!L59</f>
        <v>0</v>
      </c>
      <c r="O59" s="5">
        <f>Grade13!M59-M59</f>
        <v>2.304000000000002</v>
      </c>
      <c r="Q59" s="22"/>
      <c r="R59" s="22"/>
      <c r="S59" s="22">
        <f t="shared" si="19"/>
        <v>1.7856000000000016</v>
      </c>
      <c r="T59" s="22">
        <f t="shared" si="20"/>
        <v>0.71582405432658602</v>
      </c>
    </row>
    <row r="60" spans="1:20" x14ac:dyDescent="0.2">
      <c r="A60" s="5">
        <v>69</v>
      </c>
      <c r="H60" s="21"/>
      <c r="I60" s="5"/>
      <c r="M60" s="5">
        <f>scrimecost*Meta!O57</f>
        <v>137.88</v>
      </c>
      <c r="N60" s="5">
        <f>L60-Grade13!L60</f>
        <v>0</v>
      </c>
      <c r="O60" s="5">
        <f>Grade13!M60-M60</f>
        <v>2.304000000000002</v>
      </c>
      <c r="Q60" s="22"/>
      <c r="R60" s="22"/>
      <c r="S60" s="22">
        <f t="shared" si="19"/>
        <v>1.7856000000000016</v>
      </c>
      <c r="T60" s="22">
        <f t="shared" si="20"/>
        <v>0.70259442374651926</v>
      </c>
    </row>
    <row r="61" spans="1:20" x14ac:dyDescent="0.2">
      <c r="A61" s="5">
        <v>70</v>
      </c>
      <c r="H61" s="21"/>
      <c r="I61" s="5"/>
      <c r="M61" s="5">
        <f>scrimecost*Meta!O58</f>
        <v>137.88</v>
      </c>
      <c r="N61" s="5">
        <f>L61-Grade13!L61</f>
        <v>0</v>
      </c>
      <c r="O61" s="5">
        <f>Grade13!M61-M61</f>
        <v>2.304000000000002</v>
      </c>
      <c r="Q61" s="22"/>
      <c r="R61" s="22"/>
      <c r="S61" s="22">
        <f t="shared" si="19"/>
        <v>1.7856000000000016</v>
      </c>
      <c r="T61" s="22">
        <f t="shared" si="20"/>
        <v>0.68960929895558731</v>
      </c>
    </row>
    <row r="62" spans="1:20" x14ac:dyDescent="0.2">
      <c r="A62" s="5">
        <v>71</v>
      </c>
      <c r="H62" s="21"/>
      <c r="I62" s="5"/>
      <c r="M62" s="5">
        <f>scrimecost*Meta!O59</f>
        <v>137.88</v>
      </c>
      <c r="N62" s="5">
        <f>L62-Grade13!L62</f>
        <v>0</v>
      </c>
      <c r="O62" s="5">
        <f>Grade13!M62-M62</f>
        <v>2.304000000000002</v>
      </c>
      <c r="Q62" s="22"/>
      <c r="R62" s="22"/>
      <c r="S62" s="22">
        <f t="shared" si="19"/>
        <v>1.7856000000000016</v>
      </c>
      <c r="T62" s="22">
        <f t="shared" si="20"/>
        <v>0.67686416107621805</v>
      </c>
    </row>
    <row r="63" spans="1:20" x14ac:dyDescent="0.2">
      <c r="A63" s="5">
        <v>72</v>
      </c>
      <c r="H63" s="21"/>
      <c r="M63" s="5">
        <f>scrimecost*Meta!O60</f>
        <v>137.88</v>
      </c>
      <c r="N63" s="5">
        <f>L63-Grade13!L63</f>
        <v>0</v>
      </c>
      <c r="O63" s="5">
        <f>Grade13!M63-M63</f>
        <v>2.304000000000002</v>
      </c>
      <c r="Q63" s="22"/>
      <c r="R63" s="22"/>
      <c r="S63" s="22">
        <f t="shared" si="19"/>
        <v>1.7856000000000016</v>
      </c>
      <c r="T63" s="22">
        <f t="shared" si="20"/>
        <v>0.6643545747472851</v>
      </c>
    </row>
    <row r="64" spans="1:20" x14ac:dyDescent="0.2">
      <c r="A64" s="5">
        <v>73</v>
      </c>
      <c r="H64" s="21"/>
      <c r="M64" s="5">
        <f>scrimecost*Meta!O61</f>
        <v>137.88</v>
      </c>
      <c r="N64" s="5">
        <f>L64-Grade13!L64</f>
        <v>0</v>
      </c>
      <c r="O64" s="5">
        <f>Grade13!M64-M64</f>
        <v>2.304000000000002</v>
      </c>
      <c r="Q64" s="22"/>
      <c r="R64" s="22"/>
      <c r="S64" s="22">
        <f t="shared" si="19"/>
        <v>1.7856000000000016</v>
      </c>
      <c r="T64" s="22">
        <f t="shared" si="20"/>
        <v>0.65207618658058331</v>
      </c>
    </row>
    <row r="65" spans="1:20" x14ac:dyDescent="0.2">
      <c r="A65" s="5">
        <v>74</v>
      </c>
      <c r="H65" s="21"/>
      <c r="M65" s="5">
        <f>scrimecost*Meta!O62</f>
        <v>137.88</v>
      </c>
      <c r="N65" s="5">
        <f>L65-Grade13!L65</f>
        <v>0</v>
      </c>
      <c r="O65" s="5">
        <f>Grade13!M65-M65</f>
        <v>2.304000000000002</v>
      </c>
      <c r="Q65" s="22"/>
      <c r="R65" s="22"/>
      <c r="S65" s="22">
        <f t="shared" si="19"/>
        <v>1.7856000000000016</v>
      </c>
      <c r="T65" s="22">
        <f t="shared" si="20"/>
        <v>0.64002472364583229</v>
      </c>
    </row>
    <row r="66" spans="1:20" x14ac:dyDescent="0.2">
      <c r="A66" s="5">
        <v>75</v>
      </c>
      <c r="H66" s="21"/>
      <c r="M66" s="5">
        <f>scrimecost*Meta!O63</f>
        <v>137.88</v>
      </c>
      <c r="N66" s="5">
        <f>L66-Grade13!L66</f>
        <v>0</v>
      </c>
      <c r="O66" s="5">
        <f>Grade13!M66-M66</f>
        <v>2.304000000000002</v>
      </c>
      <c r="Q66" s="22"/>
      <c r="R66" s="22"/>
      <c r="S66" s="22">
        <f t="shared" si="19"/>
        <v>1.7856000000000016</v>
      </c>
      <c r="T66" s="22">
        <f t="shared" si="20"/>
        <v>0.62819599198367915</v>
      </c>
    </row>
    <row r="67" spans="1:20" x14ac:dyDescent="0.2">
      <c r="A67" s="5">
        <v>76</v>
      </c>
      <c r="H67" s="21"/>
      <c r="M67" s="5">
        <f>scrimecost*Meta!O64</f>
        <v>137.88</v>
      </c>
      <c r="N67" s="5">
        <f>L67-Grade13!L67</f>
        <v>0</v>
      </c>
      <c r="O67" s="5">
        <f>Grade13!M67-M67</f>
        <v>2.304000000000002</v>
      </c>
      <c r="Q67" s="22"/>
      <c r="R67" s="22"/>
      <c r="S67" s="22">
        <f t="shared" si="19"/>
        <v>1.7856000000000016</v>
      </c>
      <c r="T67" s="22">
        <f t="shared" si="20"/>
        <v>0.61658587514618157</v>
      </c>
    </row>
    <row r="68" spans="1:20" x14ac:dyDescent="0.2">
      <c r="A68" s="5">
        <v>77</v>
      </c>
      <c r="H68" s="21"/>
      <c r="M68" s="5">
        <f>scrimecost*Meta!O65</f>
        <v>137.88</v>
      </c>
      <c r="N68" s="5">
        <f>L68-Grade13!L68</f>
        <v>0</v>
      </c>
      <c r="O68" s="5">
        <f>Grade13!M68-M68</f>
        <v>2.304000000000002</v>
      </c>
      <c r="Q68" s="22"/>
      <c r="R68" s="22"/>
      <c r="S68" s="22">
        <f t="shared" si="19"/>
        <v>1.7856000000000016</v>
      </c>
      <c r="T68" s="22">
        <f t="shared" si="20"/>
        <v>0.60519033276426881</v>
      </c>
    </row>
    <row r="69" spans="1:20" x14ac:dyDescent="0.2">
      <c r="A69" s="5">
        <v>78</v>
      </c>
      <c r="H69" s="21"/>
      <c r="M69" s="5">
        <f>scrimecost*Meta!O66</f>
        <v>137.88</v>
      </c>
      <c r="N69" s="5">
        <f>L69-Grade13!L69</f>
        <v>0</v>
      </c>
      <c r="O69" s="5">
        <f>Grade13!M69-M69</f>
        <v>2.304000000000002</v>
      </c>
      <c r="Q69" s="22"/>
      <c r="R69" s="22"/>
      <c r="S69" s="22">
        <f t="shared" si="19"/>
        <v>1.7856000000000016</v>
      </c>
      <c r="T69" s="22">
        <f t="shared" si="20"/>
        <v>0.59400539914167472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3.4270031257221945E-11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272</vt:i4>
      </vt:variant>
    </vt:vector>
  </HeadingPairs>
  <TitlesOfParts>
    <vt:vector size="285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Meta!_edn1</vt:lpstr>
      <vt:lpstr>Output!_edn1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Grade10!benrat</vt:lpstr>
      <vt:lpstr>Grade11!benrat</vt:lpstr>
      <vt:lpstr>Grade12!benrat</vt:lpstr>
      <vt:lpstr>Grade13!benrat</vt:lpstr>
      <vt:lpstr>Grade14!benrat</vt:lpstr>
      <vt:lpstr>Grade15!benrat</vt:lpstr>
      <vt:lpstr>Grade16!benrat</vt:lpstr>
      <vt:lpstr>Grade17!benrat</vt:lpstr>
      <vt:lpstr>Grade18!benrat</vt:lpstr>
      <vt:lpstr>Grade9!benrat</vt:lpstr>
      <vt:lpstr>benrat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Grade10!comprat</vt:lpstr>
      <vt:lpstr>Grade11!comprat</vt:lpstr>
      <vt:lpstr>Grade12!comprat</vt:lpstr>
      <vt:lpstr>Grade13!comprat</vt:lpstr>
      <vt:lpstr>Grade14!comprat</vt:lpstr>
      <vt:lpstr>Grade15!comprat</vt:lpstr>
      <vt:lpstr>Grade16!comprat</vt:lpstr>
      <vt:lpstr>Grade17!comprat</vt:lpstr>
      <vt:lpstr>Grade18!comprat</vt:lpstr>
      <vt:lpstr>Grade9!comprat</vt:lpstr>
      <vt:lpstr>comprat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Grade10!initialpart</vt:lpstr>
      <vt:lpstr>Grade11!initialpart</vt:lpstr>
      <vt:lpstr>Grade12!initialpart</vt:lpstr>
      <vt:lpstr>Grade13!initialpart</vt:lpstr>
      <vt:lpstr>Grade14!initialpart</vt:lpstr>
      <vt:lpstr>Grade15!initialpart</vt:lpstr>
      <vt:lpstr>Grade16!initialpart</vt:lpstr>
      <vt:lpstr>Grade17!initialpart</vt:lpstr>
      <vt:lpstr>Grade18!initialpart</vt:lpstr>
      <vt:lpstr>initialpart</vt:lpstr>
      <vt:lpstr>Grade10!initialspart</vt:lpstr>
      <vt:lpstr>Grade11!initialspart</vt:lpstr>
      <vt:lpstr>Grade12!initialspart</vt:lpstr>
      <vt:lpstr>Grade13!initialspart</vt:lpstr>
      <vt:lpstr>Grade14!initialspart</vt:lpstr>
      <vt:lpstr>Grade15!initialspart</vt:lpstr>
      <vt:lpstr>Grade16!initialspart</vt:lpstr>
      <vt:lpstr>Grade17!initialspart</vt:lpstr>
      <vt:lpstr>Grade18!initialspart</vt:lpstr>
      <vt:lpstr>initialspart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nptrans</vt:lpstr>
      <vt:lpstr>part10</vt:lpstr>
      <vt:lpstr>part11</vt:lpstr>
      <vt:lpstr>part12</vt:lpstr>
      <vt:lpstr>part13</vt:lpstr>
      <vt:lpstr>part14</vt:lpstr>
      <vt:lpstr>part15</vt:lpstr>
      <vt:lpstr>part16</vt:lpstr>
      <vt:lpstr>part17</vt:lpstr>
      <vt:lpstr>part18</vt:lpstr>
      <vt:lpstr>part8</vt:lpstr>
      <vt:lpstr>part9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returntoexperience</vt:lpstr>
      <vt:lpstr>Grade10!sbenefits</vt:lpstr>
      <vt:lpstr>Grade11!sbenefits</vt:lpstr>
      <vt:lpstr>Grade12!sbenefits</vt:lpstr>
      <vt:lpstr>Grade13!sbenefits</vt:lpstr>
      <vt:lpstr>Grade14!sbenefits</vt:lpstr>
      <vt:lpstr>Grade15!sbenefits</vt:lpstr>
      <vt:lpstr>Grade16!sbenefits</vt:lpstr>
      <vt:lpstr>Grade17!sbenefits</vt:lpstr>
      <vt:lpstr>Grade18!sbenefits</vt:lpstr>
      <vt:lpstr>Grade9!sbenefits</vt:lpstr>
      <vt:lpstr>sbenefits</vt:lpstr>
      <vt:lpstr>Grade10!scrimecost</vt:lpstr>
      <vt:lpstr>Grade11!scrimecost</vt:lpstr>
      <vt:lpstr>Grade12!scrimecost</vt:lpstr>
      <vt:lpstr>Grade13!scrimecost</vt:lpstr>
      <vt:lpstr>Grade14!scrimecost</vt:lpstr>
      <vt:lpstr>Grade15!scrimecost</vt:lpstr>
      <vt:lpstr>Grade16!scrimecost</vt:lpstr>
      <vt:lpstr>Grade17!scrimecost</vt:lpstr>
      <vt:lpstr>Grade18!scrimecost</vt:lpstr>
      <vt:lpstr>Grade9!scrimecost</vt:lpstr>
      <vt:lpstr>scrimecost</vt:lpstr>
      <vt:lpstr>Grade10!sincome</vt:lpstr>
      <vt:lpstr>Grade11!sincome</vt:lpstr>
      <vt:lpstr>Grade12!sincome</vt:lpstr>
      <vt:lpstr>Grade13!sincome</vt:lpstr>
      <vt:lpstr>Grade14!sincome</vt:lpstr>
      <vt:lpstr>Grade15!sincome</vt:lpstr>
      <vt:lpstr>Grade16!sincome</vt:lpstr>
      <vt:lpstr>Grade17!sincome</vt:lpstr>
      <vt:lpstr>Grade18!sincome</vt:lpstr>
      <vt:lpstr>Grade9!sincome</vt:lpstr>
      <vt:lpstr>sincome</vt:lpstr>
      <vt:lpstr>Grade10!spart</vt:lpstr>
      <vt:lpstr>Grade11!spart</vt:lpstr>
      <vt:lpstr>Grade12!spart</vt:lpstr>
      <vt:lpstr>Grade13!spart</vt:lpstr>
      <vt:lpstr>Grade14!spart</vt:lpstr>
      <vt:lpstr>Grade15!spart</vt:lpstr>
      <vt:lpstr>Grade16!spart</vt:lpstr>
      <vt:lpstr>Grade17!spart</vt:lpstr>
      <vt:lpstr>Grade18!spart</vt:lpstr>
      <vt:lpstr>Grade9!spart</vt:lpstr>
      <vt:lpstr>spart</vt:lpstr>
      <vt:lpstr>Grade10!sreturn</vt:lpstr>
      <vt:lpstr>Grade11!sreturn</vt:lpstr>
      <vt:lpstr>Grade12!sreturn</vt:lpstr>
      <vt:lpstr>Grade13!sreturn</vt:lpstr>
      <vt:lpstr>Grade14!sreturn</vt:lpstr>
      <vt:lpstr>Grade15!sreturn</vt:lpstr>
      <vt:lpstr>Grade16!sreturn</vt:lpstr>
      <vt:lpstr>Grade17!sreturn</vt:lpstr>
      <vt:lpstr>Grade18!sreturn</vt:lpstr>
      <vt:lpstr>sreturn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Grade10!sunemp</vt:lpstr>
      <vt:lpstr>Grade11!sunemp</vt:lpstr>
      <vt:lpstr>Grade12!sunemp</vt:lpstr>
      <vt:lpstr>Grade13!sunemp</vt:lpstr>
      <vt:lpstr>Grade14!sunemp</vt:lpstr>
      <vt:lpstr>Grade15!sunemp</vt:lpstr>
      <vt:lpstr>Grade16!sunemp</vt:lpstr>
      <vt:lpstr>Grade17!sunemp</vt:lpstr>
      <vt:lpstr>Grade18!sunemp</vt:lpstr>
      <vt:lpstr>Grade9!sunemp</vt:lpstr>
      <vt:lpstr>sunemp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  <vt:lpstr>Grade10!unempprob8</vt:lpstr>
      <vt:lpstr>Grade11!unempprob8</vt:lpstr>
      <vt:lpstr>Grade12!unempprob8</vt:lpstr>
      <vt:lpstr>Grade13!unempprob8</vt:lpstr>
      <vt:lpstr>Grade14!unempprob8</vt:lpstr>
      <vt:lpstr>Grade15!unempprob8</vt:lpstr>
      <vt:lpstr>Grade16!unempprob8</vt:lpstr>
      <vt:lpstr>Grade17!unempprob8</vt:lpstr>
      <vt:lpstr>Grade18!unempprob8</vt:lpstr>
      <vt:lpstr>Grade9!unempprob8</vt:lpstr>
      <vt:lpstr>unempprob8</vt:lpstr>
      <vt:lpstr>Grade10!unempproby8</vt:lpstr>
      <vt:lpstr>Grade11!unempproby8</vt:lpstr>
      <vt:lpstr>Grade12!unempproby8</vt:lpstr>
      <vt:lpstr>Grade13!unempproby8</vt:lpstr>
      <vt:lpstr>Grade14!unempproby8</vt:lpstr>
      <vt:lpstr>Grade15!unempproby8</vt:lpstr>
      <vt:lpstr>Grade16!unempproby8</vt:lpstr>
      <vt:lpstr>Grade17!unempproby8</vt:lpstr>
      <vt:lpstr>Grade18!unempproby8</vt:lpstr>
      <vt:lpstr>Grade9!unempproby8</vt:lpstr>
      <vt:lpstr>unempproby8</vt:lpstr>
    </vt:vector>
  </TitlesOfParts>
  <Company>GMU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Caleb</cp:lastModifiedBy>
  <dcterms:created xsi:type="dcterms:W3CDTF">2014-05-28T17:05:58Z</dcterms:created>
  <dcterms:modified xsi:type="dcterms:W3CDTF">2015-04-20T20:37:43Z</dcterms:modified>
</cp:coreProperties>
</file>