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80" yWindow="45" windowWidth="15180" windowHeight="11760" activeTab="1"/>
  </bookViews>
  <sheets>
    <sheet name="Meta" sheetId="4" r:id="rId1"/>
    <sheet name="Output" sheetId="50" r:id="rId2"/>
    <sheet name="Grade8" sheetId="1" r:id="rId3"/>
    <sheet name="Grade9" sheetId="52" r:id="rId4"/>
    <sheet name="Grade10" sheetId="53" r:id="rId5"/>
    <sheet name="Grade11" sheetId="54" r:id="rId6"/>
    <sheet name="Grade12" sheetId="55" r:id="rId7"/>
    <sheet name="Grade13" sheetId="56" r:id="rId8"/>
    <sheet name="Grade14" sheetId="57" r:id="rId9"/>
    <sheet name="Grade15" sheetId="58" r:id="rId10"/>
    <sheet name="Grade16" sheetId="59" r:id="rId11"/>
    <sheet name="Grade17" sheetId="60" r:id="rId12"/>
    <sheet name="Grade18" sheetId="61" r:id="rId13"/>
  </sheets>
  <definedNames>
    <definedName name="_edn1" localSheetId="0">Meta!$E$10</definedName>
    <definedName name="_edn1" localSheetId="1">Output!$B$10</definedName>
    <definedName name="_ednref1" localSheetId="0">Meta!$E$7</definedName>
    <definedName name="_ednref1" localSheetId="1">Output!$B$7</definedName>
    <definedName name="baseincome" localSheetId="0">Meta!$B$2</definedName>
    <definedName name="benefits" localSheetId="4">Grade10!$D$2</definedName>
    <definedName name="benefits" localSheetId="5">Grade11!$D$2</definedName>
    <definedName name="benefits" localSheetId="6">Grade12!$D$2</definedName>
    <definedName name="benefits" localSheetId="7">Grade13!$D$2</definedName>
    <definedName name="benefits" localSheetId="8">Grade14!$D$2</definedName>
    <definedName name="benefits" localSheetId="9">Grade15!$D$2</definedName>
    <definedName name="benefits" localSheetId="10">Grade16!$D$2</definedName>
    <definedName name="benefits" localSheetId="11">Grade17!$D$2</definedName>
    <definedName name="benefits" localSheetId="12">Grade18!$D$2</definedName>
    <definedName name="benefits" localSheetId="3">Grade9!$D$2</definedName>
    <definedName name="benefits">Grade8!$D$2</definedName>
    <definedName name="benrat" localSheetId="4">Grade10!$I$2</definedName>
    <definedName name="benrat" localSheetId="5">Grade11!$I$2</definedName>
    <definedName name="benrat" localSheetId="6">Grade12!$I$2</definedName>
    <definedName name="benrat" localSheetId="7">Grade13!$I$2</definedName>
    <definedName name="benrat" localSheetId="8">Grade14!$I$2</definedName>
    <definedName name="benrat" localSheetId="9">Grade15!$I$2</definedName>
    <definedName name="benrat" localSheetId="10">Grade16!$I$2</definedName>
    <definedName name="benrat" localSheetId="11">Grade17!$I$2</definedName>
    <definedName name="benrat" localSheetId="12">Grade18!$I$2</definedName>
    <definedName name="benrat" localSheetId="3">Grade9!$I$2</definedName>
    <definedName name="benrat">Grade8!$I$2</definedName>
    <definedName name="coltuition">Meta!$Q$2</definedName>
    <definedName name="compensationratio">#REF!</definedName>
    <definedName name="completionprob" localSheetId="4">Grade10!$H$2</definedName>
    <definedName name="completionprob" localSheetId="5">Grade11!$H$2</definedName>
    <definedName name="completionprob" localSheetId="6">Grade12!$H$2</definedName>
    <definedName name="completionprob" localSheetId="7">Grade13!$H$2</definedName>
    <definedName name="completionprob" localSheetId="8">Grade14!$H$2</definedName>
    <definedName name="completionprob" localSheetId="9">Grade15!$H$2</definedName>
    <definedName name="completionprob" localSheetId="10">Grade16!$H$2</definedName>
    <definedName name="completionprob" localSheetId="11">Grade17!$H$2</definedName>
    <definedName name="completionprob" localSheetId="12">Grade18!$H$2</definedName>
    <definedName name="completionprob">Grade9!$H$2</definedName>
    <definedName name="comprat" localSheetId="4">Grade10!$I$2</definedName>
    <definedName name="comprat" localSheetId="5">Grade11!$I$2</definedName>
    <definedName name="comprat" localSheetId="6">Grade12!$I$2</definedName>
    <definedName name="comprat" localSheetId="7">Grade13!$I$2</definedName>
    <definedName name="comprat" localSheetId="8">Grade14!$I$2</definedName>
    <definedName name="comprat" localSheetId="9">Grade15!$I$2</definedName>
    <definedName name="comprat" localSheetId="10">Grade16!$I$2</definedName>
    <definedName name="comprat" localSheetId="11">Grade17!$I$2</definedName>
    <definedName name="comprat" localSheetId="12">Grade18!$I$2</definedName>
    <definedName name="comprat" localSheetId="3">Grade9!$I$2</definedName>
    <definedName name="comprat">Grade8!$I$2</definedName>
    <definedName name="experiencepremium" localSheetId="1">Output!#REF!</definedName>
    <definedName name="experiencepremium">Meta!$H$2</definedName>
    <definedName name="expnorm" localSheetId="4">Grade10!$G$2</definedName>
    <definedName name="expnorm" localSheetId="5">Grade11!$G$2</definedName>
    <definedName name="expnorm" localSheetId="6">Grade12!$G$2</definedName>
    <definedName name="expnorm" localSheetId="7">Grade13!$G$2</definedName>
    <definedName name="expnorm" localSheetId="8">Grade14!$G$2</definedName>
    <definedName name="expnorm" localSheetId="9">Grade15!$G$2</definedName>
    <definedName name="expnorm" localSheetId="10">Grade16!$G$2</definedName>
    <definedName name="expnorm" localSheetId="11">Grade17!$G$2</definedName>
    <definedName name="expnorm" localSheetId="12">Grade18!$G$2</definedName>
    <definedName name="expnorm" localSheetId="3">Grade9!$G$2</definedName>
    <definedName name="expnorm">Grade8!$G$2</definedName>
    <definedName name="expnorm8" localSheetId="4">Grade10!$G$2</definedName>
    <definedName name="expnorm8" localSheetId="5">Grade11!$G$2</definedName>
    <definedName name="expnorm8" localSheetId="6">Grade12!$G$2</definedName>
    <definedName name="expnorm8" localSheetId="7">Grade13!$G$2</definedName>
    <definedName name="expnorm8" localSheetId="8">Grade14!$G$2</definedName>
    <definedName name="expnorm8" localSheetId="9">Grade15!$G$2</definedName>
    <definedName name="expnorm8" localSheetId="10">Grade16!$G$2</definedName>
    <definedName name="expnorm8" localSheetId="11">Grade17!$G$2</definedName>
    <definedName name="expnorm8" localSheetId="12">Grade18!$G$2</definedName>
    <definedName name="expnorm8" localSheetId="3">Grade9!$G$2</definedName>
    <definedName name="expnorm8">Grade8!$G$2</definedName>
    <definedName name="feel">Meta!$R$2</definedName>
    <definedName name="hstuition">Meta!$P$2</definedName>
    <definedName name="incomeindex" localSheetId="0">Meta!$E$2</definedName>
    <definedName name="initialbenrat" localSheetId="4">Grade10!$L$2</definedName>
    <definedName name="initialbenrat" localSheetId="5">Grade11!$L$2</definedName>
    <definedName name="initialbenrat" localSheetId="6">Grade12!$L$2</definedName>
    <definedName name="initialbenrat" localSheetId="7">Grade13!$L$2</definedName>
    <definedName name="initialbenrat" localSheetId="8">Grade14!$L$2</definedName>
    <definedName name="initialbenrat" localSheetId="9">Grade15!$L$2</definedName>
    <definedName name="initialbenrat" localSheetId="10">Grade16!$L$2</definedName>
    <definedName name="initialbenrat" localSheetId="11">Grade17!$L$2</definedName>
    <definedName name="initialbenrat" localSheetId="12">Grade18!$L$2</definedName>
    <definedName name="initialbenrat" localSheetId="3">Grade9!$L$2</definedName>
    <definedName name="initialbenrat">Grade8!$L$2</definedName>
    <definedName name="initialcompensationratio">#REF!</definedName>
    <definedName name="initialcomprat">#REF!</definedName>
    <definedName name="initialpart" localSheetId="4">Grade10!$L$2</definedName>
    <definedName name="initialpart" localSheetId="5">Grade11!$L$2</definedName>
    <definedName name="initialpart" localSheetId="6">Grade12!$L$2</definedName>
    <definedName name="initialpart" localSheetId="7">Grade13!$L$2</definedName>
    <definedName name="initialpart" localSheetId="8">Grade14!$L$2</definedName>
    <definedName name="initialpart" localSheetId="9">Grade15!$L$2</definedName>
    <definedName name="initialpart" localSheetId="10">Grade16!$L$2</definedName>
    <definedName name="initialpart" localSheetId="11">Grade17!$L$2</definedName>
    <definedName name="initialpart" localSheetId="12">Grade18!$L$2</definedName>
    <definedName name="initialpart">Grade9!$L$2</definedName>
    <definedName name="initialspart" localSheetId="4">Grade10!$J$2</definedName>
    <definedName name="initialspart" localSheetId="5">Grade11!$J$2</definedName>
    <definedName name="initialspart" localSheetId="6">Grade12!$J$2</definedName>
    <definedName name="initialspart" localSheetId="7">Grade13!$J$2</definedName>
    <definedName name="initialspart" localSheetId="8">Grade14!$J$2</definedName>
    <definedName name="initialspart" localSheetId="9">Grade15!$J$2</definedName>
    <definedName name="initialspart" localSheetId="10">Grade16!$J$2</definedName>
    <definedName name="initialspart" localSheetId="11">Grade17!$J$2</definedName>
    <definedName name="initialspart" localSheetId="12">Grade18!$J$2</definedName>
    <definedName name="initialspart">Grade9!$J$2</definedName>
    <definedName name="initialunempprob" localSheetId="4">Grade10!$K$2</definedName>
    <definedName name="initialunempprob" localSheetId="5">Grade11!$K$2</definedName>
    <definedName name="initialunempprob" localSheetId="6">Grade12!$K$2</definedName>
    <definedName name="initialunempprob" localSheetId="7">Grade13!$K$2</definedName>
    <definedName name="initialunempprob" localSheetId="8">Grade14!$K$2</definedName>
    <definedName name="initialunempprob" localSheetId="9">Grade15!$K$2</definedName>
    <definedName name="initialunempprob" localSheetId="10">Grade16!$K$2</definedName>
    <definedName name="initialunempprob" localSheetId="11">Grade17!$K$2</definedName>
    <definedName name="initialunempprob" localSheetId="12">Grade18!$K$2</definedName>
    <definedName name="initialunempprob" localSheetId="3">Grade9!$K$2</definedName>
    <definedName name="initialunempprob">Grade8!$K$2</definedName>
    <definedName name="nptrans">Meta!$S$2</definedName>
    <definedName name="part10">Meta!$F$4</definedName>
    <definedName name="part11">Meta!$F$5</definedName>
    <definedName name="part12">Meta!$F$6</definedName>
    <definedName name="part13">Meta!$F$7</definedName>
    <definedName name="part14">Meta!$F$8</definedName>
    <definedName name="part15">Meta!$F$9</definedName>
    <definedName name="part16">Meta!$F$10</definedName>
    <definedName name="part17">Meta!$F$11</definedName>
    <definedName name="part18">Meta!$F$12</definedName>
    <definedName name="part8">Meta!$F$2</definedName>
    <definedName name="part9">Meta!$F$3</definedName>
    <definedName name="pecuniaryreturn">#REF!</definedName>
    <definedName name="pretaxincome" localSheetId="4">Grade10!$C$2</definedName>
    <definedName name="pretaxincome" localSheetId="5">Grade11!$C$2</definedName>
    <definedName name="pretaxincome" localSheetId="6">Grade12!$C$2</definedName>
    <definedName name="pretaxincome" localSheetId="7">Grade13!$C$2</definedName>
    <definedName name="pretaxincome" localSheetId="8">Grade14!$C$2</definedName>
    <definedName name="pretaxincome" localSheetId="9">Grade15!$C$2</definedName>
    <definedName name="pretaxincome" localSheetId="10">Grade16!$C$2</definedName>
    <definedName name="pretaxincome" localSheetId="11">Grade17!$C$2</definedName>
    <definedName name="pretaxincome" localSheetId="12">Grade18!$C$2</definedName>
    <definedName name="pretaxincome" localSheetId="3">Grade9!$C$2</definedName>
    <definedName name="pretaxincome">Grade8!$C$2</definedName>
    <definedName name="pretaxincome8" localSheetId="4">Grade10!$C$2</definedName>
    <definedName name="pretaxincome8" localSheetId="5">Grade11!$C$2</definedName>
    <definedName name="pretaxincome8" localSheetId="6">Grade12!$C$2</definedName>
    <definedName name="pretaxincome8" localSheetId="7">Grade13!$C$2</definedName>
    <definedName name="pretaxincome8" localSheetId="8">Grade14!$C$2</definedName>
    <definedName name="pretaxincome8" localSheetId="9">Grade15!$C$2</definedName>
    <definedName name="pretaxincome8" localSheetId="10">Grade16!$C$2</definedName>
    <definedName name="pretaxincome8" localSheetId="11">Grade17!$C$2</definedName>
    <definedName name="pretaxincome8" localSheetId="12">Grade18!$C$2</definedName>
    <definedName name="pretaxincome8" localSheetId="3">Grade9!$C$2</definedName>
    <definedName name="pretaxincome8">Grade8!$C$2</definedName>
    <definedName name="pretaxincomey8" localSheetId="4">Grade10!$C$2</definedName>
    <definedName name="pretaxincomey8" localSheetId="5">Grade11!$C$2</definedName>
    <definedName name="pretaxincomey8" localSheetId="6">Grade12!$C$2</definedName>
    <definedName name="pretaxincomey8" localSheetId="7">Grade13!$C$2</definedName>
    <definedName name="pretaxincomey8" localSheetId="8">Grade14!$C$2</definedName>
    <definedName name="pretaxincomey8" localSheetId="9">Grade15!$C$2</definedName>
    <definedName name="pretaxincomey8" localSheetId="10">Grade16!$C$2</definedName>
    <definedName name="pretaxincomey8" localSheetId="11">Grade17!$C$2</definedName>
    <definedName name="pretaxincomey8" localSheetId="12">Grade18!$C$2</definedName>
    <definedName name="pretaxincomey8" localSheetId="3">Grade9!$C$2</definedName>
    <definedName name="pretaxincomey8">Grade8!$C$2</definedName>
    <definedName name="return">#REF!</definedName>
    <definedName name="returntoeducation">#REF!</definedName>
    <definedName name="returntoexperience" localSheetId="1">Output!#REF!</definedName>
    <definedName name="returntoexperience">Meta!$H$2</definedName>
    <definedName name="sbenefits" localSheetId="4">Grade10!$O$2</definedName>
    <definedName name="sbenefits" localSheetId="5">Grade11!$O$2</definedName>
    <definedName name="sbenefits" localSheetId="6">Grade12!$O$2</definedName>
    <definedName name="sbenefits" localSheetId="7">Grade13!$O$2</definedName>
    <definedName name="sbenefits" localSheetId="8">Grade14!$O$2</definedName>
    <definedName name="sbenefits" localSheetId="9">Grade15!$O$2</definedName>
    <definedName name="sbenefits" localSheetId="10">Grade16!$O$2</definedName>
    <definedName name="sbenefits" localSheetId="11">Grade17!$O$2</definedName>
    <definedName name="sbenefits" localSheetId="12">Grade18!$O$2</definedName>
    <definedName name="sbenefits" localSheetId="3">Grade9!$O$2</definedName>
    <definedName name="sbenefits">Grade8!$O$2</definedName>
    <definedName name="scrimecost" localSheetId="4">Grade10!$R$2</definedName>
    <definedName name="scrimecost" localSheetId="5">Grade11!$R$2</definedName>
    <definedName name="scrimecost" localSheetId="6">Grade12!$R$2</definedName>
    <definedName name="scrimecost" localSheetId="7">Grade13!$R$2</definedName>
    <definedName name="scrimecost" localSheetId="8">Grade14!$R$2</definedName>
    <definedName name="scrimecost" localSheetId="9">Grade15!$R$2</definedName>
    <definedName name="scrimecost" localSheetId="10">Grade16!$R$2</definedName>
    <definedName name="scrimecost" localSheetId="11">Grade17!$R$2</definedName>
    <definedName name="scrimecost" localSheetId="12">Grade18!$R$2</definedName>
    <definedName name="scrimecost" localSheetId="3">Grade9!$R$2</definedName>
    <definedName name="scrimecost">Grade8!$R$2</definedName>
    <definedName name="sincome" localSheetId="4">Grade10!$N$2</definedName>
    <definedName name="sincome" localSheetId="5">Grade11!$N$2</definedName>
    <definedName name="sincome" localSheetId="6">Grade12!$N$2</definedName>
    <definedName name="sincome" localSheetId="7">Grade13!$N$2</definedName>
    <definedName name="sincome" localSheetId="8">Grade14!$N$2</definedName>
    <definedName name="sincome" localSheetId="9">Grade15!$N$2</definedName>
    <definedName name="sincome" localSheetId="10">Grade16!$N$2</definedName>
    <definedName name="sincome" localSheetId="11">Grade17!$N$2</definedName>
    <definedName name="sincome" localSheetId="12">Grade18!$N$2</definedName>
    <definedName name="sincome" localSheetId="3">Grade9!$N$2</definedName>
    <definedName name="sincome">Grade8!$N$2</definedName>
    <definedName name="spart" localSheetId="4">Grade10!$Q$2</definedName>
    <definedName name="spart" localSheetId="5">Grade11!$Q$2</definedName>
    <definedName name="spart" localSheetId="6">Grade12!$Q$2</definedName>
    <definedName name="spart" localSheetId="7">Grade13!$Q$2</definedName>
    <definedName name="spart" localSheetId="8">Grade14!$Q$2</definedName>
    <definedName name="spart" localSheetId="9">Grade15!$Q$2</definedName>
    <definedName name="spart" localSheetId="10">Grade16!$Q$2</definedName>
    <definedName name="spart" localSheetId="11">Grade17!$Q$2</definedName>
    <definedName name="spart" localSheetId="12">Grade18!$Q$2</definedName>
    <definedName name="spart" localSheetId="3">Grade9!$Q$2</definedName>
    <definedName name="spart">Grade8!$Q$2</definedName>
    <definedName name="sreturn" localSheetId="4">Grade10!$T$2</definedName>
    <definedName name="sreturn" localSheetId="5">Grade11!$T$2</definedName>
    <definedName name="sreturn" localSheetId="6">Grade12!$T$2</definedName>
    <definedName name="sreturn" localSheetId="7">Grade13!$T$2</definedName>
    <definedName name="sreturn" localSheetId="8">Grade14!$T$2</definedName>
    <definedName name="sreturn" localSheetId="9">Grade15!$T$2</definedName>
    <definedName name="sreturn" localSheetId="10">Grade16!$T$2</definedName>
    <definedName name="sreturn" localSheetId="11">Grade17!$T$2</definedName>
    <definedName name="sreturn" localSheetId="12">Grade18!$T$2</definedName>
    <definedName name="sreturn">Grade9!$T$2</definedName>
    <definedName name="startage" localSheetId="4">Grade10!$B$2</definedName>
    <definedName name="startage" localSheetId="5">Grade11!$B$2</definedName>
    <definedName name="startage" localSheetId="6">Grade12!$B$2</definedName>
    <definedName name="startage" localSheetId="7">Grade13!$B$2</definedName>
    <definedName name="startage" localSheetId="8">Grade14!$B$2</definedName>
    <definedName name="startage" localSheetId="9">Grade15!$B$2</definedName>
    <definedName name="startage" localSheetId="10">Grade16!$B$2</definedName>
    <definedName name="startage" localSheetId="11">Grade17!$B$2</definedName>
    <definedName name="startage" localSheetId="12">Grade18!$B$2</definedName>
    <definedName name="startage" localSheetId="3">Grade9!$B$2</definedName>
    <definedName name="startage">Grade8!$B$2</definedName>
    <definedName name="sunemp" localSheetId="4">Grade10!$P$2</definedName>
    <definedName name="sunemp" localSheetId="5">Grade11!$P$2</definedName>
    <definedName name="sunemp" localSheetId="6">Grade12!$P$2</definedName>
    <definedName name="sunemp" localSheetId="7">Grade13!$P$2</definedName>
    <definedName name="sunemp" localSheetId="8">Grade14!$P$2</definedName>
    <definedName name="sunemp" localSheetId="9">Grade15!$P$2</definedName>
    <definedName name="sunemp" localSheetId="10">Grade16!$P$2</definedName>
    <definedName name="sunemp" localSheetId="11">Grade17!$P$2</definedName>
    <definedName name="sunemp" localSheetId="12">Grade18!$P$2</definedName>
    <definedName name="sunemp" localSheetId="3">Grade9!$P$2</definedName>
    <definedName name="sunemp">Grade8!$P$2</definedName>
    <definedName name="ttd">#REF!</definedName>
    <definedName name="unempprob" localSheetId="4">Grade10!$E$2</definedName>
    <definedName name="unempprob" localSheetId="5">Grade11!$E$2</definedName>
    <definedName name="unempprob" localSheetId="6">Grade12!$E$2</definedName>
    <definedName name="unempprob" localSheetId="7">Grade13!$E$2</definedName>
    <definedName name="unempprob" localSheetId="8">Grade14!$E$2</definedName>
    <definedName name="unempprob" localSheetId="9">Grade15!$E$2</definedName>
    <definedName name="unempprob" localSheetId="10">Grade16!$E$2</definedName>
    <definedName name="unempprob" localSheetId="11">Grade17!$E$2</definedName>
    <definedName name="unempprob" localSheetId="12">Grade18!$E$2</definedName>
    <definedName name="unempprob" localSheetId="3">Grade9!$E$2</definedName>
    <definedName name="unempprob">Grade8!$E$2</definedName>
    <definedName name="unempprob8" localSheetId="4">Grade10!$E$2</definedName>
    <definedName name="unempprob8" localSheetId="5">Grade11!$E$2</definedName>
    <definedName name="unempprob8" localSheetId="6">Grade12!$E$2</definedName>
    <definedName name="unempprob8" localSheetId="7">Grade13!$E$2</definedName>
    <definedName name="unempprob8" localSheetId="8">Grade14!$E$2</definedName>
    <definedName name="unempprob8" localSheetId="9">Grade15!$E$2</definedName>
    <definedName name="unempprob8" localSheetId="10">Grade16!$E$2</definedName>
    <definedName name="unempprob8" localSheetId="11">Grade17!$E$2</definedName>
    <definedName name="unempprob8" localSheetId="12">Grade18!$E$2</definedName>
    <definedName name="unempprob8" localSheetId="3">Grade9!$E$2</definedName>
    <definedName name="unempprob8">Grade8!$E$2</definedName>
    <definedName name="unempproby8" localSheetId="4">Grade10!$E$2</definedName>
    <definedName name="unempproby8" localSheetId="5">Grade11!$E$2</definedName>
    <definedName name="unempproby8" localSheetId="6">Grade12!$E$2</definedName>
    <definedName name="unempproby8" localSheetId="7">Grade13!$E$2</definedName>
    <definedName name="unempproby8" localSheetId="8">Grade14!$E$2</definedName>
    <definedName name="unempproby8" localSheetId="9">Grade15!$E$2</definedName>
    <definedName name="unempproby8" localSheetId="10">Grade16!$E$2</definedName>
    <definedName name="unempproby8" localSheetId="11">Grade17!$E$2</definedName>
    <definedName name="unempproby8" localSheetId="12">Grade18!$E$2</definedName>
    <definedName name="unempproby8" localSheetId="3">Grade9!$E$2</definedName>
    <definedName name="unempproby8">Grade8!$E$2</definedName>
  </definedNames>
  <calcPr calcId="145621"/>
</workbook>
</file>

<file path=xl/calcChain.xml><?xml version="1.0" encoding="utf-8"?>
<calcChain xmlns="http://schemas.openxmlformats.org/spreadsheetml/2006/main">
  <c r="R14" i="61" l="1"/>
  <c r="N57" i="61"/>
  <c r="N58" i="61"/>
  <c r="N59" i="61"/>
  <c r="N60" i="61"/>
  <c r="N61" i="61"/>
  <c r="N62" i="61"/>
  <c r="N63" i="61"/>
  <c r="N64" i="61"/>
  <c r="N65" i="61"/>
  <c r="N66" i="61"/>
  <c r="N67" i="61"/>
  <c r="N68" i="61"/>
  <c r="N69" i="61"/>
  <c r="R2" i="61"/>
  <c r="M40" i="61"/>
  <c r="Q2" i="61"/>
  <c r="P2" i="61"/>
  <c r="O2" i="61"/>
  <c r="N2" i="61"/>
  <c r="K2" i="61"/>
  <c r="J2" i="61"/>
  <c r="H2" i="61"/>
  <c r="F2" i="61"/>
  <c r="E2" i="61"/>
  <c r="D2" i="61"/>
  <c r="C2" i="61"/>
  <c r="B2" i="61"/>
  <c r="R13" i="60"/>
  <c r="N57" i="60"/>
  <c r="N58" i="60"/>
  <c r="N59" i="60"/>
  <c r="N60" i="60"/>
  <c r="N61" i="60"/>
  <c r="N62" i="60"/>
  <c r="N63" i="60"/>
  <c r="N64" i="60"/>
  <c r="N65" i="60"/>
  <c r="N66" i="60"/>
  <c r="N67" i="60"/>
  <c r="N68" i="60"/>
  <c r="N69" i="60"/>
  <c r="R2" i="60"/>
  <c r="Q2" i="60"/>
  <c r="P2" i="60"/>
  <c r="L35" i="60"/>
  <c r="N35" i="60"/>
  <c r="O2" i="60"/>
  <c r="N2" i="60"/>
  <c r="K2" i="60"/>
  <c r="J2" i="60"/>
  <c r="H2" i="60"/>
  <c r="F2" i="60"/>
  <c r="E2" i="60"/>
  <c r="D2" i="60"/>
  <c r="C2" i="60"/>
  <c r="B2" i="60"/>
  <c r="B22" i="60"/>
  <c r="R12" i="59"/>
  <c r="N57" i="59"/>
  <c r="N58" i="59"/>
  <c r="N59" i="59"/>
  <c r="N60" i="59"/>
  <c r="N61" i="59"/>
  <c r="N62" i="59"/>
  <c r="N63" i="59"/>
  <c r="N64" i="59"/>
  <c r="N65" i="59"/>
  <c r="N66" i="59"/>
  <c r="N67" i="59"/>
  <c r="N68" i="59"/>
  <c r="N69" i="59"/>
  <c r="R2" i="59"/>
  <c r="M68" i="59"/>
  <c r="Q2" i="59"/>
  <c r="P2" i="59"/>
  <c r="O2" i="59"/>
  <c r="N2" i="59"/>
  <c r="K2" i="59"/>
  <c r="J2" i="59"/>
  <c r="H2" i="59"/>
  <c r="F2" i="59"/>
  <c r="E2" i="59"/>
  <c r="D2" i="59"/>
  <c r="C2" i="59"/>
  <c r="B2" i="59"/>
  <c r="B27" i="59"/>
  <c r="R11" i="58"/>
  <c r="N57" i="58"/>
  <c r="N58" i="58"/>
  <c r="N59" i="58"/>
  <c r="N60" i="58"/>
  <c r="N61" i="58"/>
  <c r="N62" i="58"/>
  <c r="N63" i="58"/>
  <c r="N64" i="58"/>
  <c r="N65" i="58"/>
  <c r="N66" i="58"/>
  <c r="N67" i="58"/>
  <c r="N68" i="58"/>
  <c r="N69" i="58"/>
  <c r="R2" i="58"/>
  <c r="M64" i="58"/>
  <c r="Q2" i="58"/>
  <c r="P2" i="58"/>
  <c r="O2" i="58"/>
  <c r="N2" i="58"/>
  <c r="L39" i="58"/>
  <c r="P39" i="58"/>
  <c r="K2" i="58"/>
  <c r="J2" i="58"/>
  <c r="H2" i="58"/>
  <c r="F2" i="58"/>
  <c r="E2" i="58"/>
  <c r="D2" i="58"/>
  <c r="C2" i="58"/>
  <c r="B2" i="58"/>
  <c r="R10" i="57"/>
  <c r="N57" i="57"/>
  <c r="N58" i="57"/>
  <c r="N59" i="57"/>
  <c r="N60" i="57"/>
  <c r="N61" i="57"/>
  <c r="N62" i="57"/>
  <c r="N63" i="57"/>
  <c r="N64" i="57"/>
  <c r="N65" i="57"/>
  <c r="N66" i="57"/>
  <c r="N67" i="57"/>
  <c r="N68" i="57"/>
  <c r="N69" i="57"/>
  <c r="R2" i="57"/>
  <c r="M26" i="57"/>
  <c r="Q2" i="57"/>
  <c r="P2" i="57"/>
  <c r="O2" i="57"/>
  <c r="N2" i="57"/>
  <c r="L23" i="57"/>
  <c r="N23" i="57"/>
  <c r="K2" i="57"/>
  <c r="J2" i="57"/>
  <c r="H2" i="57"/>
  <c r="F2" i="57"/>
  <c r="E2" i="57"/>
  <c r="D2" i="57"/>
  <c r="C2" i="57"/>
  <c r="B2" i="57"/>
  <c r="B17" i="57"/>
  <c r="R9" i="56"/>
  <c r="N57" i="56"/>
  <c r="N58" i="56"/>
  <c r="N59" i="56"/>
  <c r="N60" i="56"/>
  <c r="N61" i="56"/>
  <c r="N62" i="56"/>
  <c r="N63" i="56"/>
  <c r="N64" i="56"/>
  <c r="N65" i="56"/>
  <c r="N66" i="56"/>
  <c r="N67" i="56"/>
  <c r="N68" i="56"/>
  <c r="N69" i="56"/>
  <c r="R2" i="56"/>
  <c r="Q2" i="56"/>
  <c r="P2" i="56"/>
  <c r="O2" i="56"/>
  <c r="N2" i="56"/>
  <c r="K2" i="56"/>
  <c r="J2" i="56"/>
  <c r="H2" i="56"/>
  <c r="F2" i="56"/>
  <c r="E2" i="56"/>
  <c r="D2" i="56"/>
  <c r="C2" i="56"/>
  <c r="B2" i="56"/>
  <c r="B32" i="56"/>
  <c r="R8" i="55"/>
  <c r="N57" i="55"/>
  <c r="N58" i="55"/>
  <c r="N59" i="55"/>
  <c r="N60" i="55"/>
  <c r="N61" i="55"/>
  <c r="N62" i="55"/>
  <c r="N63" i="55"/>
  <c r="N64" i="55"/>
  <c r="N65" i="55"/>
  <c r="N66" i="55"/>
  <c r="N67" i="55"/>
  <c r="N68" i="55"/>
  <c r="N69" i="55"/>
  <c r="R2" i="55"/>
  <c r="Q2" i="55"/>
  <c r="P2" i="55"/>
  <c r="O2" i="55"/>
  <c r="N2" i="55"/>
  <c r="K2" i="55"/>
  <c r="J2" i="55"/>
  <c r="H2" i="55"/>
  <c r="F2" i="55"/>
  <c r="E2" i="55"/>
  <c r="D2" i="55"/>
  <c r="C2" i="55"/>
  <c r="B2" i="55"/>
  <c r="R7" i="54"/>
  <c r="R6" i="53"/>
  <c r="N57" i="54"/>
  <c r="N58" i="54"/>
  <c r="N59" i="54"/>
  <c r="N60" i="54"/>
  <c r="N61" i="54"/>
  <c r="N62" i="54"/>
  <c r="N63" i="54"/>
  <c r="N64" i="54"/>
  <c r="N65" i="54"/>
  <c r="N66" i="54"/>
  <c r="N67" i="54"/>
  <c r="N68" i="54"/>
  <c r="N69" i="54"/>
  <c r="R2" i="54"/>
  <c r="Q2" i="54"/>
  <c r="P2" i="54"/>
  <c r="O2" i="54"/>
  <c r="N2" i="54"/>
  <c r="K2" i="54"/>
  <c r="J2" i="54"/>
  <c r="H2" i="54"/>
  <c r="F2" i="54"/>
  <c r="E2" i="54"/>
  <c r="D2" i="54"/>
  <c r="C2" i="54"/>
  <c r="B2" i="54"/>
  <c r="N57" i="53"/>
  <c r="N58" i="53"/>
  <c r="N59" i="53"/>
  <c r="N60" i="53"/>
  <c r="N61" i="53"/>
  <c r="N62" i="53"/>
  <c r="N63" i="53"/>
  <c r="N64" i="53"/>
  <c r="N65" i="53"/>
  <c r="N66" i="53"/>
  <c r="N67" i="53"/>
  <c r="N68" i="53"/>
  <c r="N69" i="53"/>
  <c r="R2" i="53"/>
  <c r="M66" i="53"/>
  <c r="O66" i="54" s="1"/>
  <c r="S66" i="54" s="1"/>
  <c r="Q2" i="53"/>
  <c r="P2" i="53"/>
  <c r="O2" i="53"/>
  <c r="N2" i="53"/>
  <c r="L17" i="53"/>
  <c r="P17" i="53"/>
  <c r="K2" i="53"/>
  <c r="J2" i="53"/>
  <c r="H2" i="53"/>
  <c r="F2" i="53"/>
  <c r="E2" i="53"/>
  <c r="D2" i="53"/>
  <c r="H42" i="53"/>
  <c r="C2" i="53"/>
  <c r="B2" i="53"/>
  <c r="B26" i="53"/>
  <c r="N57" i="52"/>
  <c r="N58" i="52"/>
  <c r="N59" i="52"/>
  <c r="N60" i="52"/>
  <c r="N61" i="52"/>
  <c r="N62" i="52"/>
  <c r="N63" i="52"/>
  <c r="N64" i="52"/>
  <c r="N65" i="52"/>
  <c r="N66" i="52"/>
  <c r="N67" i="52"/>
  <c r="N68" i="52"/>
  <c r="N69" i="52"/>
  <c r="J2" i="52"/>
  <c r="Q2" i="52"/>
  <c r="R5" i="52"/>
  <c r="R2" i="52"/>
  <c r="P2" i="52"/>
  <c r="O2" i="52"/>
  <c r="L28" i="52"/>
  <c r="N2" i="52"/>
  <c r="H2" i="52"/>
  <c r="F2" i="52"/>
  <c r="E2" i="52"/>
  <c r="D2" i="52"/>
  <c r="C2" i="52"/>
  <c r="C39" i="52"/>
  <c r="D39" i="52"/>
  <c r="B2" i="52"/>
  <c r="B38" i="52"/>
  <c r="K2" i="52"/>
  <c r="R2" i="1"/>
  <c r="M29" i="1"/>
  <c r="S2" i="4"/>
  <c r="F2" i="1"/>
  <c r="E2" i="1"/>
  <c r="Q2" i="1"/>
  <c r="P2" i="1"/>
  <c r="O2" i="1"/>
  <c r="N2" i="1"/>
  <c r="L37" i="1"/>
  <c r="D2" i="1"/>
  <c r="C2" i="1"/>
  <c r="B7" i="50"/>
  <c r="B3" i="50"/>
  <c r="B4" i="50"/>
  <c r="B5" i="50"/>
  <c r="B6" i="50"/>
  <c r="B8" i="50"/>
  <c r="N8" i="50"/>
  <c r="B9" i="50"/>
  <c r="N10" i="50"/>
  <c r="B10" i="50"/>
  <c r="B11" i="50"/>
  <c r="K11" i="50"/>
  <c r="B12" i="50"/>
  <c r="B2" i="50"/>
  <c r="M2" i="4"/>
  <c r="M3" i="4"/>
  <c r="M4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B2" i="1"/>
  <c r="K2" i="1"/>
  <c r="H2" i="1"/>
  <c r="M34" i="59"/>
  <c r="M14" i="59"/>
  <c r="M22" i="59"/>
  <c r="M26" i="59"/>
  <c r="M30" i="59"/>
  <c r="B41" i="59"/>
  <c r="B54" i="59"/>
  <c r="M66" i="59"/>
  <c r="O66" i="60" s="1"/>
  <c r="S66" i="60" s="1"/>
  <c r="M62" i="59"/>
  <c r="M58" i="59"/>
  <c r="M67" i="59"/>
  <c r="M63" i="59"/>
  <c r="M59" i="59"/>
  <c r="M56" i="59"/>
  <c r="M55" i="59"/>
  <c r="M54" i="59"/>
  <c r="M53" i="59"/>
  <c r="M52" i="59"/>
  <c r="O52" i="60" s="1"/>
  <c r="S52" i="60" s="1"/>
  <c r="M51" i="59"/>
  <c r="M50" i="59"/>
  <c r="M49" i="59"/>
  <c r="M48" i="59"/>
  <c r="M47" i="59"/>
  <c r="M46" i="59"/>
  <c r="M45" i="59"/>
  <c r="M44" i="59"/>
  <c r="M43" i="59"/>
  <c r="M42" i="59"/>
  <c r="M41" i="59"/>
  <c r="M40" i="59"/>
  <c r="O40" i="60" s="1"/>
  <c r="S40" i="60" s="1"/>
  <c r="M39" i="59"/>
  <c r="M69" i="59"/>
  <c r="O69" i="60" s="1"/>
  <c r="S69" i="60" s="1"/>
  <c r="M65" i="59"/>
  <c r="M61" i="59"/>
  <c r="M57" i="59"/>
  <c r="M20" i="59"/>
  <c r="M24" i="59"/>
  <c r="M28" i="59"/>
  <c r="M33" i="59"/>
  <c r="M35" i="59"/>
  <c r="M37" i="59"/>
  <c r="B22" i="59"/>
  <c r="M64" i="59"/>
  <c r="O64" i="59"/>
  <c r="S64" i="59" s="1"/>
  <c r="M59" i="57"/>
  <c r="M49" i="57"/>
  <c r="M28" i="54"/>
  <c r="B29" i="60"/>
  <c r="B48" i="60"/>
  <c r="M13" i="59"/>
  <c r="M21" i="59"/>
  <c r="M30" i="54"/>
  <c r="O30" i="55" s="1"/>
  <c r="S30" i="55" s="1"/>
  <c r="M66" i="54"/>
  <c r="M23" i="59"/>
  <c r="B34" i="57"/>
  <c r="M29" i="59"/>
  <c r="B16" i="60"/>
  <c r="B20" i="60"/>
  <c r="B43" i="60"/>
  <c r="B39" i="60"/>
  <c r="B35" i="60"/>
  <c r="B31" i="60"/>
  <c r="B27" i="60"/>
  <c r="B55" i="60"/>
  <c r="B47" i="60"/>
  <c r="B52" i="60"/>
  <c r="B44" i="60"/>
  <c r="B17" i="60"/>
  <c r="B21" i="60"/>
  <c r="B42" i="60"/>
  <c r="B38" i="60"/>
  <c r="B34" i="60"/>
  <c r="B30" i="60"/>
  <c r="B26" i="60"/>
  <c r="B53" i="60"/>
  <c r="B45" i="60"/>
  <c r="B50" i="60"/>
  <c r="B19" i="60"/>
  <c r="B40" i="60"/>
  <c r="B32" i="60"/>
  <c r="B24" i="60"/>
  <c r="B54" i="60"/>
  <c r="B15" i="60"/>
  <c r="B23" i="60"/>
  <c r="B36" i="60"/>
  <c r="B28" i="60"/>
  <c r="B49" i="60"/>
  <c r="B46" i="60"/>
  <c r="B18" i="60"/>
  <c r="B33" i="60"/>
  <c r="B56" i="60"/>
  <c r="B41" i="60"/>
  <c r="B25" i="60"/>
  <c r="B14" i="60"/>
  <c r="B37" i="60"/>
  <c r="B51" i="60"/>
  <c r="M47" i="60"/>
  <c r="B16" i="57"/>
  <c r="B29" i="57"/>
  <c r="B55" i="57"/>
  <c r="B28" i="57"/>
  <c r="B13" i="57"/>
  <c r="B39" i="57"/>
  <c r="B52" i="1"/>
  <c r="B35" i="1"/>
  <c r="B55" i="1"/>
  <c r="B10" i="1"/>
  <c r="B20" i="1"/>
  <c r="M40" i="54"/>
  <c r="M42" i="54"/>
  <c r="M15" i="59"/>
  <c r="M24" i="60"/>
  <c r="O24" i="60" s="1"/>
  <c r="M61" i="60"/>
  <c r="M16" i="60"/>
  <c r="M59" i="60"/>
  <c r="O59" i="60"/>
  <c r="S59" i="60" s="1"/>
  <c r="M54" i="60"/>
  <c r="M52" i="60"/>
  <c r="M45" i="60"/>
  <c r="O45" i="60" s="1"/>
  <c r="S45" i="60" s="1"/>
  <c r="M43" i="60"/>
  <c r="O43" i="60" s="1"/>
  <c r="M37" i="60"/>
  <c r="M34" i="60"/>
  <c r="M30" i="60"/>
  <c r="M21" i="60"/>
  <c r="M18" i="60"/>
  <c r="M13" i="60"/>
  <c r="M58" i="60"/>
  <c r="M60" i="60"/>
  <c r="M63" i="60"/>
  <c r="M55" i="60"/>
  <c r="M50" i="60"/>
  <c r="O50" i="60" s="1"/>
  <c r="M48" i="60"/>
  <c r="O48" i="60"/>
  <c r="M57" i="60"/>
  <c r="M35" i="60"/>
  <c r="O35" i="60" s="1"/>
  <c r="S35" i="60" s="1"/>
  <c r="M32" i="60"/>
  <c r="M27" i="60"/>
  <c r="M15" i="60"/>
  <c r="M14" i="60"/>
  <c r="O14" i="60" s="1"/>
  <c r="S14" i="60" s="1"/>
  <c r="M66" i="60"/>
  <c r="M68" i="60"/>
  <c r="M67" i="60"/>
  <c r="M53" i="60"/>
  <c r="M44" i="60"/>
  <c r="O44" i="60"/>
  <c r="M69" i="60"/>
  <c r="M31" i="60"/>
  <c r="M65" i="60"/>
  <c r="M41" i="60"/>
  <c r="M39" i="60"/>
  <c r="M20" i="60"/>
  <c r="M64" i="60"/>
  <c r="M51" i="60"/>
  <c r="M46" i="60"/>
  <c r="O46" i="60"/>
  <c r="M38" i="60"/>
  <c r="M29" i="60"/>
  <c r="M23" i="60"/>
  <c r="M40" i="60"/>
  <c r="O40" i="61" s="1"/>
  <c r="M19" i="60"/>
  <c r="M49" i="60"/>
  <c r="O49" i="60" s="1"/>
  <c r="M36" i="60"/>
  <c r="M28" i="60"/>
  <c r="M25" i="60"/>
  <c r="M42" i="60"/>
  <c r="M32" i="59"/>
  <c r="M25" i="59"/>
  <c r="M19" i="59"/>
  <c r="O19" i="60" s="1"/>
  <c r="M16" i="59"/>
  <c r="M12" i="59"/>
  <c r="M36" i="59"/>
  <c r="M38" i="59"/>
  <c r="O38" i="60" s="1"/>
  <c r="M27" i="59"/>
  <c r="O27" i="60" s="1"/>
  <c r="M17" i="59"/>
  <c r="B33" i="1"/>
  <c r="B29" i="1"/>
  <c r="B37" i="1"/>
  <c r="B7" i="1"/>
  <c r="B16" i="1"/>
  <c r="B32" i="1"/>
  <c r="B48" i="1"/>
  <c r="B46" i="1"/>
  <c r="B21" i="1"/>
  <c r="B5" i="1"/>
  <c r="B47" i="1"/>
  <c r="B27" i="1"/>
  <c r="B18" i="1"/>
  <c r="B34" i="1"/>
  <c r="M18" i="59"/>
  <c r="O18" i="60" s="1"/>
  <c r="M31" i="59"/>
  <c r="O31" i="60" s="1"/>
  <c r="M23" i="52"/>
  <c r="M29" i="52"/>
  <c r="M36" i="58"/>
  <c r="O36" i="59" s="1"/>
  <c r="S36" i="59" s="1"/>
  <c r="M60" i="59"/>
  <c r="K12" i="50"/>
  <c r="B44" i="53"/>
  <c r="B41" i="53"/>
  <c r="M38" i="53"/>
  <c r="B19" i="59"/>
  <c r="B7" i="52"/>
  <c r="B56" i="59"/>
  <c r="B45" i="59"/>
  <c r="B15" i="52"/>
  <c r="B33" i="59"/>
  <c r="B49" i="59"/>
  <c r="B38" i="58"/>
  <c r="B30" i="59"/>
  <c r="B24" i="59"/>
  <c r="B39" i="59"/>
  <c r="M63" i="1"/>
  <c r="M39" i="1"/>
  <c r="B49" i="53"/>
  <c r="B17" i="53"/>
  <c r="B20" i="53"/>
  <c r="B52" i="53"/>
  <c r="B18" i="53"/>
  <c r="B50" i="53"/>
  <c r="B14" i="53"/>
  <c r="B12" i="53"/>
  <c r="B8" i="53"/>
  <c r="B9" i="53"/>
  <c r="M63" i="53"/>
  <c r="B36" i="53"/>
  <c r="B42" i="53"/>
  <c r="B28" i="53"/>
  <c r="B25" i="53"/>
  <c r="B39" i="52"/>
  <c r="B51" i="59"/>
  <c r="B43" i="59"/>
  <c r="B35" i="59"/>
  <c r="B13" i="59"/>
  <c r="B11" i="53"/>
  <c r="B34" i="53"/>
  <c r="B41" i="52"/>
  <c r="B33" i="53"/>
  <c r="B17" i="59"/>
  <c r="B16" i="59"/>
  <c r="B37" i="59"/>
  <c r="B47" i="59"/>
  <c r="M16" i="53"/>
  <c r="M45" i="53"/>
  <c r="M61" i="53"/>
  <c r="M30" i="53"/>
  <c r="M12" i="53"/>
  <c r="M69" i="53"/>
  <c r="M39" i="53"/>
  <c r="M37" i="53"/>
  <c r="M21" i="53"/>
  <c r="M17" i="53"/>
  <c r="M36" i="53"/>
  <c r="M14" i="53"/>
  <c r="M51" i="53"/>
  <c r="M67" i="53"/>
  <c r="M56" i="53"/>
  <c r="M26" i="53"/>
  <c r="M9" i="53"/>
  <c r="M43" i="53"/>
  <c r="M8" i="53"/>
  <c r="M25" i="53"/>
  <c r="M29" i="53"/>
  <c r="M35" i="53"/>
  <c r="O35" i="54" s="1"/>
  <c r="S35" i="54" s="1"/>
  <c r="M34" i="53"/>
  <c r="M59" i="53"/>
  <c r="M64" i="53"/>
  <c r="M6" i="53"/>
  <c r="M50" i="53"/>
  <c r="M7" i="53"/>
  <c r="M46" i="53"/>
  <c r="B54" i="1"/>
  <c r="B50" i="1"/>
  <c r="B24" i="1"/>
  <c r="B49" i="1"/>
  <c r="B44" i="1"/>
  <c r="B31" i="1"/>
  <c r="B51" i="1"/>
  <c r="B14" i="1"/>
  <c r="B17" i="1"/>
  <c r="B23" i="1"/>
  <c r="B38" i="1"/>
  <c r="B6" i="1"/>
  <c r="B26" i="1"/>
  <c r="B45" i="1"/>
  <c r="B8" i="1"/>
  <c r="B56" i="1"/>
  <c r="B13" i="1"/>
  <c r="B9" i="1"/>
  <c r="B53" i="1"/>
  <c r="B19" i="1"/>
  <c r="B25" i="1"/>
  <c r="B40" i="1"/>
  <c r="B15" i="1"/>
  <c r="B28" i="1"/>
  <c r="B11" i="1"/>
  <c r="B30" i="1"/>
  <c r="B39" i="1"/>
  <c r="B36" i="1"/>
  <c r="B43" i="1"/>
  <c r="B22" i="1"/>
  <c r="B42" i="1"/>
  <c r="B41" i="1"/>
  <c r="B12" i="1"/>
  <c r="M57" i="52"/>
  <c r="M24" i="52"/>
  <c r="B48" i="52"/>
  <c r="B45" i="52"/>
  <c r="B28" i="52"/>
  <c r="B22" i="52"/>
  <c r="B42" i="52"/>
  <c r="B20" i="52"/>
  <c r="B51" i="52"/>
  <c r="B51" i="58"/>
  <c r="B17" i="58"/>
  <c r="B22" i="58"/>
  <c r="B31" i="59"/>
  <c r="B23" i="59"/>
  <c r="B50" i="59"/>
  <c r="B46" i="59"/>
  <c r="B42" i="59"/>
  <c r="B38" i="59"/>
  <c r="B34" i="59"/>
  <c r="B55" i="59"/>
  <c r="B15" i="59"/>
  <c r="B28" i="59"/>
  <c r="B25" i="59"/>
  <c r="B18" i="59"/>
  <c r="B52" i="59"/>
  <c r="B48" i="59"/>
  <c r="B44" i="59"/>
  <c r="B40" i="59"/>
  <c r="B36" i="59"/>
  <c r="B32" i="59"/>
  <c r="B53" i="59"/>
  <c r="B20" i="59"/>
  <c r="B21" i="59"/>
  <c r="B29" i="59"/>
  <c r="B14" i="59"/>
  <c r="B26" i="59"/>
  <c r="B35" i="54"/>
  <c r="B47" i="54"/>
  <c r="B31" i="56"/>
  <c r="B18" i="56"/>
  <c r="B49" i="56"/>
  <c r="B22" i="56"/>
  <c r="B20" i="56"/>
  <c r="B10" i="56"/>
  <c r="B26" i="58"/>
  <c r="B35" i="58"/>
  <c r="B46" i="58"/>
  <c r="B50" i="58"/>
  <c r="B36" i="58"/>
  <c r="B47" i="58"/>
  <c r="B24" i="58"/>
  <c r="B34" i="58"/>
  <c r="B45" i="58"/>
  <c r="B27" i="58"/>
  <c r="B56" i="58"/>
  <c r="B15" i="58"/>
  <c r="B25" i="58"/>
  <c r="B31" i="58"/>
  <c r="B32" i="58"/>
  <c r="B12" i="58"/>
  <c r="B29" i="58"/>
  <c r="B30" i="58"/>
  <c r="B14" i="58"/>
  <c r="B41" i="58"/>
  <c r="B52" i="58"/>
  <c r="B19" i="58"/>
  <c r="B43" i="58"/>
  <c r="B13" i="58"/>
  <c r="B43" i="56"/>
  <c r="B29" i="56"/>
  <c r="B54" i="58"/>
  <c r="B48" i="58"/>
  <c r="B18" i="58"/>
  <c r="B42" i="58"/>
  <c r="B55" i="58"/>
  <c r="B21" i="56"/>
  <c r="B39" i="58"/>
  <c r="B28" i="58"/>
  <c r="B33" i="58"/>
  <c r="B49" i="58"/>
  <c r="B20" i="58"/>
  <c r="B40" i="58"/>
  <c r="B36" i="56"/>
  <c r="B21" i="58"/>
  <c r="B23" i="58"/>
  <c r="B37" i="58"/>
  <c r="B53" i="58"/>
  <c r="B16" i="58"/>
  <c r="B32" i="54"/>
  <c r="M61" i="1"/>
  <c r="B15" i="53"/>
  <c r="B10" i="53"/>
  <c r="B55" i="53"/>
  <c r="B47" i="53"/>
  <c r="B39" i="53"/>
  <c r="B31" i="53"/>
  <c r="B23" i="53"/>
  <c r="B16" i="53"/>
  <c r="B32" i="53"/>
  <c r="B48" i="53"/>
  <c r="B30" i="53"/>
  <c r="B46" i="53"/>
  <c r="B13" i="53"/>
  <c r="B53" i="53"/>
  <c r="B45" i="53"/>
  <c r="B37" i="53"/>
  <c r="B29" i="53"/>
  <c r="B21" i="53"/>
  <c r="B51" i="53"/>
  <c r="B43" i="53"/>
  <c r="B35" i="53"/>
  <c r="B27" i="53"/>
  <c r="B19" i="53"/>
  <c r="B24" i="53"/>
  <c r="B40" i="53"/>
  <c r="B56" i="53"/>
  <c r="B22" i="53"/>
  <c r="B38" i="53"/>
  <c r="B54" i="53"/>
  <c r="B7" i="53"/>
  <c r="M63" i="55"/>
  <c r="M17" i="60"/>
  <c r="O17" i="60" s="1"/>
  <c r="M22" i="60"/>
  <c r="M62" i="60"/>
  <c r="O62" i="60" s="1"/>
  <c r="S62" i="60" s="1"/>
  <c r="M56" i="60"/>
  <c r="O56" i="60"/>
  <c r="M26" i="60"/>
  <c r="O26" i="60"/>
  <c r="M33" i="60"/>
  <c r="M12" i="1"/>
  <c r="M44" i="1"/>
  <c r="M58" i="1"/>
  <c r="O58" i="52" s="1"/>
  <c r="S58" i="52" s="1"/>
  <c r="M42" i="1"/>
  <c r="M26" i="1"/>
  <c r="M57" i="1"/>
  <c r="M41" i="1"/>
  <c r="O41" i="52" s="1"/>
  <c r="S41" i="52" s="1"/>
  <c r="M9" i="1"/>
  <c r="M48" i="1"/>
  <c r="M32" i="1"/>
  <c r="M55" i="1"/>
  <c r="O55" i="52" s="1"/>
  <c r="S55" i="52" s="1"/>
  <c r="M54" i="1"/>
  <c r="M22" i="1"/>
  <c r="M6" i="1"/>
  <c r="M53" i="1"/>
  <c r="M21" i="1"/>
  <c r="M69" i="1"/>
  <c r="O69" i="52" s="1"/>
  <c r="S69" i="52" s="1"/>
  <c r="M66" i="1"/>
  <c r="M50" i="1"/>
  <c r="M34" i="1"/>
  <c r="M18" i="1"/>
  <c r="M65" i="1"/>
  <c r="M49" i="1"/>
  <c r="O49" i="52" s="1"/>
  <c r="S49" i="52" s="1"/>
  <c r="M33" i="1"/>
  <c r="M17" i="1"/>
  <c r="M5" i="1"/>
  <c r="M56" i="1"/>
  <c r="M40" i="1"/>
  <c r="M24" i="1"/>
  <c r="M9" i="52"/>
  <c r="O9" i="53" s="1"/>
  <c r="M30" i="52"/>
  <c r="M16" i="52"/>
  <c r="O16" i="53" s="1"/>
  <c r="S16" i="53" s="1"/>
  <c r="M21" i="52"/>
  <c r="O21" i="52" s="1"/>
  <c r="S21" i="52" s="1"/>
  <c r="M67" i="52"/>
  <c r="M47" i="52"/>
  <c r="M12" i="52"/>
  <c r="O12" i="53" s="1"/>
  <c r="M39" i="52"/>
  <c r="O39" i="53" s="1"/>
  <c r="M34" i="52"/>
  <c r="O34" i="53" s="1"/>
  <c r="M15" i="52"/>
  <c r="M66" i="52"/>
  <c r="M45" i="52"/>
  <c r="M42" i="52"/>
  <c r="O42" i="52" s="1"/>
  <c r="M13" i="52"/>
  <c r="M19" i="52"/>
  <c r="M11" i="52"/>
  <c r="M41" i="52"/>
  <c r="M8" i="52"/>
  <c r="M37" i="52"/>
  <c r="M65" i="52"/>
  <c r="M33" i="52"/>
  <c r="M55" i="52"/>
  <c r="M53" i="52"/>
  <c r="M10" i="52"/>
  <c r="M54" i="52"/>
  <c r="O54" i="52" s="1"/>
  <c r="S54" i="52" s="1"/>
  <c r="M69" i="52"/>
  <c r="O69" i="53"/>
  <c r="S69" i="53" s="1"/>
  <c r="M25" i="52"/>
  <c r="M44" i="52"/>
  <c r="M40" i="52"/>
  <c r="O40" i="52" s="1"/>
  <c r="S40" i="52" s="1"/>
  <c r="M64" i="52"/>
  <c r="M68" i="52"/>
  <c r="M20" i="52"/>
  <c r="M7" i="52"/>
  <c r="M50" i="52"/>
  <c r="M59" i="52"/>
  <c r="M17" i="52"/>
  <c r="M48" i="52"/>
  <c r="M18" i="52"/>
  <c r="M28" i="52"/>
  <c r="M60" i="52"/>
  <c r="M38" i="52"/>
  <c r="M36" i="52"/>
  <c r="M14" i="52"/>
  <c r="M58" i="52"/>
  <c r="M51" i="52"/>
  <c r="O51" i="53" s="1"/>
  <c r="S51" i="53" s="1"/>
  <c r="M27" i="52"/>
  <c r="O27" i="52" s="1"/>
  <c r="S27" i="52" s="1"/>
  <c r="M26" i="52"/>
  <c r="M62" i="52"/>
  <c r="M43" i="52"/>
  <c r="B15" i="54"/>
  <c r="B30" i="54"/>
  <c r="B34" i="54"/>
  <c r="B12" i="54"/>
  <c r="B25" i="54"/>
  <c r="B23" i="54"/>
  <c r="B28" i="54"/>
  <c r="B50" i="54"/>
  <c r="B43" i="54"/>
  <c r="B9" i="54"/>
  <c r="B36" i="54"/>
  <c r="B49" i="54"/>
  <c r="B31" i="54"/>
  <c r="B46" i="54"/>
  <c r="B48" i="54"/>
  <c r="B52" i="54"/>
  <c r="B27" i="54"/>
  <c r="B40" i="54"/>
  <c r="B39" i="54"/>
  <c r="B33" i="54"/>
  <c r="B45" i="54"/>
  <c r="B17" i="54"/>
  <c r="B55" i="54"/>
  <c r="B41" i="54"/>
  <c r="B37" i="54"/>
  <c r="B10" i="54"/>
  <c r="B20" i="54"/>
  <c r="B22" i="54"/>
  <c r="B29" i="54"/>
  <c r="B51" i="54"/>
  <c r="B21" i="54"/>
  <c r="B14" i="54"/>
  <c r="B26" i="54"/>
  <c r="B16" i="54"/>
  <c r="B13" i="54"/>
  <c r="B11" i="54"/>
  <c r="M61" i="54"/>
  <c r="O61" i="54" s="1"/>
  <c r="S61" i="54" s="1"/>
  <c r="M43" i="54"/>
  <c r="M18" i="54"/>
  <c r="M41" i="54"/>
  <c r="M16" i="54"/>
  <c r="M69" i="54"/>
  <c r="M14" i="54"/>
  <c r="O14" i="54" s="1"/>
  <c r="M48" i="54"/>
  <c r="M35" i="54"/>
  <c r="O35" i="55" s="1"/>
  <c r="S35" i="55" s="1"/>
  <c r="M23" i="54"/>
  <c r="M7" i="54"/>
  <c r="M50" i="54"/>
  <c r="M37" i="54"/>
  <c r="O37" i="54" s="1"/>
  <c r="M25" i="54"/>
  <c r="M9" i="54"/>
  <c r="M53" i="54"/>
  <c r="M12" i="54"/>
  <c r="M38" i="54"/>
  <c r="M10" i="54"/>
  <c r="M36" i="54"/>
  <c r="M8" i="54"/>
  <c r="M34" i="54"/>
  <c r="M20" i="54"/>
  <c r="M60" i="54"/>
  <c r="O60" i="55" s="1"/>
  <c r="S60" i="55" s="1"/>
  <c r="M44" i="54"/>
  <c r="M31" i="54"/>
  <c r="M19" i="54"/>
  <c r="M68" i="54"/>
  <c r="M46" i="54"/>
  <c r="O46" i="54" s="1"/>
  <c r="M33" i="54"/>
  <c r="M21" i="54"/>
  <c r="O21" i="54"/>
  <c r="M64" i="54"/>
  <c r="M51" i="54"/>
  <c r="O51" i="54" s="1"/>
  <c r="S51" i="54" s="1"/>
  <c r="M26" i="54"/>
  <c r="O26" i="54" s="1"/>
  <c r="M49" i="54"/>
  <c r="M24" i="54"/>
  <c r="M47" i="54"/>
  <c r="O47" i="55" s="1"/>
  <c r="M22" i="54"/>
  <c r="M52" i="54"/>
  <c r="O52" i="55" s="1"/>
  <c r="S52" i="55" s="1"/>
  <c r="M57" i="54"/>
  <c r="M27" i="54"/>
  <c r="M11" i="54"/>
  <c r="M54" i="54"/>
  <c r="O54" i="55" s="1"/>
  <c r="S54" i="55" s="1"/>
  <c r="M65" i="54"/>
  <c r="M58" i="54"/>
  <c r="M13" i="54"/>
  <c r="B54" i="61"/>
  <c r="B32" i="61"/>
  <c r="B45" i="61"/>
  <c r="B39" i="61"/>
  <c r="B56" i="54"/>
  <c r="M56" i="52"/>
  <c r="B19" i="54"/>
  <c r="B18" i="54"/>
  <c r="M32" i="52"/>
  <c r="O32" i="52" s="1"/>
  <c r="M61" i="52"/>
  <c r="B44" i="54"/>
  <c r="B38" i="54"/>
  <c r="B42" i="54"/>
  <c r="B8" i="54"/>
  <c r="B53" i="54"/>
  <c r="M6" i="52"/>
  <c r="M22" i="52"/>
  <c r="M31" i="52"/>
  <c r="M63" i="52"/>
  <c r="M29" i="54"/>
  <c r="M62" i="54"/>
  <c r="M45" i="54"/>
  <c r="M59" i="54"/>
  <c r="M32" i="54"/>
  <c r="Q10" i="50"/>
  <c r="N9" i="50"/>
  <c r="Q9" i="50"/>
  <c r="B11" i="55"/>
  <c r="B42" i="55"/>
  <c r="M47" i="55"/>
  <c r="M69" i="55"/>
  <c r="M14" i="55"/>
  <c r="M59" i="55"/>
  <c r="M60" i="55"/>
  <c r="M30" i="55"/>
  <c r="B24" i="54"/>
  <c r="M35" i="52"/>
  <c r="M52" i="52"/>
  <c r="B44" i="55"/>
  <c r="M63" i="54"/>
  <c r="O63" i="55" s="1"/>
  <c r="S63" i="55" s="1"/>
  <c r="M56" i="54"/>
  <c r="M55" i="54"/>
  <c r="M67" i="54"/>
  <c r="Q6" i="50"/>
  <c r="Q5" i="50"/>
  <c r="B54" i="54"/>
  <c r="M49" i="52"/>
  <c r="M17" i="54"/>
  <c r="O17" i="54"/>
  <c r="M15" i="54"/>
  <c r="M46" i="52"/>
  <c r="O46" i="53" s="1"/>
  <c r="M39" i="54"/>
  <c r="O39" i="54" s="1"/>
  <c r="O54" i="60"/>
  <c r="N6" i="50"/>
  <c r="O12" i="52"/>
  <c r="B42" i="56"/>
  <c r="B46" i="56"/>
  <c r="B12" i="56"/>
  <c r="C12" i="56"/>
  <c r="D12" i="56"/>
  <c r="B37" i="56"/>
  <c r="B53" i="56"/>
  <c r="B33" i="56"/>
  <c r="B17" i="56"/>
  <c r="C17" i="56"/>
  <c r="D17" i="56"/>
  <c r="B23" i="56"/>
  <c r="B41" i="56"/>
  <c r="B26" i="56"/>
  <c r="B39" i="56"/>
  <c r="C39" i="56"/>
  <c r="D39" i="56"/>
  <c r="E39" i="56"/>
  <c r="F39" i="56"/>
  <c r="J39" i="56"/>
  <c r="B44" i="56"/>
  <c r="B40" i="52"/>
  <c r="B47" i="52"/>
  <c r="B23" i="52"/>
  <c r="B26" i="52"/>
  <c r="B12" i="52"/>
  <c r="B34" i="52"/>
  <c r="B16" i="52"/>
  <c r="B11" i="52"/>
  <c r="B49" i="52"/>
  <c r="B30" i="52"/>
  <c r="B33" i="52"/>
  <c r="B17" i="52"/>
  <c r="O65" i="60"/>
  <c r="B13" i="56"/>
  <c r="B25" i="56"/>
  <c r="B51" i="56"/>
  <c r="B54" i="56"/>
  <c r="C54" i="56"/>
  <c r="B45" i="56"/>
  <c r="B52" i="56"/>
  <c r="B47" i="56"/>
  <c r="B24" i="56"/>
  <c r="B48" i="56"/>
  <c r="B35" i="56"/>
  <c r="B50" i="56"/>
  <c r="B21" i="52"/>
  <c r="B37" i="52"/>
  <c r="B32" i="52"/>
  <c r="B19" i="52"/>
  <c r="B31" i="52"/>
  <c r="B50" i="52"/>
  <c r="B56" i="52"/>
  <c r="B16" i="56"/>
  <c r="B27" i="52"/>
  <c r="B54" i="52"/>
  <c r="B24" i="52"/>
  <c r="B52" i="52"/>
  <c r="B25" i="52"/>
  <c r="O37" i="60"/>
  <c r="B55" i="52"/>
  <c r="O29" i="52"/>
  <c r="B34" i="56"/>
  <c r="B55" i="56"/>
  <c r="B40" i="56"/>
  <c r="B15" i="56"/>
  <c r="B28" i="56"/>
  <c r="B19" i="56"/>
  <c r="B11" i="56"/>
  <c r="B38" i="56"/>
  <c r="B27" i="56"/>
  <c r="B14" i="56"/>
  <c r="C14" i="56"/>
  <c r="B56" i="56"/>
  <c r="B30" i="56"/>
  <c r="B9" i="52"/>
  <c r="B44" i="52"/>
  <c r="B53" i="52"/>
  <c r="B6" i="52"/>
  <c r="B13" i="52"/>
  <c r="B29" i="52"/>
  <c r="B14" i="52"/>
  <c r="B10" i="52"/>
  <c r="B43" i="52"/>
  <c r="B36" i="52"/>
  <c r="B8" i="52"/>
  <c r="B35" i="52"/>
  <c r="B18" i="52"/>
  <c r="B46" i="52"/>
  <c r="M23" i="55"/>
  <c r="O23" i="55" s="1"/>
  <c r="M12" i="55"/>
  <c r="O12" i="55" s="1"/>
  <c r="M13" i="55"/>
  <c r="M38" i="55"/>
  <c r="O38" i="55" s="1"/>
  <c r="S38" i="55" s="1"/>
  <c r="M66" i="55"/>
  <c r="M18" i="55"/>
  <c r="O18" i="55" s="1"/>
  <c r="B49" i="61"/>
  <c r="M51" i="55"/>
  <c r="O51" i="55"/>
  <c r="M9" i="55"/>
  <c r="O9" i="55" s="1"/>
  <c r="M43" i="55"/>
  <c r="M56" i="55"/>
  <c r="O56" i="55"/>
  <c r="B48" i="61"/>
  <c r="N4" i="50"/>
  <c r="M31" i="1"/>
  <c r="O31" i="52"/>
  <c r="M51" i="1"/>
  <c r="B12" i="55"/>
  <c r="B29" i="55"/>
  <c r="B43" i="55"/>
  <c r="M36" i="55"/>
  <c r="M44" i="55"/>
  <c r="O44" i="55" s="1"/>
  <c r="S44" i="55" s="1"/>
  <c r="B41" i="55"/>
  <c r="M68" i="55"/>
  <c r="M45" i="55"/>
  <c r="M35" i="55"/>
  <c r="M22" i="55"/>
  <c r="O22" i="55" s="1"/>
  <c r="M62" i="55"/>
  <c r="O62" i="55"/>
  <c r="S62" i="55" s="1"/>
  <c r="M40" i="55"/>
  <c r="O40" i="55" s="1"/>
  <c r="M52" i="55"/>
  <c r="M37" i="55"/>
  <c r="O37" i="55" s="1"/>
  <c r="M34" i="55"/>
  <c r="M55" i="55"/>
  <c r="M26" i="55"/>
  <c r="M25" i="55"/>
  <c r="M57" i="55"/>
  <c r="M33" i="55"/>
  <c r="M41" i="55"/>
  <c r="M31" i="55"/>
  <c r="O31" i="55" s="1"/>
  <c r="M10" i="55"/>
  <c r="M58" i="55"/>
  <c r="M28" i="55"/>
  <c r="M54" i="55"/>
  <c r="M48" i="55"/>
  <c r="M20" i="55"/>
  <c r="O20" i="55" s="1"/>
  <c r="M53" i="55"/>
  <c r="M46" i="55"/>
  <c r="O46" i="55" s="1"/>
  <c r="S46" i="55" s="1"/>
  <c r="M8" i="55"/>
  <c r="M21" i="55"/>
  <c r="M49" i="55"/>
  <c r="M16" i="55"/>
  <c r="M11" i="55"/>
  <c r="M61" i="55"/>
  <c r="M32" i="55"/>
  <c r="O32" i="55" s="1"/>
  <c r="M27" i="55"/>
  <c r="O27" i="55" s="1"/>
  <c r="M29" i="55"/>
  <c r="M17" i="55"/>
  <c r="M19" i="55"/>
  <c r="B24" i="61"/>
  <c r="B16" i="61"/>
  <c r="B26" i="61"/>
  <c r="B38" i="61"/>
  <c r="B51" i="61"/>
  <c r="B21" i="61"/>
  <c r="B35" i="61"/>
  <c r="B52" i="61"/>
  <c r="B53" i="61"/>
  <c r="B47" i="61"/>
  <c r="B28" i="61"/>
  <c r="B50" i="61"/>
  <c r="B46" i="61"/>
  <c r="B43" i="61"/>
  <c r="B15" i="61"/>
  <c r="B56" i="61"/>
  <c r="B41" i="61"/>
  <c r="B31" i="61"/>
  <c r="B37" i="61"/>
  <c r="B19" i="61"/>
  <c r="B23" i="61"/>
  <c r="B17" i="61"/>
  <c r="B20" i="61"/>
  <c r="B25" i="61"/>
  <c r="B30" i="61"/>
  <c r="B33" i="61"/>
  <c r="B55" i="61"/>
  <c r="B44" i="61"/>
  <c r="B27" i="61"/>
  <c r="B36" i="61"/>
  <c r="B18" i="61"/>
  <c r="B34" i="61"/>
  <c r="B40" i="61"/>
  <c r="M15" i="55"/>
  <c r="O15" i="55" s="1"/>
  <c r="S15" i="55" s="1"/>
  <c r="B35" i="55"/>
  <c r="M50" i="55"/>
  <c r="O50" i="55" s="1"/>
  <c r="O51" i="60"/>
  <c r="K6" i="50"/>
  <c r="M7" i="1"/>
  <c r="M67" i="1"/>
  <c r="O67" i="52" s="1"/>
  <c r="S67" i="52" s="1"/>
  <c r="M27" i="1"/>
  <c r="M47" i="1"/>
  <c r="O47" i="52" s="1"/>
  <c r="M45" i="1"/>
  <c r="M30" i="1"/>
  <c r="O30" i="52" s="1"/>
  <c r="S30" i="52" s="1"/>
  <c r="M19" i="1"/>
  <c r="M52" i="1"/>
  <c r="O52" i="52"/>
  <c r="M68" i="1"/>
  <c r="O68" i="52"/>
  <c r="M13" i="1"/>
  <c r="O13" i="52"/>
  <c r="M10" i="1"/>
  <c r="M25" i="1"/>
  <c r="O25" i="52" s="1"/>
  <c r="M64" i="1"/>
  <c r="M16" i="1"/>
  <c r="M38" i="1"/>
  <c r="M37" i="1"/>
  <c r="O37" i="52" s="1"/>
  <c r="S37" i="52" s="1"/>
  <c r="M60" i="1"/>
  <c r="M14" i="1"/>
  <c r="M11" i="1"/>
  <c r="O11" i="52" s="1"/>
  <c r="S11" i="52" s="1"/>
  <c r="M15" i="1"/>
  <c r="O15" i="52" s="1"/>
  <c r="S15" i="52" s="1"/>
  <c r="M59" i="1"/>
  <c r="O59" i="52" s="1"/>
  <c r="S59" i="52" s="1"/>
  <c r="M23" i="1"/>
  <c r="O23" i="52" s="1"/>
  <c r="S23" i="52" s="1"/>
  <c r="M46" i="1"/>
  <c r="M8" i="1"/>
  <c r="O8" i="52" s="1"/>
  <c r="M20" i="1"/>
  <c r="O20" i="52" s="1"/>
  <c r="S20" i="52" s="1"/>
  <c r="M35" i="1"/>
  <c r="M28" i="1"/>
  <c r="O28" i="52" s="1"/>
  <c r="M43" i="1"/>
  <c r="O43" i="52" s="1"/>
  <c r="M36" i="1"/>
  <c r="O36" i="52" s="1"/>
  <c r="S36" i="52" s="1"/>
  <c r="M62" i="1"/>
  <c r="O62" i="52" s="1"/>
  <c r="S62" i="52" s="1"/>
  <c r="B32" i="55"/>
  <c r="B9" i="55"/>
  <c r="B51" i="55"/>
  <c r="B38" i="55"/>
  <c r="B19" i="55"/>
  <c r="B50" i="55"/>
  <c r="B37" i="55"/>
  <c r="B18" i="55"/>
  <c r="B48" i="55"/>
  <c r="B16" i="55"/>
  <c r="B31" i="55"/>
  <c r="B13" i="55"/>
  <c r="B53" i="55"/>
  <c r="B47" i="55"/>
  <c r="B34" i="55"/>
  <c r="B15" i="55"/>
  <c r="B46" i="55"/>
  <c r="B33" i="55"/>
  <c r="B14" i="55"/>
  <c r="B40" i="55"/>
  <c r="B52" i="55"/>
  <c r="B23" i="55"/>
  <c r="B36" i="55"/>
  <c r="B17" i="55"/>
  <c r="B45" i="55"/>
  <c r="B28" i="55"/>
  <c r="B24" i="55"/>
  <c r="B49" i="55"/>
  <c r="B55" i="55"/>
  <c r="B22" i="55"/>
  <c r="B26" i="55"/>
  <c r="B54" i="55"/>
  <c r="B21" i="55"/>
  <c r="B25" i="55"/>
  <c r="B56" i="55"/>
  <c r="B27" i="55"/>
  <c r="B39" i="55"/>
  <c r="M64" i="55"/>
  <c r="M67" i="55"/>
  <c r="O9" i="54"/>
  <c r="M65" i="55"/>
  <c r="B22" i="61"/>
  <c r="B42" i="61"/>
  <c r="B29" i="61"/>
  <c r="O36" i="60"/>
  <c r="M24" i="55"/>
  <c r="B10" i="55"/>
  <c r="B30" i="55"/>
  <c r="M39" i="55"/>
  <c r="O39" i="55" s="1"/>
  <c r="B20" i="55"/>
  <c r="M42" i="55"/>
  <c r="O42" i="55" s="1"/>
  <c r="N5" i="50"/>
  <c r="O47" i="60"/>
  <c r="O16" i="60"/>
  <c r="O67" i="60"/>
  <c r="O30" i="60"/>
  <c r="O60" i="60"/>
  <c r="I8" i="4"/>
  <c r="G2" i="57"/>
  <c r="I5" i="4"/>
  <c r="G2" i="54"/>
  <c r="I4" i="4"/>
  <c r="G2" i="53"/>
  <c r="I2" i="4"/>
  <c r="G2" i="1"/>
  <c r="I11" i="4"/>
  <c r="G2" i="60"/>
  <c r="I7" i="4"/>
  <c r="G2" i="56"/>
  <c r="C16" i="56"/>
  <c r="D16" i="56"/>
  <c r="I3" i="4"/>
  <c r="G2" i="52"/>
  <c r="I12" i="4"/>
  <c r="G2" i="61"/>
  <c r="I10" i="4"/>
  <c r="G2" i="59"/>
  <c r="I9" i="4"/>
  <c r="G2" i="58"/>
  <c r="I6" i="4"/>
  <c r="G2" i="55"/>
  <c r="K8" i="50"/>
  <c r="K9" i="50"/>
  <c r="K7" i="50"/>
  <c r="K10" i="50"/>
  <c r="C32" i="56"/>
  <c r="D32" i="56"/>
  <c r="C34" i="56"/>
  <c r="D34" i="56"/>
  <c r="C19" i="56"/>
  <c r="D19" i="56"/>
  <c r="C42" i="56"/>
  <c r="D42" i="56"/>
  <c r="C49" i="56"/>
  <c r="D49" i="56"/>
  <c r="C43" i="56"/>
  <c r="D43" i="56"/>
  <c r="C47" i="56"/>
  <c r="D47" i="56"/>
  <c r="C48" i="56"/>
  <c r="D48" i="56"/>
  <c r="C21" i="56"/>
  <c r="D21" i="56"/>
  <c r="C37" i="56"/>
  <c r="D37" i="56"/>
  <c r="E37" i="56"/>
  <c r="F37" i="56"/>
  <c r="C11" i="56"/>
  <c r="D11" i="56"/>
  <c r="C36" i="56"/>
  <c r="D36" i="56"/>
  <c r="M34" i="61"/>
  <c r="M19" i="61"/>
  <c r="O19" i="61"/>
  <c r="M36" i="61"/>
  <c r="O36" i="61"/>
  <c r="M31" i="61"/>
  <c r="O31" i="61"/>
  <c r="M55" i="61"/>
  <c r="M59" i="61"/>
  <c r="O59" i="61" s="1"/>
  <c r="S59" i="61" s="1"/>
  <c r="M51" i="61"/>
  <c r="O51" i="61" s="1"/>
  <c r="M52" i="61"/>
  <c r="M56" i="61"/>
  <c r="O56" i="61"/>
  <c r="M44" i="61"/>
  <c r="O44" i="61"/>
  <c r="M20" i="61"/>
  <c r="O20" i="61"/>
  <c r="M49" i="61"/>
  <c r="M54" i="61"/>
  <c r="O54" i="61" s="1"/>
  <c r="M17" i="61"/>
  <c r="O17" i="61" s="1"/>
  <c r="S17" i="61" s="1"/>
  <c r="M29" i="61"/>
  <c r="M21" i="61"/>
  <c r="M16" i="61"/>
  <c r="O16" i="61" s="1"/>
  <c r="M41" i="61"/>
  <c r="M23" i="61"/>
  <c r="M26" i="61"/>
  <c r="O26" i="61" s="1"/>
  <c r="M35" i="61"/>
  <c r="O35" i="61" s="1"/>
  <c r="M48" i="61"/>
  <c r="O48" i="61" s="1"/>
  <c r="M58" i="61"/>
  <c r="M42" i="61"/>
  <c r="M18" i="61"/>
  <c r="O18" i="61" s="1"/>
  <c r="M62" i="61"/>
  <c r="M32" i="61"/>
  <c r="O32" i="61" s="1"/>
  <c r="M53" i="61"/>
  <c r="O53" i="61" s="1"/>
  <c r="S53" i="61" s="1"/>
  <c r="M66" i="61"/>
  <c r="O66" i="61" s="1"/>
  <c r="S66" i="61" s="1"/>
  <c r="M14" i="61"/>
  <c r="M15" i="61"/>
  <c r="O15" i="61" s="1"/>
  <c r="M67" i="61"/>
  <c r="O67" i="61" s="1"/>
  <c r="S67" i="61" s="1"/>
  <c r="M22" i="61"/>
  <c r="O22" i="61" s="1"/>
  <c r="M65" i="61"/>
  <c r="O65" i="61" s="1"/>
  <c r="S65" i="61" s="1"/>
  <c r="M47" i="61"/>
  <c r="O47" i="61" s="1"/>
  <c r="S47" i="61" s="1"/>
  <c r="M61" i="61"/>
  <c r="O61" i="61" s="1"/>
  <c r="S61" i="61" s="1"/>
  <c r="M43" i="61"/>
  <c r="O43" i="61" s="1"/>
  <c r="M30" i="61"/>
  <c r="O30" i="61" s="1"/>
  <c r="M28" i="61"/>
  <c r="O28" i="61" s="1"/>
  <c r="M60" i="61"/>
  <c r="O60" i="61" s="1"/>
  <c r="S60" i="61" s="1"/>
  <c r="M33" i="61"/>
  <c r="M45" i="61"/>
  <c r="O45" i="61" s="1"/>
  <c r="M37" i="61"/>
  <c r="O37" i="61" s="1"/>
  <c r="M39" i="61"/>
  <c r="O39" i="61" s="1"/>
  <c r="M68" i="61"/>
  <c r="O68" i="61" s="1"/>
  <c r="S68" i="61" s="1"/>
  <c r="M63" i="61"/>
  <c r="O63" i="61" s="1"/>
  <c r="S63" i="61" s="1"/>
  <c r="M46" i="61"/>
  <c r="O46" i="61" s="1"/>
  <c r="S46" i="61" s="1"/>
  <c r="M25" i="61"/>
  <c r="O25" i="61"/>
  <c r="M38" i="61"/>
  <c r="O38" i="61"/>
  <c r="M69" i="61"/>
  <c r="O69" i="61"/>
  <c r="M50" i="61"/>
  <c r="O50" i="61"/>
  <c r="M57" i="61"/>
  <c r="O57" i="61"/>
  <c r="M64" i="61"/>
  <c r="M24" i="61"/>
  <c r="O24" i="61" s="1"/>
  <c r="S24" i="61" s="1"/>
  <c r="M27" i="61"/>
  <c r="O27" i="61" s="1"/>
  <c r="S27" i="61" s="1"/>
  <c r="H39" i="52"/>
  <c r="H51" i="52"/>
  <c r="O36" i="54"/>
  <c r="B27" i="57"/>
  <c r="B11" i="57"/>
  <c r="B38" i="57"/>
  <c r="M62" i="56"/>
  <c r="B44" i="58"/>
  <c r="O64" i="60"/>
  <c r="B26" i="57"/>
  <c r="B40" i="57"/>
  <c r="B37" i="57"/>
  <c r="B45" i="57"/>
  <c r="B23" i="57"/>
  <c r="B36" i="57"/>
  <c r="B43" i="57"/>
  <c r="B51" i="57"/>
  <c r="B52" i="57"/>
  <c r="B53" i="57"/>
  <c r="B12" i="57"/>
  <c r="B49" i="57"/>
  <c r="B47" i="57"/>
  <c r="B20" i="57"/>
  <c r="B33" i="57"/>
  <c r="B14" i="57"/>
  <c r="B19" i="57"/>
  <c r="B32" i="57"/>
  <c r="B54" i="57"/>
  <c r="B35" i="57"/>
  <c r="B18" i="57"/>
  <c r="B46" i="57"/>
  <c r="B15" i="57"/>
  <c r="B30" i="57"/>
  <c r="B21" i="57"/>
  <c r="B48" i="57"/>
  <c r="B50" i="57"/>
  <c r="B44" i="57"/>
  <c r="B25" i="57"/>
  <c r="B56" i="57"/>
  <c r="B42" i="57"/>
  <c r="B24" i="57"/>
  <c r="B22" i="57"/>
  <c r="B41" i="57"/>
  <c r="B31" i="57"/>
  <c r="M56" i="57"/>
  <c r="M69" i="57"/>
  <c r="M54" i="57"/>
  <c r="C23" i="56"/>
  <c r="D23" i="56"/>
  <c r="C41" i="56"/>
  <c r="D41" i="56"/>
  <c r="C24" i="56"/>
  <c r="C29" i="56"/>
  <c r="D29" i="56"/>
  <c r="C31" i="56"/>
  <c r="C30" i="56"/>
  <c r="D30" i="56"/>
  <c r="E30" i="56"/>
  <c r="F30" i="56"/>
  <c r="G30" i="56"/>
  <c r="H35" i="61"/>
  <c r="O45" i="55"/>
  <c r="O36" i="55"/>
  <c r="C56" i="56"/>
  <c r="D56" i="56"/>
  <c r="C13" i="56"/>
  <c r="D13" i="56"/>
  <c r="O63" i="54"/>
  <c r="S63" i="54" s="1"/>
  <c r="O35" i="52"/>
  <c r="L43" i="56"/>
  <c r="C27" i="56"/>
  <c r="C18" i="56"/>
  <c r="D18" i="56"/>
  <c r="C10" i="56"/>
  <c r="C22" i="56"/>
  <c r="D22" i="56"/>
  <c r="E22" i="56"/>
  <c r="O65" i="55"/>
  <c r="S65" i="55" s="1"/>
  <c r="O38" i="52"/>
  <c r="O48" i="52"/>
  <c r="O56" i="52"/>
  <c r="O14" i="55"/>
  <c r="O24" i="55"/>
  <c r="O41" i="55"/>
  <c r="L52" i="56"/>
  <c r="C53" i="56"/>
  <c r="D53" i="56"/>
  <c r="C40" i="56"/>
  <c r="C24" i="61"/>
  <c r="D24" i="61"/>
  <c r="C51" i="56"/>
  <c r="D51" i="56"/>
  <c r="E51" i="56"/>
  <c r="F51" i="56"/>
  <c r="O10" i="55"/>
  <c r="O66" i="55"/>
  <c r="S66" i="55" s="1"/>
  <c r="O33" i="55"/>
  <c r="O26" i="55"/>
  <c r="C29" i="57"/>
  <c r="D29" i="57"/>
  <c r="E29" i="57"/>
  <c r="F29" i="57"/>
  <c r="C24" i="57"/>
  <c r="D24" i="57"/>
  <c r="C14" i="57"/>
  <c r="D14" i="57"/>
  <c r="G37" i="56"/>
  <c r="E34" i="56"/>
  <c r="F34" i="56"/>
  <c r="H21" i="1"/>
  <c r="H33" i="1"/>
  <c r="C33" i="1"/>
  <c r="D33" i="1"/>
  <c r="C16" i="1"/>
  <c r="D16" i="1"/>
  <c r="H55" i="1"/>
  <c r="H18" i="1"/>
  <c r="C8" i="1"/>
  <c r="D8" i="1"/>
  <c r="H22" i="1"/>
  <c r="C9" i="1"/>
  <c r="D9" i="1"/>
  <c r="H23" i="1"/>
  <c r="C50" i="1"/>
  <c r="D50" i="1"/>
  <c r="C12" i="1"/>
  <c r="D12" i="1"/>
  <c r="C43" i="1"/>
  <c r="D43" i="1"/>
  <c r="C25" i="1"/>
  <c r="D25" i="1"/>
  <c r="C26" i="1"/>
  <c r="D26" i="1"/>
  <c r="C44" i="1"/>
  <c r="D44" i="1"/>
  <c r="C54" i="1"/>
  <c r="D54" i="1"/>
  <c r="H39" i="1"/>
  <c r="H15" i="1"/>
  <c r="C38" i="1"/>
  <c r="D38" i="1"/>
  <c r="H51" i="1"/>
  <c r="C22" i="1"/>
  <c r="D22" i="1"/>
  <c r="C30" i="1"/>
  <c r="C40" i="1"/>
  <c r="D40" i="1"/>
  <c r="H43" i="1"/>
  <c r="H26" i="1"/>
  <c r="H17" i="1"/>
  <c r="H54" i="1"/>
  <c r="H27" i="1"/>
  <c r="H46" i="1"/>
  <c r="C20" i="1"/>
  <c r="D20" i="1"/>
  <c r="C46" i="1"/>
  <c r="C5" i="1"/>
  <c r="H5" i="1"/>
  <c r="H5" i="52"/>
  <c r="C29" i="1"/>
  <c r="D29" i="1"/>
  <c r="C35" i="1"/>
  <c r="H29" i="1"/>
  <c r="H34" i="1"/>
  <c r="H42" i="1"/>
  <c r="C15" i="1"/>
  <c r="D15" i="1"/>
  <c r="H8" i="1"/>
  <c r="H9" i="1"/>
  <c r="H45" i="1"/>
  <c r="H31" i="1"/>
  <c r="C13" i="1"/>
  <c r="D13" i="1"/>
  <c r="C34" i="1"/>
  <c r="D34" i="1"/>
  <c r="C37" i="1"/>
  <c r="D37" i="1"/>
  <c r="H20" i="1"/>
  <c r="C47" i="1"/>
  <c r="D47" i="1"/>
  <c r="C18" i="1"/>
  <c r="H37" i="1"/>
  <c r="C36" i="1"/>
  <c r="D36" i="1"/>
  <c r="C21" i="1"/>
  <c r="D21" i="1"/>
  <c r="C42" i="1"/>
  <c r="D42" i="1"/>
  <c r="H53" i="1"/>
  <c r="H38" i="1"/>
  <c r="H24" i="1"/>
  <c r="H30" i="1"/>
  <c r="C45" i="1"/>
  <c r="D45" i="1"/>
  <c r="C23" i="1"/>
  <c r="D23" i="1"/>
  <c r="H12" i="1"/>
  <c r="C11" i="1"/>
  <c r="D11" i="1"/>
  <c r="C17" i="1"/>
  <c r="H52" i="1"/>
  <c r="H35" i="1"/>
  <c r="C7" i="1"/>
  <c r="D7" i="1"/>
  <c r="C10" i="1"/>
  <c r="D10" i="1"/>
  <c r="H10" i="1"/>
  <c r="H47" i="1"/>
  <c r="C27" i="1"/>
  <c r="D27" i="1"/>
  <c r="H41" i="1"/>
  <c r="H28" i="1"/>
  <c r="C6" i="1"/>
  <c r="D6" i="1"/>
  <c r="H6" i="1"/>
  <c r="H40" i="1"/>
  <c r="C31" i="1"/>
  <c r="D31" i="1"/>
  <c r="H13" i="1"/>
  <c r="C55" i="1"/>
  <c r="D55" i="1"/>
  <c r="C19" i="1"/>
  <c r="D19" i="1"/>
  <c r="C14" i="1"/>
  <c r="D14" i="1"/>
  <c r="C39" i="1"/>
  <c r="D39" i="1"/>
  <c r="C51" i="1"/>
  <c r="D51" i="1"/>
  <c r="H50" i="1"/>
  <c r="C52" i="1"/>
  <c r="C28" i="1"/>
  <c r="D28" i="1"/>
  <c r="H56" i="1"/>
  <c r="C49" i="1"/>
  <c r="D49" i="1"/>
  <c r="C53" i="1"/>
  <c r="D53" i="1"/>
  <c r="H25" i="1"/>
  <c r="H7" i="1"/>
  <c r="C32" i="1"/>
  <c r="D32" i="1"/>
  <c r="H36" i="1"/>
  <c r="H19" i="1"/>
  <c r="C56" i="1"/>
  <c r="D56" i="1"/>
  <c r="H49" i="1"/>
  <c r="C24" i="1"/>
  <c r="D24" i="1"/>
  <c r="H11" i="1"/>
  <c r="H48" i="1"/>
  <c r="H44" i="1"/>
  <c r="H32" i="1"/>
  <c r="C41" i="1"/>
  <c r="H14" i="1"/>
  <c r="H16" i="1"/>
  <c r="C48" i="1"/>
  <c r="D48" i="1"/>
  <c r="C50" i="57"/>
  <c r="D50" i="57"/>
  <c r="C33" i="57"/>
  <c r="D33" i="57"/>
  <c r="C56" i="57"/>
  <c r="D56" i="57"/>
  <c r="C46" i="57"/>
  <c r="D46" i="57"/>
  <c r="C20" i="57"/>
  <c r="D20" i="57"/>
  <c r="C53" i="57"/>
  <c r="D53" i="57"/>
  <c r="H36" i="57"/>
  <c r="C36" i="57"/>
  <c r="D36" i="57"/>
  <c r="C11" i="57"/>
  <c r="H11" i="57"/>
  <c r="H11" i="58"/>
  <c r="H22" i="57"/>
  <c r="C22" i="57"/>
  <c r="D22" i="57"/>
  <c r="C25" i="57"/>
  <c r="D25" i="57"/>
  <c r="C21" i="57"/>
  <c r="D21" i="57"/>
  <c r="C18" i="57"/>
  <c r="D18" i="57"/>
  <c r="C19" i="57"/>
  <c r="D19" i="57"/>
  <c r="C47" i="57"/>
  <c r="D47" i="57"/>
  <c r="C52" i="57"/>
  <c r="D52" i="57"/>
  <c r="C23" i="57"/>
  <c r="D23" i="57"/>
  <c r="C26" i="57"/>
  <c r="D26" i="57"/>
  <c r="C27" i="57"/>
  <c r="D27" i="57"/>
  <c r="H27" i="57"/>
  <c r="L23" i="56"/>
  <c r="P23" i="56"/>
  <c r="L21" i="56"/>
  <c r="C44" i="56"/>
  <c r="D44" i="56"/>
  <c r="C45" i="56"/>
  <c r="D45" i="56"/>
  <c r="C33" i="56"/>
  <c r="D33" i="56"/>
  <c r="C26" i="56"/>
  <c r="D26" i="56"/>
  <c r="C35" i="56"/>
  <c r="D35" i="56"/>
  <c r="C52" i="56"/>
  <c r="D52" i="56"/>
  <c r="C38" i="56"/>
  <c r="D38" i="56"/>
  <c r="C46" i="56"/>
  <c r="D46" i="56"/>
  <c r="C20" i="56"/>
  <c r="D20" i="56"/>
  <c r="C25" i="56"/>
  <c r="D25" i="56"/>
  <c r="L43" i="1"/>
  <c r="L34" i="1"/>
  <c r="H31" i="59"/>
  <c r="H44" i="59"/>
  <c r="H32" i="59"/>
  <c r="H37" i="59"/>
  <c r="H39" i="59"/>
  <c r="H52" i="59"/>
  <c r="H36" i="59"/>
  <c r="H40" i="59"/>
  <c r="H38" i="59"/>
  <c r="L36" i="59"/>
  <c r="H45" i="59"/>
  <c r="H35" i="59"/>
  <c r="H14" i="59"/>
  <c r="H26" i="59"/>
  <c r="H21" i="59"/>
  <c r="C21" i="59"/>
  <c r="D21" i="59"/>
  <c r="C19" i="59"/>
  <c r="D19" i="59"/>
  <c r="C18" i="59"/>
  <c r="D18" i="59"/>
  <c r="C50" i="59"/>
  <c r="D50" i="59"/>
  <c r="C40" i="59"/>
  <c r="D40" i="59"/>
  <c r="C52" i="59"/>
  <c r="D52" i="59"/>
  <c r="C34" i="59"/>
  <c r="D34" i="59"/>
  <c r="C33" i="59"/>
  <c r="D33" i="59"/>
  <c r="H30" i="59"/>
  <c r="H33" i="59"/>
  <c r="H54" i="59"/>
  <c r="L29" i="59"/>
  <c r="H34" i="59"/>
  <c r="H23" i="59"/>
  <c r="H41" i="59"/>
  <c r="L37" i="59"/>
  <c r="H20" i="59"/>
  <c r="C20" i="59"/>
  <c r="D20" i="59"/>
  <c r="E20" i="59"/>
  <c r="L46" i="59"/>
  <c r="C54" i="59"/>
  <c r="D54" i="59"/>
  <c r="C56" i="59"/>
  <c r="D56" i="59"/>
  <c r="C37" i="59"/>
  <c r="D37" i="59"/>
  <c r="C39" i="59"/>
  <c r="D39" i="59"/>
  <c r="C17" i="59"/>
  <c r="D17" i="59"/>
  <c r="C32" i="59"/>
  <c r="D32" i="59"/>
  <c r="H22" i="59"/>
  <c r="H56" i="59"/>
  <c r="L53" i="59"/>
  <c r="H19" i="59"/>
  <c r="H53" i="59"/>
  <c r="L35" i="59"/>
  <c r="H55" i="59"/>
  <c r="H25" i="59"/>
  <c r="C38" i="59"/>
  <c r="D38" i="59"/>
  <c r="C28" i="59"/>
  <c r="D28" i="59"/>
  <c r="C49" i="59"/>
  <c r="D49" i="59"/>
  <c r="E49" i="59"/>
  <c r="C35" i="59"/>
  <c r="D35" i="59"/>
  <c r="C43" i="59"/>
  <c r="D43" i="59"/>
  <c r="H17" i="59"/>
  <c r="H18" i="59"/>
  <c r="H43" i="59"/>
  <c r="H28" i="59"/>
  <c r="H27" i="59"/>
  <c r="H50" i="59"/>
  <c r="H51" i="59"/>
  <c r="H29" i="59"/>
  <c r="H49" i="59"/>
  <c r="C53" i="59"/>
  <c r="D53" i="59"/>
  <c r="C16" i="59"/>
  <c r="D16" i="59"/>
  <c r="C25" i="59"/>
  <c r="D25" i="59"/>
  <c r="E25" i="59"/>
  <c r="F25" i="59"/>
  <c r="C45" i="59"/>
  <c r="D45" i="59"/>
  <c r="C47" i="59"/>
  <c r="D47" i="59"/>
  <c r="C55" i="59"/>
  <c r="D55" i="59"/>
  <c r="H42" i="59"/>
  <c r="C36" i="59"/>
  <c r="D36" i="59"/>
  <c r="C15" i="59"/>
  <c r="D15" i="59"/>
  <c r="H48" i="59"/>
  <c r="L41" i="59"/>
  <c r="H46" i="59"/>
  <c r="C13" i="59"/>
  <c r="H47" i="59"/>
  <c r="C24" i="59"/>
  <c r="D24" i="59"/>
  <c r="H16" i="59"/>
  <c r="H24" i="59"/>
  <c r="C46" i="59"/>
  <c r="D46" i="59"/>
  <c r="H15" i="59"/>
  <c r="H13" i="59"/>
  <c r="H13" i="60"/>
  <c r="C44" i="59"/>
  <c r="D44" i="59"/>
  <c r="C55" i="60"/>
  <c r="D55" i="60"/>
  <c r="H31" i="60"/>
  <c r="H52" i="60"/>
  <c r="H14" i="60"/>
  <c r="H14" i="61"/>
  <c r="H17" i="60"/>
  <c r="H16" i="60"/>
  <c r="H23" i="60"/>
  <c r="H55" i="60"/>
  <c r="H18" i="60"/>
  <c r="H24" i="60"/>
  <c r="H15" i="60"/>
  <c r="H19" i="60"/>
  <c r="H40" i="60"/>
  <c r="H45" i="60"/>
  <c r="H32" i="60"/>
  <c r="H33" i="60"/>
  <c r="H54" i="60"/>
  <c r="H28" i="60"/>
  <c r="H20" i="60"/>
  <c r="H46" i="60"/>
  <c r="H34" i="60"/>
  <c r="H41" i="60"/>
  <c r="H30" i="60"/>
  <c r="H29" i="60"/>
  <c r="C24" i="60"/>
  <c r="D24" i="60"/>
  <c r="L34" i="60"/>
  <c r="C21" i="60"/>
  <c r="D21" i="60"/>
  <c r="C48" i="60"/>
  <c r="D48" i="60"/>
  <c r="C52" i="60"/>
  <c r="D52" i="60"/>
  <c r="H35" i="60"/>
  <c r="L25" i="60"/>
  <c r="C46" i="60"/>
  <c r="D46" i="60"/>
  <c r="C37" i="60"/>
  <c r="D37" i="60"/>
  <c r="C26" i="60"/>
  <c r="D26" i="60"/>
  <c r="H37" i="60"/>
  <c r="C56" i="60"/>
  <c r="D56" i="60"/>
  <c r="C45" i="60"/>
  <c r="D45" i="60"/>
  <c r="E45" i="60"/>
  <c r="F45" i="60"/>
  <c r="J45" i="60"/>
  <c r="C44" i="60"/>
  <c r="D44" i="60"/>
  <c r="H51" i="60"/>
  <c r="H21" i="60"/>
  <c r="C38" i="60"/>
  <c r="D38" i="60"/>
  <c r="C51" i="60"/>
  <c r="D51" i="60"/>
  <c r="C18" i="60"/>
  <c r="D18" i="60"/>
  <c r="C16" i="60"/>
  <c r="D16" i="60"/>
  <c r="E16" i="60"/>
  <c r="C36" i="60"/>
  <c r="D36" i="60"/>
  <c r="C54" i="60"/>
  <c r="D54" i="60"/>
  <c r="C39" i="60"/>
  <c r="D39" i="60"/>
  <c r="H43" i="60"/>
  <c r="H25" i="60"/>
  <c r="H42" i="60"/>
  <c r="C23" i="60"/>
  <c r="D23" i="60"/>
  <c r="H50" i="60"/>
  <c r="H22" i="60"/>
  <c r="C27" i="60"/>
  <c r="D27" i="60"/>
  <c r="C28" i="60"/>
  <c r="D28" i="60"/>
  <c r="E28" i="60"/>
  <c r="C29" i="60"/>
  <c r="D29" i="60"/>
  <c r="C43" i="60"/>
  <c r="D43" i="60"/>
  <c r="C50" i="60"/>
  <c r="D50" i="60"/>
  <c r="H44" i="60"/>
  <c r="H47" i="60"/>
  <c r="H36" i="60"/>
  <c r="H39" i="60"/>
  <c r="C17" i="60"/>
  <c r="D17" i="60"/>
  <c r="C20" i="60"/>
  <c r="D20" i="60"/>
  <c r="H56" i="60"/>
  <c r="C41" i="60"/>
  <c r="D41" i="60"/>
  <c r="C22" i="60"/>
  <c r="D22" i="60"/>
  <c r="C15" i="60"/>
  <c r="D15" i="60"/>
  <c r="C49" i="60"/>
  <c r="D49" i="60"/>
  <c r="C42" i="60"/>
  <c r="D42" i="60"/>
  <c r="C35" i="60"/>
  <c r="D35" i="60"/>
  <c r="H38" i="60"/>
  <c r="H53" i="60"/>
  <c r="C53" i="60"/>
  <c r="D53" i="60"/>
  <c r="C34" i="60"/>
  <c r="D34" i="60"/>
  <c r="C40" i="60"/>
  <c r="D40" i="60"/>
  <c r="C30" i="60"/>
  <c r="D30" i="60"/>
  <c r="H26" i="60"/>
  <c r="C47" i="60"/>
  <c r="D47" i="60"/>
  <c r="C14" i="60"/>
  <c r="C19" i="60"/>
  <c r="D19" i="60"/>
  <c r="C31" i="60"/>
  <c r="D31" i="60"/>
  <c r="H49" i="60"/>
  <c r="C25" i="60"/>
  <c r="D25" i="60"/>
  <c r="H27" i="60"/>
  <c r="H48" i="60"/>
  <c r="C33" i="60"/>
  <c r="D33" i="60"/>
  <c r="E33" i="60"/>
  <c r="F33" i="60"/>
  <c r="C32" i="60"/>
  <c r="D32" i="60"/>
  <c r="H34" i="57"/>
  <c r="C13" i="57"/>
  <c r="D13" i="57"/>
  <c r="E13" i="57"/>
  <c r="H55" i="57"/>
  <c r="H28" i="57"/>
  <c r="H16" i="57"/>
  <c r="H13" i="57"/>
  <c r="C16" i="57"/>
  <c r="D16" i="57"/>
  <c r="C28" i="57"/>
  <c r="D28" i="57"/>
  <c r="C17" i="57"/>
  <c r="D17" i="57"/>
  <c r="C34" i="57"/>
  <c r="D34" i="57"/>
  <c r="C55" i="57"/>
  <c r="D55" i="57"/>
  <c r="H17" i="57"/>
  <c r="C39" i="57"/>
  <c r="D39" i="57"/>
  <c r="H39" i="57"/>
  <c r="H44" i="57"/>
  <c r="C44" i="57"/>
  <c r="D44" i="57"/>
  <c r="H35" i="57"/>
  <c r="C35" i="57"/>
  <c r="D35" i="57"/>
  <c r="H51" i="57"/>
  <c r="C51" i="57"/>
  <c r="D51" i="57"/>
  <c r="H45" i="57"/>
  <c r="C45" i="57"/>
  <c r="D45" i="57"/>
  <c r="H44" i="58"/>
  <c r="C44" i="58"/>
  <c r="D44" i="58"/>
  <c r="E23" i="56"/>
  <c r="F23" i="56"/>
  <c r="E17" i="56"/>
  <c r="F17" i="56"/>
  <c r="G17" i="56"/>
  <c r="I17" i="56"/>
  <c r="E53" i="56"/>
  <c r="F53" i="56"/>
  <c r="G53" i="56"/>
  <c r="E19" i="56"/>
  <c r="F19" i="56"/>
  <c r="G19" i="56"/>
  <c r="I19" i="56"/>
  <c r="H16" i="61"/>
  <c r="H25" i="61"/>
  <c r="H32" i="61"/>
  <c r="H56" i="61"/>
  <c r="H23" i="61"/>
  <c r="C36" i="61"/>
  <c r="D36" i="61"/>
  <c r="C49" i="61"/>
  <c r="D49" i="61"/>
  <c r="H18" i="61"/>
  <c r="C48" i="61"/>
  <c r="D48" i="61"/>
  <c r="C33" i="61"/>
  <c r="D33" i="61"/>
  <c r="H20" i="61"/>
  <c r="C22" i="61"/>
  <c r="D22" i="61"/>
  <c r="C43" i="61"/>
  <c r="D43" i="61"/>
  <c r="H49" i="61"/>
  <c r="H31" i="61"/>
  <c r="C19" i="61"/>
  <c r="D19" i="61"/>
  <c r="H36" i="61"/>
  <c r="H22" i="61"/>
  <c r="C47" i="61"/>
  <c r="D47" i="61"/>
  <c r="C51" i="61"/>
  <c r="D51" i="61"/>
  <c r="C38" i="61"/>
  <c r="D38" i="61"/>
  <c r="C30" i="61"/>
  <c r="D30" i="61"/>
  <c r="C21" i="61"/>
  <c r="D21" i="61"/>
  <c r="C55" i="61"/>
  <c r="D55" i="61"/>
  <c r="C17" i="61"/>
  <c r="D17" i="61"/>
  <c r="C46" i="61"/>
  <c r="D46" i="61"/>
  <c r="H38" i="61"/>
  <c r="C29" i="61"/>
  <c r="D29" i="61"/>
  <c r="C16" i="61"/>
  <c r="D16" i="61"/>
  <c r="H40" i="61"/>
  <c r="H44" i="61"/>
  <c r="H28" i="61"/>
  <c r="C23" i="61"/>
  <c r="D23" i="61"/>
  <c r="H47" i="61"/>
  <c r="C18" i="61"/>
  <c r="D18" i="61"/>
  <c r="H48" i="61"/>
  <c r="C39" i="61"/>
  <c r="D39" i="61"/>
  <c r="C42" i="61"/>
  <c r="D42" i="61"/>
  <c r="C54" i="61"/>
  <c r="D54" i="61"/>
  <c r="C45" i="61"/>
  <c r="D45" i="61"/>
  <c r="H39" i="61"/>
  <c r="H43" i="61"/>
  <c r="H15" i="61"/>
  <c r="L32" i="61"/>
  <c r="C50" i="61"/>
  <c r="D50" i="61"/>
  <c r="C53" i="61"/>
  <c r="D53" i="61"/>
  <c r="C41" i="61"/>
  <c r="D41" i="61"/>
  <c r="C44" i="61"/>
  <c r="D44" i="61"/>
  <c r="C34" i="61"/>
  <c r="D34" i="61"/>
  <c r="C26" i="61"/>
  <c r="D26" i="61"/>
  <c r="C32" i="61"/>
  <c r="D32" i="61"/>
  <c r="H46" i="61"/>
  <c r="H37" i="61"/>
  <c r="H51" i="61"/>
  <c r="C31" i="61"/>
  <c r="D31" i="61"/>
  <c r="H41" i="61"/>
  <c r="H45" i="61"/>
  <c r="H19" i="61"/>
  <c r="C56" i="61"/>
  <c r="D56" i="61"/>
  <c r="H33" i="61"/>
  <c r="H21" i="61"/>
  <c r="C28" i="61"/>
  <c r="D28" i="61"/>
  <c r="E28" i="61"/>
  <c r="F28" i="61"/>
  <c r="H26" i="61"/>
  <c r="H30" i="61"/>
  <c r="H29" i="61"/>
  <c r="C52" i="61"/>
  <c r="D52" i="61"/>
  <c r="C27" i="61"/>
  <c r="D27" i="61"/>
  <c r="H42" i="61"/>
  <c r="C40" i="61"/>
  <c r="D40" i="61"/>
  <c r="H55" i="61"/>
  <c r="L37" i="61"/>
  <c r="C25" i="61"/>
  <c r="D25" i="61"/>
  <c r="C20" i="61"/>
  <c r="D20" i="61"/>
  <c r="L39" i="61"/>
  <c r="H50" i="61"/>
  <c r="H27" i="61"/>
  <c r="C35" i="61"/>
  <c r="D35" i="61"/>
  <c r="H53" i="61"/>
  <c r="H52" i="61"/>
  <c r="H17" i="61"/>
  <c r="H54" i="61"/>
  <c r="L33" i="61"/>
  <c r="C15" i="61"/>
  <c r="D15" i="61"/>
  <c r="H34" i="61"/>
  <c r="L28" i="61"/>
  <c r="C37" i="61"/>
  <c r="D37" i="61"/>
  <c r="C31" i="57"/>
  <c r="D31" i="57"/>
  <c r="H31" i="57"/>
  <c r="H15" i="57"/>
  <c r="C15" i="57"/>
  <c r="D15" i="57"/>
  <c r="C12" i="57"/>
  <c r="D12" i="57"/>
  <c r="H12" i="57"/>
  <c r="H37" i="57"/>
  <c r="C37" i="57"/>
  <c r="D37" i="57"/>
  <c r="C38" i="57"/>
  <c r="D38" i="57"/>
  <c r="H38" i="57"/>
  <c r="E39" i="52"/>
  <c r="F39" i="52"/>
  <c r="J39" i="52"/>
  <c r="E13" i="56"/>
  <c r="F13" i="56"/>
  <c r="G13" i="56"/>
  <c r="E11" i="56"/>
  <c r="F11" i="56"/>
  <c r="G11" i="56"/>
  <c r="I11" i="56"/>
  <c r="E21" i="56"/>
  <c r="F21" i="56"/>
  <c r="J21" i="56"/>
  <c r="E43" i="56"/>
  <c r="F43" i="56"/>
  <c r="G43" i="56"/>
  <c r="F22" i="56"/>
  <c r="G22" i="56"/>
  <c r="L45" i="1"/>
  <c r="L39" i="1"/>
  <c r="C19" i="55"/>
  <c r="D19" i="55"/>
  <c r="L54" i="55"/>
  <c r="L13" i="55"/>
  <c r="C20" i="55"/>
  <c r="D20" i="55"/>
  <c r="L45" i="55"/>
  <c r="C42" i="55"/>
  <c r="D42" i="55"/>
  <c r="C46" i="55"/>
  <c r="D46" i="55"/>
  <c r="C37" i="55"/>
  <c r="D37" i="55"/>
  <c r="C24" i="55"/>
  <c r="D24" i="55"/>
  <c r="C26" i="55"/>
  <c r="D26" i="55"/>
  <c r="E26" i="55"/>
  <c r="C15" i="55"/>
  <c r="D15" i="55"/>
  <c r="C28" i="55"/>
  <c r="D28" i="55"/>
  <c r="C40" i="55"/>
  <c r="D40" i="55"/>
  <c r="E40" i="55"/>
  <c r="F40" i="55"/>
  <c r="J40" i="55"/>
  <c r="C44" i="55"/>
  <c r="D44" i="55"/>
  <c r="C23" i="55"/>
  <c r="D23" i="55"/>
  <c r="C31" i="55"/>
  <c r="D31" i="55"/>
  <c r="H55" i="55"/>
  <c r="H23" i="55"/>
  <c r="H37" i="55"/>
  <c r="H39" i="55"/>
  <c r="H33" i="55"/>
  <c r="H48" i="55"/>
  <c r="H17" i="55"/>
  <c r="H11" i="55"/>
  <c r="H20" i="55"/>
  <c r="H24" i="55"/>
  <c r="H31" i="55"/>
  <c r="C18" i="55"/>
  <c r="D18" i="55"/>
  <c r="H32" i="55"/>
  <c r="C35" i="55"/>
  <c r="D35" i="55"/>
  <c r="L27" i="55"/>
  <c r="C11" i="55"/>
  <c r="D11" i="55"/>
  <c r="C27" i="55"/>
  <c r="D27" i="55"/>
  <c r="C33" i="55"/>
  <c r="D33" i="55"/>
  <c r="C16" i="55"/>
  <c r="D16" i="55"/>
  <c r="C12" i="55"/>
  <c r="D12" i="55"/>
  <c r="C48" i="55"/>
  <c r="D48" i="55"/>
  <c r="H49" i="55"/>
  <c r="H15" i="55"/>
  <c r="H18" i="55"/>
  <c r="H40" i="55"/>
  <c r="H52" i="55"/>
  <c r="H56" i="55"/>
  <c r="H53" i="55"/>
  <c r="H36" i="55"/>
  <c r="H9" i="55"/>
  <c r="H9" i="56"/>
  <c r="C32" i="55"/>
  <c r="D32" i="55"/>
  <c r="C49" i="55"/>
  <c r="D49" i="55"/>
  <c r="H10" i="55"/>
  <c r="C50" i="55"/>
  <c r="D50" i="55"/>
  <c r="C9" i="55"/>
  <c r="C38" i="55"/>
  <c r="D38" i="55"/>
  <c r="E38" i="55"/>
  <c r="C45" i="55"/>
  <c r="D45" i="55"/>
  <c r="H43" i="55"/>
  <c r="H34" i="55"/>
  <c r="H45" i="55"/>
  <c r="H47" i="55"/>
  <c r="H16" i="55"/>
  <c r="H27" i="55"/>
  <c r="H12" i="55"/>
  <c r="H29" i="55"/>
  <c r="H41" i="55"/>
  <c r="L29" i="55"/>
  <c r="P29" i="55"/>
  <c r="C22" i="55"/>
  <c r="D22" i="55"/>
  <c r="C52" i="55"/>
  <c r="D52" i="55"/>
  <c r="C51" i="55"/>
  <c r="D51" i="55"/>
  <c r="C13" i="55"/>
  <c r="D13" i="55"/>
  <c r="C39" i="55"/>
  <c r="D39" i="55"/>
  <c r="E39" i="55"/>
  <c r="L10" i="55"/>
  <c r="L30" i="55"/>
  <c r="N30" i="55"/>
  <c r="C54" i="55"/>
  <c r="D54" i="55"/>
  <c r="C34" i="55"/>
  <c r="D34" i="55"/>
  <c r="C10" i="55"/>
  <c r="D10" i="55"/>
  <c r="C43" i="55"/>
  <c r="D43" i="55"/>
  <c r="C30" i="55"/>
  <c r="D30" i="55"/>
  <c r="C14" i="55"/>
  <c r="D14" i="55"/>
  <c r="H21" i="55"/>
  <c r="H46" i="55"/>
  <c r="H26" i="55"/>
  <c r="H50" i="55"/>
  <c r="H35" i="55"/>
  <c r="H22" i="55"/>
  <c r="H30" i="55"/>
  <c r="H38" i="55"/>
  <c r="H14" i="55"/>
  <c r="C17" i="55"/>
  <c r="D17" i="55"/>
  <c r="C47" i="55"/>
  <c r="D47" i="55"/>
  <c r="C56" i="55"/>
  <c r="D56" i="55"/>
  <c r="C41" i="55"/>
  <c r="D41" i="55"/>
  <c r="H13" i="55"/>
  <c r="H25" i="55"/>
  <c r="C36" i="55"/>
  <c r="D36" i="55"/>
  <c r="H19" i="55"/>
  <c r="H28" i="55"/>
  <c r="C21" i="55"/>
  <c r="D21" i="55"/>
  <c r="H54" i="55"/>
  <c r="H51" i="55"/>
  <c r="H42" i="55"/>
  <c r="C29" i="55"/>
  <c r="D29" i="55"/>
  <c r="C25" i="55"/>
  <c r="D25" i="55"/>
  <c r="C55" i="55"/>
  <c r="D55" i="55"/>
  <c r="H44" i="55"/>
  <c r="C53" i="55"/>
  <c r="D53" i="55"/>
  <c r="E53" i="55"/>
  <c r="H11" i="52"/>
  <c r="C31" i="52"/>
  <c r="D31" i="52"/>
  <c r="C50" i="52"/>
  <c r="D50" i="52"/>
  <c r="L45" i="52"/>
  <c r="H25" i="52"/>
  <c r="C34" i="52"/>
  <c r="D34" i="52"/>
  <c r="H20" i="52"/>
  <c r="L9" i="52"/>
  <c r="H17" i="52"/>
  <c r="H37" i="52"/>
  <c r="H6" i="52"/>
  <c r="H6" i="53"/>
  <c r="H41" i="52"/>
  <c r="H44" i="52"/>
  <c r="H34" i="52"/>
  <c r="L22" i="52"/>
  <c r="C41" i="52"/>
  <c r="D41" i="52"/>
  <c r="H9" i="52"/>
  <c r="L37" i="52"/>
  <c r="N37" i="52"/>
  <c r="C56" i="52"/>
  <c r="D56" i="52"/>
  <c r="E56" i="52"/>
  <c r="C52" i="52"/>
  <c r="D52" i="52"/>
  <c r="C49" i="52"/>
  <c r="D49" i="52"/>
  <c r="E49" i="52"/>
  <c r="C11" i="52"/>
  <c r="D11" i="52"/>
  <c r="C36" i="52"/>
  <c r="D36" i="52"/>
  <c r="C24" i="52"/>
  <c r="D24" i="52"/>
  <c r="C33" i="52"/>
  <c r="D33" i="52"/>
  <c r="E33" i="52"/>
  <c r="F33" i="52"/>
  <c r="J33" i="52"/>
  <c r="L52" i="52"/>
  <c r="L8" i="52"/>
  <c r="H45" i="52"/>
  <c r="H21" i="52"/>
  <c r="L50" i="52"/>
  <c r="L38" i="52"/>
  <c r="H38" i="52"/>
  <c r="H54" i="52"/>
  <c r="H56" i="52"/>
  <c r="H43" i="52"/>
  <c r="C23" i="52"/>
  <c r="D23" i="52"/>
  <c r="E23" i="52"/>
  <c r="C18" i="52"/>
  <c r="D18" i="52"/>
  <c r="C51" i="52"/>
  <c r="D51" i="52"/>
  <c r="C37" i="52"/>
  <c r="D37" i="52"/>
  <c r="C30" i="52"/>
  <c r="D30" i="52"/>
  <c r="H35" i="52"/>
  <c r="C46" i="52"/>
  <c r="D46" i="52"/>
  <c r="C13" i="52"/>
  <c r="D13" i="52"/>
  <c r="H53" i="52"/>
  <c r="C35" i="52"/>
  <c r="D35" i="52"/>
  <c r="L18" i="52"/>
  <c r="H28" i="52"/>
  <c r="C43" i="52"/>
  <c r="D43" i="52"/>
  <c r="C20" i="52"/>
  <c r="D20" i="52"/>
  <c r="C48" i="52"/>
  <c r="D48" i="52"/>
  <c r="L30" i="52"/>
  <c r="H52" i="52"/>
  <c r="H23" i="52"/>
  <c r="C47" i="52"/>
  <c r="D47" i="52"/>
  <c r="C26" i="52"/>
  <c r="D26" i="52"/>
  <c r="H22" i="52"/>
  <c r="H7" i="52"/>
  <c r="H46" i="52"/>
  <c r="C54" i="52"/>
  <c r="D54" i="52"/>
  <c r="C15" i="52"/>
  <c r="D15" i="52"/>
  <c r="L39" i="52"/>
  <c r="H33" i="52"/>
  <c r="C53" i="52"/>
  <c r="D53" i="52"/>
  <c r="C29" i="52"/>
  <c r="D29" i="52"/>
  <c r="L49" i="52"/>
  <c r="H36" i="52"/>
  <c r="H13" i="52"/>
  <c r="C28" i="52"/>
  <c r="D28" i="52"/>
  <c r="H12" i="52"/>
  <c r="H15" i="52"/>
  <c r="C25" i="52"/>
  <c r="D25" i="52"/>
  <c r="H29" i="52"/>
  <c r="C21" i="52"/>
  <c r="D21" i="52"/>
  <c r="C10" i="52"/>
  <c r="D10" i="52"/>
  <c r="E10" i="52"/>
  <c r="F10" i="52"/>
  <c r="C44" i="52"/>
  <c r="D44" i="52"/>
  <c r="C14" i="52"/>
  <c r="D14" i="52"/>
  <c r="C7" i="52"/>
  <c r="D7" i="52"/>
  <c r="H16" i="52"/>
  <c r="C55" i="52"/>
  <c r="D55" i="52"/>
  <c r="H26" i="52"/>
  <c r="C22" i="52"/>
  <c r="D22" i="52"/>
  <c r="L20" i="52"/>
  <c r="P20" i="52"/>
  <c r="H10" i="52"/>
  <c r="H27" i="52"/>
  <c r="H32" i="52"/>
  <c r="H14" i="52"/>
  <c r="H47" i="52"/>
  <c r="C8" i="52"/>
  <c r="D8" i="52"/>
  <c r="C9" i="52"/>
  <c r="D9" i="52"/>
  <c r="C17" i="52"/>
  <c r="D17" i="52"/>
  <c r="L35" i="52"/>
  <c r="H31" i="52"/>
  <c r="C27" i="52"/>
  <c r="D27" i="52"/>
  <c r="C6" i="52"/>
  <c r="H19" i="52"/>
  <c r="C12" i="52"/>
  <c r="D12" i="52"/>
  <c r="C16" i="52"/>
  <c r="D16" i="52"/>
  <c r="H49" i="52"/>
  <c r="H55" i="52"/>
  <c r="H40" i="52"/>
  <c r="C32" i="52"/>
  <c r="D32" i="52"/>
  <c r="C45" i="52"/>
  <c r="D45" i="52"/>
  <c r="H30" i="52"/>
  <c r="C40" i="52"/>
  <c r="D40" i="52"/>
  <c r="H18" i="52"/>
  <c r="H50" i="52"/>
  <c r="H48" i="52"/>
  <c r="H8" i="52"/>
  <c r="H24" i="52"/>
  <c r="C42" i="52"/>
  <c r="D42" i="52"/>
  <c r="E42" i="52"/>
  <c r="F42" i="52"/>
  <c r="J42" i="52"/>
  <c r="H42" i="52"/>
  <c r="C38" i="52"/>
  <c r="D38" i="52"/>
  <c r="C19" i="52"/>
  <c r="D19" i="52"/>
  <c r="C49" i="53"/>
  <c r="D49" i="53"/>
  <c r="L14" i="53"/>
  <c r="P14" i="53"/>
  <c r="C18" i="53"/>
  <c r="D18" i="53"/>
  <c r="H41" i="53"/>
  <c r="H28" i="53"/>
  <c r="C44" i="53"/>
  <c r="D44" i="53"/>
  <c r="E44" i="53"/>
  <c r="C12" i="53"/>
  <c r="D12" i="53"/>
  <c r="H17" i="53"/>
  <c r="H9" i="53"/>
  <c r="H36" i="53"/>
  <c r="H34" i="53"/>
  <c r="H12" i="53"/>
  <c r="H18" i="53"/>
  <c r="H44" i="53"/>
  <c r="H49" i="53"/>
  <c r="C20" i="53"/>
  <c r="D20" i="53"/>
  <c r="C9" i="53"/>
  <c r="D9" i="53"/>
  <c r="H11" i="53"/>
  <c r="C17" i="53"/>
  <c r="D17" i="53"/>
  <c r="H25" i="53"/>
  <c r="H33" i="53"/>
  <c r="C41" i="53"/>
  <c r="D41" i="53"/>
  <c r="C52" i="53"/>
  <c r="D52" i="53"/>
  <c r="C11" i="53"/>
  <c r="D11" i="53"/>
  <c r="E11" i="53"/>
  <c r="F11" i="53"/>
  <c r="J11" i="53"/>
  <c r="C25" i="53"/>
  <c r="D25" i="53"/>
  <c r="C36" i="53"/>
  <c r="D36" i="53"/>
  <c r="C42" i="53"/>
  <c r="D42" i="53"/>
  <c r="H14" i="53"/>
  <c r="C50" i="53"/>
  <c r="D50" i="53"/>
  <c r="H52" i="53"/>
  <c r="C26" i="53"/>
  <c r="D26" i="53"/>
  <c r="C33" i="53"/>
  <c r="D33" i="53"/>
  <c r="C38" i="53"/>
  <c r="D38" i="53"/>
  <c r="C40" i="53"/>
  <c r="D40" i="53"/>
  <c r="C22" i="53"/>
  <c r="D22" i="53"/>
  <c r="C19" i="53"/>
  <c r="D19" i="53"/>
  <c r="C34" i="53"/>
  <c r="D34" i="53"/>
  <c r="C28" i="53"/>
  <c r="D28" i="53"/>
  <c r="E28" i="53"/>
  <c r="C14" i="53"/>
  <c r="D14" i="53"/>
  <c r="C43" i="53"/>
  <c r="D43" i="53"/>
  <c r="E43" i="53"/>
  <c r="F43" i="53"/>
  <c r="H46" i="53"/>
  <c r="C47" i="53"/>
  <c r="D47" i="53"/>
  <c r="H22" i="53"/>
  <c r="H51" i="53"/>
  <c r="C30" i="53"/>
  <c r="D30" i="53"/>
  <c r="H23" i="53"/>
  <c r="C55" i="53"/>
  <c r="D55" i="53"/>
  <c r="E55" i="53"/>
  <c r="H8" i="53"/>
  <c r="C8" i="53"/>
  <c r="D8" i="53"/>
  <c r="E8" i="53"/>
  <c r="C46" i="53"/>
  <c r="D46" i="53"/>
  <c r="H19" i="53"/>
  <c r="C45" i="53"/>
  <c r="D45" i="53"/>
  <c r="H30" i="53"/>
  <c r="H29" i="53"/>
  <c r="L47" i="53"/>
  <c r="C23" i="53"/>
  <c r="D23" i="53"/>
  <c r="H13" i="53"/>
  <c r="H32" i="53"/>
  <c r="H24" i="53"/>
  <c r="H37" i="53"/>
  <c r="C16" i="53"/>
  <c r="D16" i="53"/>
  <c r="H53" i="53"/>
  <c r="H48" i="53"/>
  <c r="H20" i="53"/>
  <c r="H43" i="53"/>
  <c r="H45" i="53"/>
  <c r="H35" i="53"/>
  <c r="C15" i="53"/>
  <c r="D15" i="53"/>
  <c r="L37" i="53"/>
  <c r="C7" i="53"/>
  <c r="H27" i="53"/>
  <c r="C48" i="53"/>
  <c r="D48" i="53"/>
  <c r="H38" i="53"/>
  <c r="H40" i="53"/>
  <c r="H47" i="53"/>
  <c r="L54" i="53"/>
  <c r="L35" i="53"/>
  <c r="N35" i="53"/>
  <c r="H7" i="53"/>
  <c r="H7" i="54"/>
  <c r="H56" i="53"/>
  <c r="C21" i="53"/>
  <c r="D21" i="53"/>
  <c r="C53" i="53"/>
  <c r="D53" i="53"/>
  <c r="H10" i="53"/>
  <c r="H50" i="53"/>
  <c r="C51" i="53"/>
  <c r="D51" i="53"/>
  <c r="C54" i="53"/>
  <c r="D54" i="53"/>
  <c r="C13" i="53"/>
  <c r="D13" i="53"/>
  <c r="C39" i="53"/>
  <c r="D39" i="53"/>
  <c r="C24" i="53"/>
  <c r="D24" i="53"/>
  <c r="C56" i="53"/>
  <c r="D56" i="53"/>
  <c r="H31" i="53"/>
  <c r="H39" i="53"/>
  <c r="H21" i="53"/>
  <c r="C29" i="53"/>
  <c r="D29" i="53"/>
  <c r="H15" i="53"/>
  <c r="H16" i="53"/>
  <c r="C27" i="53"/>
  <c r="D27" i="53"/>
  <c r="C35" i="53"/>
  <c r="D35" i="53"/>
  <c r="C10" i="53"/>
  <c r="D10" i="53"/>
  <c r="H55" i="53"/>
  <c r="C32" i="53"/>
  <c r="D32" i="53"/>
  <c r="C37" i="53"/>
  <c r="D37" i="53"/>
  <c r="H26" i="53"/>
  <c r="H54" i="53"/>
  <c r="C31" i="53"/>
  <c r="D31" i="53"/>
  <c r="C30" i="57"/>
  <c r="D30" i="57"/>
  <c r="H30" i="57"/>
  <c r="C49" i="57"/>
  <c r="D49" i="57"/>
  <c r="H49" i="57"/>
  <c r="E12" i="56"/>
  <c r="F12" i="56"/>
  <c r="G12" i="56"/>
  <c r="I12" i="56"/>
  <c r="E48" i="56"/>
  <c r="F48" i="56"/>
  <c r="G48" i="56"/>
  <c r="I48" i="56"/>
  <c r="E42" i="56"/>
  <c r="F42" i="56"/>
  <c r="G42" i="56"/>
  <c r="H42" i="57"/>
  <c r="C42" i="57"/>
  <c r="D42" i="57"/>
  <c r="H54" i="57"/>
  <c r="C54" i="57"/>
  <c r="D54" i="57"/>
  <c r="H43" i="57"/>
  <c r="C43" i="57"/>
  <c r="D43" i="57"/>
  <c r="H41" i="57"/>
  <c r="C41" i="57"/>
  <c r="D41" i="57"/>
  <c r="H48" i="57"/>
  <c r="C48" i="57"/>
  <c r="D48" i="57"/>
  <c r="E48" i="57"/>
  <c r="F48" i="57"/>
  <c r="J48" i="57"/>
  <c r="H32" i="57"/>
  <c r="C32" i="57"/>
  <c r="D32" i="57"/>
  <c r="H40" i="57"/>
  <c r="C40" i="57"/>
  <c r="D40" i="57"/>
  <c r="H24" i="61"/>
  <c r="E56" i="56"/>
  <c r="F56" i="56"/>
  <c r="G56" i="56"/>
  <c r="E36" i="56"/>
  <c r="F36" i="56"/>
  <c r="E18" i="56"/>
  <c r="F18" i="56"/>
  <c r="G18" i="56"/>
  <c r="I18" i="56"/>
  <c r="E47" i="56"/>
  <c r="F47" i="56"/>
  <c r="E29" i="56"/>
  <c r="F29" i="56"/>
  <c r="G29" i="56"/>
  <c r="I29" i="56"/>
  <c r="C10" i="57"/>
  <c r="D10" i="57"/>
  <c r="E10" i="57"/>
  <c r="L14" i="1"/>
  <c r="L42" i="1"/>
  <c r="H16" i="58"/>
  <c r="C40" i="58"/>
  <c r="D40" i="58"/>
  <c r="E40" i="58"/>
  <c r="F40" i="58"/>
  <c r="J40" i="58"/>
  <c r="C30" i="58"/>
  <c r="D30" i="58"/>
  <c r="C46" i="58"/>
  <c r="D46" i="58"/>
  <c r="H23" i="58"/>
  <c r="H43" i="58"/>
  <c r="H56" i="58"/>
  <c r="H48" i="58"/>
  <c r="C16" i="58"/>
  <c r="D16" i="58"/>
  <c r="E16" i="58"/>
  <c r="F16" i="58"/>
  <c r="J16" i="58"/>
  <c r="H21" i="58"/>
  <c r="H28" i="58"/>
  <c r="H30" i="58"/>
  <c r="C27" i="58"/>
  <c r="D27" i="58"/>
  <c r="H46" i="58"/>
  <c r="C23" i="58"/>
  <c r="D23" i="58"/>
  <c r="C43" i="58"/>
  <c r="D43" i="58"/>
  <c r="C56" i="58"/>
  <c r="D56" i="58"/>
  <c r="E56" i="58"/>
  <c r="H20" i="58"/>
  <c r="C39" i="58"/>
  <c r="D39" i="58"/>
  <c r="H40" i="58"/>
  <c r="H19" i="58"/>
  <c r="H31" i="58"/>
  <c r="H47" i="58"/>
  <c r="C48" i="58"/>
  <c r="D48" i="58"/>
  <c r="C17" i="58"/>
  <c r="D17" i="58"/>
  <c r="C19" i="58"/>
  <c r="D19" i="58"/>
  <c r="C47" i="58"/>
  <c r="D47" i="58"/>
  <c r="H33" i="58"/>
  <c r="C53" i="58"/>
  <c r="D53" i="58"/>
  <c r="H55" i="58"/>
  <c r="H54" i="58"/>
  <c r="H52" i="58"/>
  <c r="H29" i="58"/>
  <c r="H25" i="58"/>
  <c r="H45" i="58"/>
  <c r="H36" i="58"/>
  <c r="H35" i="58"/>
  <c r="H18" i="58"/>
  <c r="H14" i="58"/>
  <c r="H32" i="58"/>
  <c r="H24" i="58"/>
  <c r="H50" i="58"/>
  <c r="C13" i="58"/>
  <c r="D13" i="58"/>
  <c r="H12" i="58"/>
  <c r="H12" i="59"/>
  <c r="C20" i="58"/>
  <c r="D20" i="58"/>
  <c r="C55" i="58"/>
  <c r="D55" i="58"/>
  <c r="E55" i="58"/>
  <c r="F55" i="58"/>
  <c r="J55" i="58"/>
  <c r="C29" i="58"/>
  <c r="D29" i="58"/>
  <c r="C25" i="58"/>
  <c r="D25" i="58"/>
  <c r="C14" i="58"/>
  <c r="D14" i="58"/>
  <c r="C22" i="58"/>
  <c r="D22" i="58"/>
  <c r="H38" i="58"/>
  <c r="C42" i="58"/>
  <c r="D42" i="58"/>
  <c r="E42" i="58"/>
  <c r="L13" i="58"/>
  <c r="C41" i="58"/>
  <c r="D41" i="58"/>
  <c r="C28" i="58"/>
  <c r="D28" i="58"/>
  <c r="C33" i="58"/>
  <c r="D33" i="58"/>
  <c r="C36" i="58"/>
  <c r="D36" i="58"/>
  <c r="C35" i="58"/>
  <c r="D35" i="58"/>
  <c r="E35" i="58"/>
  <c r="F35" i="58"/>
  <c r="J35" i="58"/>
  <c r="C18" i="58"/>
  <c r="D18" i="58"/>
  <c r="C50" i="58"/>
  <c r="D50" i="58"/>
  <c r="C51" i="58"/>
  <c r="D51" i="58"/>
  <c r="H51" i="58"/>
  <c r="H37" i="58"/>
  <c r="C49" i="58"/>
  <c r="D49" i="58"/>
  <c r="H42" i="58"/>
  <c r="H13" i="58"/>
  <c r="H41" i="58"/>
  <c r="C15" i="58"/>
  <c r="D15" i="58"/>
  <c r="E15" i="58"/>
  <c r="C34" i="58"/>
  <c r="D34" i="58"/>
  <c r="H26" i="58"/>
  <c r="H27" i="58"/>
  <c r="H39" i="58"/>
  <c r="C54" i="58"/>
  <c r="D54" i="58"/>
  <c r="E54" i="58"/>
  <c r="C32" i="58"/>
  <c r="D32" i="58"/>
  <c r="C24" i="58"/>
  <c r="D24" i="58"/>
  <c r="H22" i="58"/>
  <c r="H17" i="58"/>
  <c r="C37" i="58"/>
  <c r="D37" i="58"/>
  <c r="H49" i="58"/>
  <c r="C12" i="58"/>
  <c r="H15" i="58"/>
  <c r="C26" i="58"/>
  <c r="D26" i="58"/>
  <c r="C31" i="58"/>
  <c r="D31" i="58"/>
  <c r="E31" i="58"/>
  <c r="F31" i="58"/>
  <c r="C45" i="58"/>
  <c r="D45" i="58"/>
  <c r="L55" i="58"/>
  <c r="C52" i="58"/>
  <c r="D52" i="58"/>
  <c r="H34" i="58"/>
  <c r="H53" i="58"/>
  <c r="C21" i="58"/>
  <c r="D21" i="58"/>
  <c r="E21" i="58"/>
  <c r="F21" i="58"/>
  <c r="C38" i="58"/>
  <c r="D38" i="58"/>
  <c r="H30" i="56"/>
  <c r="H16" i="56"/>
  <c r="H32" i="56"/>
  <c r="H36" i="56"/>
  <c r="H51" i="56"/>
  <c r="H10" i="56"/>
  <c r="H10" i="57"/>
  <c r="H22" i="56"/>
  <c r="H20" i="56"/>
  <c r="H31" i="56"/>
  <c r="H14" i="56"/>
  <c r="H42" i="56"/>
  <c r="H46" i="56"/>
  <c r="H21" i="56"/>
  <c r="H55" i="56"/>
  <c r="H40" i="56"/>
  <c r="H18" i="56"/>
  <c r="H25" i="56"/>
  <c r="H38" i="56"/>
  <c r="H34" i="56"/>
  <c r="H19" i="56"/>
  <c r="H15" i="56"/>
  <c r="H50" i="56"/>
  <c r="H53" i="56"/>
  <c r="H33" i="56"/>
  <c r="H41" i="56"/>
  <c r="H11" i="56"/>
  <c r="H12" i="56"/>
  <c r="H52" i="56"/>
  <c r="H47" i="56"/>
  <c r="H35" i="56"/>
  <c r="H44" i="56"/>
  <c r="H28" i="56"/>
  <c r="H56" i="56"/>
  <c r="H48" i="56"/>
  <c r="H49" i="56"/>
  <c r="H17" i="56"/>
  <c r="H26" i="56"/>
  <c r="H39" i="56"/>
  <c r="H37" i="56"/>
  <c r="I37" i="56"/>
  <c r="H29" i="56"/>
  <c r="H45" i="56"/>
  <c r="C15" i="56"/>
  <c r="D15" i="56"/>
  <c r="H27" i="56"/>
  <c r="H13" i="56"/>
  <c r="C55" i="56"/>
  <c r="D55" i="56"/>
  <c r="H23" i="56"/>
  <c r="C28" i="56"/>
  <c r="D28" i="56"/>
  <c r="H54" i="56"/>
  <c r="C50" i="56"/>
  <c r="D50" i="56"/>
  <c r="H43" i="56"/>
  <c r="H24" i="56"/>
  <c r="C31" i="54"/>
  <c r="D31" i="54"/>
  <c r="E31" i="54"/>
  <c r="F31" i="54"/>
  <c r="L53" i="54"/>
  <c r="H15" i="54"/>
  <c r="C37" i="54"/>
  <c r="D37" i="54"/>
  <c r="C53" i="54"/>
  <c r="D53" i="54"/>
  <c r="H31" i="54"/>
  <c r="H53" i="54"/>
  <c r="H37" i="54"/>
  <c r="C36" i="54"/>
  <c r="D36" i="54"/>
  <c r="H14" i="54"/>
  <c r="C51" i="54"/>
  <c r="D51" i="54"/>
  <c r="E51" i="54"/>
  <c r="F51" i="54"/>
  <c r="C22" i="54"/>
  <c r="D22" i="54"/>
  <c r="C10" i="54"/>
  <c r="D10" i="54"/>
  <c r="H28" i="54"/>
  <c r="C26" i="54"/>
  <c r="D26" i="54"/>
  <c r="C29" i="54"/>
  <c r="D29" i="54"/>
  <c r="H34" i="54"/>
  <c r="L49" i="54"/>
  <c r="C15" i="54"/>
  <c r="D15" i="54"/>
  <c r="E15" i="54"/>
  <c r="H21" i="54"/>
  <c r="C20" i="54"/>
  <c r="D20" i="54"/>
  <c r="E20" i="54"/>
  <c r="C43" i="54"/>
  <c r="D43" i="54"/>
  <c r="L34" i="54"/>
  <c r="C49" i="54"/>
  <c r="D49" i="54"/>
  <c r="H26" i="54"/>
  <c r="H29" i="54"/>
  <c r="H22" i="54"/>
  <c r="H20" i="54"/>
  <c r="C41" i="54"/>
  <c r="D41" i="54"/>
  <c r="E41" i="54"/>
  <c r="F41" i="54"/>
  <c r="J41" i="54"/>
  <c r="H43" i="54"/>
  <c r="C25" i="54"/>
  <c r="D25" i="54"/>
  <c r="H49" i="54"/>
  <c r="C44" i="54"/>
  <c r="D44" i="54"/>
  <c r="C13" i="54"/>
  <c r="D13" i="54"/>
  <c r="H35" i="54"/>
  <c r="L56" i="54"/>
  <c r="H50" i="54"/>
  <c r="H12" i="54"/>
  <c r="L30" i="54"/>
  <c r="H16" i="54"/>
  <c r="C55" i="54"/>
  <c r="D55" i="54"/>
  <c r="H45" i="54"/>
  <c r="C40" i="54"/>
  <c r="D40" i="54"/>
  <c r="C48" i="54"/>
  <c r="D48" i="54"/>
  <c r="H46" i="54"/>
  <c r="H36" i="54"/>
  <c r="H51" i="54"/>
  <c r="H41" i="54"/>
  <c r="C24" i="54"/>
  <c r="D24" i="54"/>
  <c r="E24" i="54"/>
  <c r="C42" i="54"/>
  <c r="D42" i="54"/>
  <c r="E42" i="54"/>
  <c r="F42" i="54"/>
  <c r="L54" i="54"/>
  <c r="N54" i="54"/>
  <c r="H8" i="54"/>
  <c r="H8" i="55"/>
  <c r="H56" i="54"/>
  <c r="C32" i="54"/>
  <c r="D32" i="54"/>
  <c r="C9" i="54"/>
  <c r="D9" i="54"/>
  <c r="C50" i="54"/>
  <c r="D50" i="54"/>
  <c r="L23" i="54"/>
  <c r="C11" i="54"/>
  <c r="D11" i="54"/>
  <c r="E11" i="54"/>
  <c r="H55" i="54"/>
  <c r="C17" i="54"/>
  <c r="D17" i="54"/>
  <c r="E17" i="54"/>
  <c r="F17" i="54"/>
  <c r="L45" i="54"/>
  <c r="C28" i="54"/>
  <c r="D28" i="54"/>
  <c r="H44" i="54"/>
  <c r="H19" i="54"/>
  <c r="C47" i="54"/>
  <c r="D47" i="54"/>
  <c r="H54" i="54"/>
  <c r="H18" i="54"/>
  <c r="C35" i="54"/>
  <c r="D35" i="54"/>
  <c r="C56" i="54"/>
  <c r="D56" i="54"/>
  <c r="C23" i="54"/>
  <c r="D23" i="54"/>
  <c r="H30" i="54"/>
  <c r="C16" i="54"/>
  <c r="D16" i="54"/>
  <c r="C33" i="54"/>
  <c r="D33" i="54"/>
  <c r="C39" i="54"/>
  <c r="D39" i="54"/>
  <c r="H48" i="54"/>
  <c r="L46" i="54"/>
  <c r="C21" i="54"/>
  <c r="D21" i="54"/>
  <c r="E21" i="54"/>
  <c r="H10" i="54"/>
  <c r="C34" i="54"/>
  <c r="D34" i="54"/>
  <c r="C38" i="54"/>
  <c r="D38" i="54"/>
  <c r="C19" i="54"/>
  <c r="D19" i="54"/>
  <c r="L42" i="54"/>
  <c r="H47" i="54"/>
  <c r="C18" i="54"/>
  <c r="D18" i="54"/>
  <c r="C8" i="54"/>
  <c r="L35" i="54"/>
  <c r="H32" i="54"/>
  <c r="H23" i="54"/>
  <c r="C12" i="54"/>
  <c r="D12" i="54"/>
  <c r="H17" i="54"/>
  <c r="H33" i="54"/>
  <c r="H40" i="54"/>
  <c r="C27" i="54"/>
  <c r="D27" i="54"/>
  <c r="H52" i="54"/>
  <c r="C46" i="54"/>
  <c r="D46" i="54"/>
  <c r="H13" i="54"/>
  <c r="H42" i="54"/>
  <c r="C30" i="54"/>
  <c r="D30" i="54"/>
  <c r="E30" i="54"/>
  <c r="F30" i="54"/>
  <c r="J30" i="54"/>
  <c r="H11" i="54"/>
  <c r="H27" i="54"/>
  <c r="H38" i="54"/>
  <c r="C54" i="54"/>
  <c r="D54" i="54"/>
  <c r="C14" i="54"/>
  <c r="D14" i="54"/>
  <c r="C45" i="54"/>
  <c r="D45" i="54"/>
  <c r="H25" i="54"/>
  <c r="H9" i="54"/>
  <c r="H39" i="54"/>
  <c r="H24" i="54"/>
  <c r="C52" i="54"/>
  <c r="D52" i="54"/>
  <c r="E52" i="54"/>
  <c r="G29" i="57"/>
  <c r="I30" i="56"/>
  <c r="I43" i="56"/>
  <c r="J47" i="56"/>
  <c r="I56" i="56"/>
  <c r="I13" i="56"/>
  <c r="J23" i="56"/>
  <c r="J51" i="56"/>
  <c r="I53" i="56"/>
  <c r="F21" i="54"/>
  <c r="J21" i="54"/>
  <c r="F24" i="54"/>
  <c r="J24" i="54"/>
  <c r="J21" i="58"/>
  <c r="F56" i="58"/>
  <c r="J56" i="58"/>
  <c r="E31" i="53"/>
  <c r="F31" i="53"/>
  <c r="J31" i="53"/>
  <c r="E29" i="53"/>
  <c r="F29" i="53"/>
  <c r="J29" i="53"/>
  <c r="E36" i="53"/>
  <c r="F36" i="53"/>
  <c r="J36" i="53"/>
  <c r="E20" i="53"/>
  <c r="F20" i="53"/>
  <c r="J20" i="53"/>
  <c r="E20" i="52"/>
  <c r="F20" i="52"/>
  <c r="J20" i="52"/>
  <c r="E29" i="55"/>
  <c r="F29" i="55"/>
  <c r="J29" i="55"/>
  <c r="E12" i="55"/>
  <c r="F12" i="55"/>
  <c r="J12" i="55"/>
  <c r="E37" i="57"/>
  <c r="F37" i="57"/>
  <c r="J37" i="57"/>
  <c r="J28" i="61"/>
  <c r="E41" i="61"/>
  <c r="F41" i="61"/>
  <c r="J41" i="61"/>
  <c r="E18" i="61"/>
  <c r="F18" i="61"/>
  <c r="J18" i="61"/>
  <c r="E21" i="61"/>
  <c r="F21" i="61"/>
  <c r="J21" i="61"/>
  <c r="E33" i="61"/>
  <c r="F33" i="61"/>
  <c r="E45" i="57"/>
  <c r="F45" i="57"/>
  <c r="J45" i="57"/>
  <c r="E42" i="60"/>
  <c r="F42" i="60"/>
  <c r="J42" i="60"/>
  <c r="E56" i="60"/>
  <c r="F56" i="60"/>
  <c r="J56" i="60"/>
  <c r="E24" i="60"/>
  <c r="F24" i="60"/>
  <c r="J24" i="60"/>
  <c r="E46" i="54"/>
  <c r="F46" i="54"/>
  <c r="J46" i="54"/>
  <c r="D8" i="54"/>
  <c r="C8" i="55"/>
  <c r="D8" i="55"/>
  <c r="E19" i="54"/>
  <c r="F19" i="54"/>
  <c r="J19" i="54"/>
  <c r="E23" i="54"/>
  <c r="F23" i="54"/>
  <c r="J23" i="54"/>
  <c r="E28" i="54"/>
  <c r="F28" i="54"/>
  <c r="J28" i="54"/>
  <c r="F11" i="54"/>
  <c r="J11" i="54"/>
  <c r="E32" i="54"/>
  <c r="F32" i="54"/>
  <c r="J32" i="54"/>
  <c r="J42" i="54"/>
  <c r="E40" i="54"/>
  <c r="F40" i="54"/>
  <c r="J40" i="54"/>
  <c r="E44" i="54"/>
  <c r="F44" i="54"/>
  <c r="J44" i="54"/>
  <c r="F20" i="54"/>
  <c r="J20" i="54"/>
  <c r="E10" i="54"/>
  <c r="F10" i="54"/>
  <c r="J10" i="54"/>
  <c r="J51" i="54"/>
  <c r="E36" i="54"/>
  <c r="F36" i="54"/>
  <c r="J36" i="54"/>
  <c r="E53" i="54"/>
  <c r="F53" i="54"/>
  <c r="J53" i="54"/>
  <c r="E50" i="56"/>
  <c r="F50" i="56"/>
  <c r="J50" i="56"/>
  <c r="E38" i="58"/>
  <c r="F38" i="58"/>
  <c r="J38" i="58"/>
  <c r="J31" i="58"/>
  <c r="E32" i="58"/>
  <c r="F32" i="58"/>
  <c r="J32" i="58"/>
  <c r="F54" i="58"/>
  <c r="J54" i="58"/>
  <c r="E18" i="58"/>
  <c r="F18" i="58"/>
  <c r="J18" i="58"/>
  <c r="E14" i="58"/>
  <c r="F14" i="58"/>
  <c r="J14" i="58"/>
  <c r="E29" i="58"/>
  <c r="F29" i="58"/>
  <c r="J29" i="58"/>
  <c r="E47" i="58"/>
  <c r="F47" i="58"/>
  <c r="G51" i="56"/>
  <c r="I51" i="56"/>
  <c r="F10" i="57"/>
  <c r="J10" i="57"/>
  <c r="G47" i="56"/>
  <c r="I47" i="56"/>
  <c r="G39" i="56"/>
  <c r="I39" i="56"/>
  <c r="G36" i="56"/>
  <c r="E54" i="57"/>
  <c r="F54" i="57"/>
  <c r="J54" i="57"/>
  <c r="J42" i="56"/>
  <c r="J12" i="56"/>
  <c r="E37" i="53"/>
  <c r="F37" i="53"/>
  <c r="E35" i="53"/>
  <c r="F35" i="53"/>
  <c r="J35" i="53"/>
  <c r="E56" i="53"/>
  <c r="F56" i="53"/>
  <c r="J56" i="53"/>
  <c r="E13" i="53"/>
  <c r="F13" i="53"/>
  <c r="E48" i="53"/>
  <c r="F48" i="53"/>
  <c r="J48" i="53"/>
  <c r="C7" i="54"/>
  <c r="D7" i="54"/>
  <c r="D7" i="53"/>
  <c r="E16" i="53"/>
  <c r="F16" i="53"/>
  <c r="J16" i="53"/>
  <c r="E30" i="53"/>
  <c r="F30" i="53"/>
  <c r="J30" i="53"/>
  <c r="E14" i="53"/>
  <c r="F14" i="53"/>
  <c r="J14" i="53"/>
  <c r="E22" i="53"/>
  <c r="F22" i="53"/>
  <c r="J22" i="53"/>
  <c r="E33" i="53"/>
  <c r="F33" i="53"/>
  <c r="J33" i="53"/>
  <c r="E9" i="53"/>
  <c r="F9" i="53"/>
  <c r="J9" i="53"/>
  <c r="E12" i="53"/>
  <c r="F12" i="53"/>
  <c r="J12" i="53"/>
  <c r="E16" i="52"/>
  <c r="F16" i="52"/>
  <c r="J16" i="52"/>
  <c r="E7" i="52"/>
  <c r="F7" i="52"/>
  <c r="J7" i="52"/>
  <c r="E28" i="52"/>
  <c r="F28" i="52"/>
  <c r="J28" i="52"/>
  <c r="P39" i="52"/>
  <c r="N39" i="52"/>
  <c r="E48" i="52"/>
  <c r="F48" i="52"/>
  <c r="J48" i="52"/>
  <c r="E13" i="52"/>
  <c r="F13" i="52"/>
  <c r="J13" i="52"/>
  <c r="E37" i="52"/>
  <c r="F37" i="52"/>
  <c r="J37" i="52"/>
  <c r="F23" i="52"/>
  <c r="J23" i="52"/>
  <c r="F49" i="52"/>
  <c r="J49" i="52"/>
  <c r="F53" i="55"/>
  <c r="J53" i="55"/>
  <c r="E47" i="55"/>
  <c r="F47" i="55"/>
  <c r="J47" i="55"/>
  <c r="E30" i="55"/>
  <c r="F30" i="55"/>
  <c r="J30" i="55"/>
  <c r="E10" i="55"/>
  <c r="F10" i="55"/>
  <c r="J10" i="55"/>
  <c r="P10" i="55"/>
  <c r="E51" i="55"/>
  <c r="F51" i="55"/>
  <c r="J51" i="55"/>
  <c r="F38" i="55"/>
  <c r="J38" i="55"/>
  <c r="F26" i="55"/>
  <c r="J26" i="55"/>
  <c r="E20" i="55"/>
  <c r="F20" i="55"/>
  <c r="J20" i="55"/>
  <c r="J22" i="56"/>
  <c r="E38" i="57"/>
  <c r="F38" i="57"/>
  <c r="J38" i="57"/>
  <c r="E12" i="57"/>
  <c r="F12" i="57"/>
  <c r="J12" i="57"/>
  <c r="E37" i="61"/>
  <c r="F37" i="61"/>
  <c r="J37" i="61"/>
  <c r="E25" i="61"/>
  <c r="F25" i="61"/>
  <c r="J25" i="61"/>
  <c r="E40" i="61"/>
  <c r="F40" i="61"/>
  <c r="J40" i="61"/>
  <c r="E31" i="61"/>
  <c r="F31" i="61"/>
  <c r="J31" i="61"/>
  <c r="E44" i="61"/>
  <c r="F44" i="61"/>
  <c r="J44" i="61"/>
  <c r="E45" i="61"/>
  <c r="F45" i="61"/>
  <c r="J45" i="61"/>
  <c r="E55" i="61"/>
  <c r="F55" i="61"/>
  <c r="J55" i="61"/>
  <c r="E51" i="61"/>
  <c r="F51" i="61"/>
  <c r="J51" i="61"/>
  <c r="G23" i="56"/>
  <c r="I23" i="56"/>
  <c r="E51" i="57"/>
  <c r="F51" i="57"/>
  <c r="J51" i="57"/>
  <c r="E39" i="57"/>
  <c r="F39" i="57"/>
  <c r="J39" i="57"/>
  <c r="E17" i="57"/>
  <c r="F17" i="57"/>
  <c r="J17" i="57"/>
  <c r="J33" i="60"/>
  <c r="E25" i="60"/>
  <c r="F25" i="60"/>
  <c r="J25" i="60"/>
  <c r="E47" i="60"/>
  <c r="F47" i="60"/>
  <c r="J47" i="60"/>
  <c r="E35" i="60"/>
  <c r="F35" i="60"/>
  <c r="J35" i="60"/>
  <c r="P35" i="60"/>
  <c r="E15" i="60"/>
  <c r="F15" i="60"/>
  <c r="J15" i="60"/>
  <c r="E41" i="60"/>
  <c r="F41" i="60"/>
  <c r="J41" i="60"/>
  <c r="E17" i="60"/>
  <c r="F17" i="60"/>
  <c r="J17" i="60"/>
  <c r="E50" i="60"/>
  <c r="F50" i="60"/>
  <c r="J50" i="60"/>
  <c r="F28" i="60"/>
  <c r="J28" i="60"/>
  <c r="E27" i="60"/>
  <c r="F27" i="60"/>
  <c r="J27" i="60"/>
  <c r="F16" i="60"/>
  <c r="J16" i="60"/>
  <c r="E46" i="60"/>
  <c r="F46" i="60"/>
  <c r="J46" i="60"/>
  <c r="E46" i="59"/>
  <c r="F46" i="59"/>
  <c r="J46" i="59"/>
  <c r="E24" i="59"/>
  <c r="F24" i="59"/>
  <c r="J24" i="59"/>
  <c r="E15" i="59"/>
  <c r="F15" i="59"/>
  <c r="J15" i="59"/>
  <c r="E45" i="59"/>
  <c r="F45" i="59"/>
  <c r="J45" i="59"/>
  <c r="E43" i="59"/>
  <c r="F43" i="59"/>
  <c r="J43" i="59"/>
  <c r="E38" i="59"/>
  <c r="F38" i="59"/>
  <c r="J38" i="59"/>
  <c r="E37" i="59"/>
  <c r="F37" i="59"/>
  <c r="J37" i="59"/>
  <c r="E34" i="59"/>
  <c r="F34" i="59"/>
  <c r="J34" i="59"/>
  <c r="E18" i="59"/>
  <c r="F18" i="59"/>
  <c r="J18" i="59"/>
  <c r="E25" i="56"/>
  <c r="F25" i="56"/>
  <c r="J25" i="56"/>
  <c r="E52" i="56"/>
  <c r="F52" i="56"/>
  <c r="J52" i="56"/>
  <c r="E45" i="56"/>
  <c r="F45" i="56"/>
  <c r="J45" i="56"/>
  <c r="E18" i="57"/>
  <c r="F18" i="57"/>
  <c r="E22" i="57"/>
  <c r="F22" i="57"/>
  <c r="J22" i="57"/>
  <c r="E48" i="1"/>
  <c r="F48" i="1"/>
  <c r="J48" i="1"/>
  <c r="E28" i="1"/>
  <c r="F28" i="1"/>
  <c r="J28" i="1"/>
  <c r="E39" i="1"/>
  <c r="F39" i="1"/>
  <c r="J39" i="1"/>
  <c r="E6" i="1"/>
  <c r="F6" i="1"/>
  <c r="J6" i="1"/>
  <c r="E21" i="1"/>
  <c r="F21" i="1"/>
  <c r="J21" i="1"/>
  <c r="E47" i="1"/>
  <c r="F47" i="1"/>
  <c r="J47" i="1"/>
  <c r="E13" i="1"/>
  <c r="F13" i="1"/>
  <c r="J13" i="1"/>
  <c r="C5" i="52"/>
  <c r="D5" i="52"/>
  <c r="D5" i="1"/>
  <c r="E54" i="1"/>
  <c r="F54" i="1"/>
  <c r="J54" i="1"/>
  <c r="E43" i="1"/>
  <c r="F43" i="1"/>
  <c r="J43" i="1"/>
  <c r="E9" i="1"/>
  <c r="F9" i="1"/>
  <c r="J9" i="1"/>
  <c r="E54" i="54"/>
  <c r="F54" i="54"/>
  <c r="J54" i="54"/>
  <c r="E18" i="54"/>
  <c r="F18" i="54"/>
  <c r="J18" i="54"/>
  <c r="E39" i="54"/>
  <c r="F39" i="54"/>
  <c r="J39" i="54"/>
  <c r="E56" i="54"/>
  <c r="F56" i="54"/>
  <c r="J56" i="54"/>
  <c r="J31" i="54"/>
  <c r="E55" i="56"/>
  <c r="F55" i="56"/>
  <c r="J55" i="56"/>
  <c r="E26" i="58"/>
  <c r="F26" i="58"/>
  <c r="J26" i="58"/>
  <c r="E51" i="58"/>
  <c r="F51" i="58"/>
  <c r="J51" i="58"/>
  <c r="E43" i="57"/>
  <c r="F43" i="57"/>
  <c r="J43" i="57"/>
  <c r="E30" i="57"/>
  <c r="F30" i="57"/>
  <c r="J30" i="57"/>
  <c r="E27" i="53"/>
  <c r="F27" i="53"/>
  <c r="J27" i="53"/>
  <c r="E53" i="53"/>
  <c r="F53" i="53"/>
  <c r="J53" i="53"/>
  <c r="E46" i="53"/>
  <c r="F46" i="53"/>
  <c r="J46" i="53"/>
  <c r="F28" i="53"/>
  <c r="J28" i="53"/>
  <c r="E17" i="53"/>
  <c r="F17" i="53"/>
  <c r="J17" i="53"/>
  <c r="F44" i="53"/>
  <c r="J44" i="53"/>
  <c r="E12" i="52"/>
  <c r="F12" i="52"/>
  <c r="J12" i="52"/>
  <c r="E14" i="52"/>
  <c r="F14" i="52"/>
  <c r="J14" i="52"/>
  <c r="E29" i="52"/>
  <c r="F29" i="52"/>
  <c r="J29" i="52"/>
  <c r="E46" i="52"/>
  <c r="F46" i="52"/>
  <c r="J46" i="52"/>
  <c r="E24" i="52"/>
  <c r="F24" i="52"/>
  <c r="J24" i="52"/>
  <c r="N45" i="52"/>
  <c r="E17" i="55"/>
  <c r="F17" i="55"/>
  <c r="J17" i="55"/>
  <c r="E27" i="55"/>
  <c r="F27" i="55"/>
  <c r="J27" i="55"/>
  <c r="G27" i="55"/>
  <c r="I27" i="55"/>
  <c r="E24" i="55"/>
  <c r="F24" i="55"/>
  <c r="J24" i="55"/>
  <c r="E15" i="61"/>
  <c r="F15" i="61"/>
  <c r="J15" i="61"/>
  <c r="E56" i="61"/>
  <c r="F56" i="61"/>
  <c r="J56" i="61"/>
  <c r="E54" i="61"/>
  <c r="F54" i="61"/>
  <c r="J54" i="61"/>
  <c r="E46" i="61"/>
  <c r="F46" i="61"/>
  <c r="J46" i="61"/>
  <c r="E44" i="58"/>
  <c r="F44" i="58"/>
  <c r="J44" i="58"/>
  <c r="E38" i="60"/>
  <c r="F38" i="60"/>
  <c r="J38" i="60"/>
  <c r="E52" i="60"/>
  <c r="F52" i="60"/>
  <c r="J25" i="59"/>
  <c r="E56" i="59"/>
  <c r="F56" i="59"/>
  <c r="E52" i="59"/>
  <c r="F52" i="59"/>
  <c r="E20" i="56"/>
  <c r="F20" i="56"/>
  <c r="J20" i="56"/>
  <c r="E35" i="56"/>
  <c r="F35" i="56"/>
  <c r="J35" i="56"/>
  <c r="E44" i="56"/>
  <c r="F44" i="56"/>
  <c r="J44" i="56"/>
  <c r="E27" i="57"/>
  <c r="F27" i="57"/>
  <c r="J27" i="57"/>
  <c r="E23" i="57"/>
  <c r="F23" i="57"/>
  <c r="E19" i="57"/>
  <c r="F19" i="57"/>
  <c r="E25" i="57"/>
  <c r="F25" i="57"/>
  <c r="G25" i="57"/>
  <c r="E46" i="57"/>
  <c r="F46" i="57"/>
  <c r="E24" i="1"/>
  <c r="F24" i="1"/>
  <c r="J24" i="1"/>
  <c r="E53" i="1"/>
  <c r="F53" i="1"/>
  <c r="J53" i="1"/>
  <c r="E14" i="1"/>
  <c r="F14" i="1"/>
  <c r="J14" i="1"/>
  <c r="E31" i="1"/>
  <c r="F31" i="1"/>
  <c r="J31" i="1"/>
  <c r="E23" i="1"/>
  <c r="F23" i="1"/>
  <c r="J23" i="1"/>
  <c r="E36" i="1"/>
  <c r="F36" i="1"/>
  <c r="J36" i="1"/>
  <c r="E15" i="1"/>
  <c r="F15" i="1"/>
  <c r="J15" i="1"/>
  <c r="E40" i="1"/>
  <c r="F40" i="1"/>
  <c r="J40" i="1"/>
  <c r="E38" i="1"/>
  <c r="F38" i="1"/>
  <c r="J38" i="1"/>
  <c r="E44" i="1"/>
  <c r="F44" i="1"/>
  <c r="J44" i="1"/>
  <c r="E12" i="1"/>
  <c r="F12" i="1"/>
  <c r="J12" i="1"/>
  <c r="E16" i="1"/>
  <c r="F16" i="1"/>
  <c r="E27" i="54"/>
  <c r="F27" i="54"/>
  <c r="J27" i="54"/>
  <c r="E33" i="54"/>
  <c r="F33" i="54"/>
  <c r="J33" i="54"/>
  <c r="E35" i="54"/>
  <c r="F35" i="54"/>
  <c r="J35" i="54"/>
  <c r="J17" i="54"/>
  <c r="E50" i="54"/>
  <c r="F50" i="54"/>
  <c r="J50" i="54"/>
  <c r="E25" i="54"/>
  <c r="F25" i="54"/>
  <c r="J25" i="54"/>
  <c r="E43" i="54"/>
  <c r="F43" i="54"/>
  <c r="J43" i="54"/>
  <c r="E22" i="54"/>
  <c r="F22" i="54"/>
  <c r="J22" i="54"/>
  <c r="E52" i="58"/>
  <c r="F52" i="58"/>
  <c r="J52" i="58"/>
  <c r="F15" i="58"/>
  <c r="E49" i="58"/>
  <c r="F49" i="58"/>
  <c r="J49" i="58"/>
  <c r="E50" i="58"/>
  <c r="F50" i="58"/>
  <c r="E36" i="58"/>
  <c r="F36" i="58"/>
  <c r="J36" i="58"/>
  <c r="E33" i="58"/>
  <c r="F33" i="58"/>
  <c r="E22" i="58"/>
  <c r="F22" i="58"/>
  <c r="J22" i="58"/>
  <c r="E20" i="58"/>
  <c r="F20" i="58"/>
  <c r="G20" i="58"/>
  <c r="I20" i="58"/>
  <c r="G13" i="58"/>
  <c r="I13" i="58"/>
  <c r="E13" i="58"/>
  <c r="F13" i="58"/>
  <c r="J13" i="58"/>
  <c r="E19" i="58"/>
  <c r="F19" i="58"/>
  <c r="J19" i="58"/>
  <c r="E43" i="58"/>
  <c r="F43" i="58"/>
  <c r="J43" i="58"/>
  <c r="E46" i="58"/>
  <c r="F46" i="58"/>
  <c r="J46" i="58"/>
  <c r="E30" i="58"/>
  <c r="F30" i="58"/>
  <c r="E32" i="57"/>
  <c r="F32" i="57"/>
  <c r="J32" i="57"/>
  <c r="J48" i="56"/>
  <c r="E24" i="53"/>
  <c r="F24" i="53"/>
  <c r="J24" i="53"/>
  <c r="E51" i="53"/>
  <c r="F51" i="53"/>
  <c r="J51" i="53"/>
  <c r="G51" i="53"/>
  <c r="I51" i="53"/>
  <c r="E21" i="53"/>
  <c r="F21" i="53"/>
  <c r="E15" i="53"/>
  <c r="F15" i="53"/>
  <c r="J15" i="53"/>
  <c r="F55" i="53"/>
  <c r="J55" i="53"/>
  <c r="E34" i="53"/>
  <c r="F34" i="53"/>
  <c r="E40" i="53"/>
  <c r="F40" i="53"/>
  <c r="J40" i="53"/>
  <c r="E41" i="53"/>
  <c r="F41" i="53"/>
  <c r="J41" i="53"/>
  <c r="E19" i="52"/>
  <c r="F19" i="52"/>
  <c r="E27" i="52"/>
  <c r="F27" i="52"/>
  <c r="J27" i="52"/>
  <c r="E17" i="52"/>
  <c r="F17" i="52"/>
  <c r="J17" i="52"/>
  <c r="E9" i="52"/>
  <c r="F9" i="52"/>
  <c r="J9" i="52"/>
  <c r="E53" i="52"/>
  <c r="F53" i="52"/>
  <c r="J53" i="52"/>
  <c r="E54" i="52"/>
  <c r="F54" i="52"/>
  <c r="E26" i="52"/>
  <c r="F26" i="52"/>
  <c r="J26" i="52"/>
  <c r="E43" i="52"/>
  <c r="F43" i="52"/>
  <c r="J43" i="52"/>
  <c r="E35" i="52"/>
  <c r="F35" i="52"/>
  <c r="E51" i="52"/>
  <c r="F51" i="52"/>
  <c r="J51" i="52"/>
  <c r="E36" i="52"/>
  <c r="F36" i="52"/>
  <c r="F56" i="52"/>
  <c r="J56" i="52"/>
  <c r="E41" i="52"/>
  <c r="F41" i="52"/>
  <c r="E50" i="52"/>
  <c r="F50" i="52"/>
  <c r="J50" i="52"/>
  <c r="E55" i="55"/>
  <c r="F55" i="55"/>
  <c r="J55" i="55"/>
  <c r="E41" i="55"/>
  <c r="F41" i="55"/>
  <c r="J41" i="55"/>
  <c r="E43" i="55"/>
  <c r="F43" i="55"/>
  <c r="E54" i="55"/>
  <c r="F54" i="55"/>
  <c r="F39" i="55"/>
  <c r="E52" i="55"/>
  <c r="F52" i="55"/>
  <c r="C9" i="56"/>
  <c r="D9" i="56"/>
  <c r="D9" i="55"/>
  <c r="E49" i="55"/>
  <c r="F49" i="55"/>
  <c r="E16" i="55"/>
  <c r="F16" i="55"/>
  <c r="E11" i="55"/>
  <c r="F11" i="55"/>
  <c r="P27" i="55"/>
  <c r="E44" i="55"/>
  <c r="F44" i="55"/>
  <c r="J44" i="55"/>
  <c r="E28" i="55"/>
  <c r="F28" i="55"/>
  <c r="E42" i="55"/>
  <c r="F42" i="55"/>
  <c r="J30" i="56"/>
  <c r="J43" i="56"/>
  <c r="P43" i="56"/>
  <c r="G21" i="56"/>
  <c r="I21" i="56"/>
  <c r="J11" i="56"/>
  <c r="J13" i="56"/>
  <c r="G39" i="52"/>
  <c r="I39" i="52"/>
  <c r="E15" i="57"/>
  <c r="F15" i="57"/>
  <c r="E31" i="57"/>
  <c r="F31" i="57"/>
  <c r="E35" i="61"/>
  <c r="F35" i="61"/>
  <c r="J35" i="61"/>
  <c r="E27" i="61"/>
  <c r="F27" i="61"/>
  <c r="E26" i="61"/>
  <c r="F26" i="61"/>
  <c r="J26" i="61"/>
  <c r="E53" i="61"/>
  <c r="F53" i="61"/>
  <c r="J53" i="61"/>
  <c r="E42" i="61"/>
  <c r="F42" i="61"/>
  <c r="E16" i="61"/>
  <c r="F16" i="61"/>
  <c r="J16" i="61"/>
  <c r="E30" i="61"/>
  <c r="F30" i="61"/>
  <c r="E47" i="61"/>
  <c r="F47" i="61"/>
  <c r="E43" i="61"/>
  <c r="F43" i="61"/>
  <c r="E48" i="61"/>
  <c r="F48" i="61"/>
  <c r="E49" i="61"/>
  <c r="F49" i="61"/>
  <c r="J49" i="61"/>
  <c r="E44" i="57"/>
  <c r="F44" i="57"/>
  <c r="J44" i="57"/>
  <c r="E55" i="57"/>
  <c r="F55" i="57"/>
  <c r="E16" i="57"/>
  <c r="F16" i="57"/>
  <c r="F13" i="57"/>
  <c r="E32" i="60"/>
  <c r="F32" i="60"/>
  <c r="E19" i="60"/>
  <c r="F19" i="60"/>
  <c r="J19" i="60"/>
  <c r="E30" i="60"/>
  <c r="F30" i="60"/>
  <c r="E34" i="60"/>
  <c r="F34" i="60"/>
  <c r="E49" i="60"/>
  <c r="F49" i="60"/>
  <c r="J49" i="60"/>
  <c r="E22" i="60"/>
  <c r="F22" i="60"/>
  <c r="E20" i="60"/>
  <c r="F20" i="60"/>
  <c r="E29" i="60"/>
  <c r="F29" i="60"/>
  <c r="E54" i="60"/>
  <c r="F54" i="60"/>
  <c r="E51" i="60"/>
  <c r="F51" i="60"/>
  <c r="E26" i="60"/>
  <c r="F26" i="60"/>
  <c r="E48" i="60"/>
  <c r="F48" i="60"/>
  <c r="G48" i="60"/>
  <c r="I48" i="60"/>
  <c r="E55" i="60"/>
  <c r="F55" i="60"/>
  <c r="E55" i="59"/>
  <c r="F55" i="59"/>
  <c r="E16" i="59"/>
  <c r="F16" i="59"/>
  <c r="F49" i="59"/>
  <c r="E17" i="59"/>
  <c r="F17" i="59"/>
  <c r="E54" i="59"/>
  <c r="F54" i="59"/>
  <c r="J54" i="59"/>
  <c r="F20" i="59"/>
  <c r="E40" i="59"/>
  <c r="F40" i="59"/>
  <c r="E21" i="59"/>
  <c r="F21" i="59"/>
  <c r="E46" i="56"/>
  <c r="F46" i="56"/>
  <c r="E26" i="56"/>
  <c r="F26" i="56"/>
  <c r="E26" i="57"/>
  <c r="F26" i="57"/>
  <c r="G26" i="57"/>
  <c r="E20" i="57"/>
  <c r="F20" i="57"/>
  <c r="E32" i="1"/>
  <c r="F32" i="1"/>
  <c r="E49" i="1"/>
  <c r="F49" i="1"/>
  <c r="E19" i="1"/>
  <c r="F19" i="1"/>
  <c r="J19" i="1"/>
  <c r="E10" i="1"/>
  <c r="F10" i="1"/>
  <c r="E45" i="1"/>
  <c r="F45" i="1"/>
  <c r="E37" i="1"/>
  <c r="F37" i="1"/>
  <c r="E29" i="1"/>
  <c r="F29" i="1"/>
  <c r="E20" i="1"/>
  <c r="F20" i="1"/>
  <c r="E26" i="1"/>
  <c r="F26" i="1"/>
  <c r="E50" i="1"/>
  <c r="F50" i="1"/>
  <c r="E8" i="1"/>
  <c r="F8" i="1"/>
  <c r="J8" i="1"/>
  <c r="E33" i="1"/>
  <c r="F33" i="1"/>
  <c r="E14" i="57"/>
  <c r="F14" i="57"/>
  <c r="E45" i="54"/>
  <c r="F45" i="54"/>
  <c r="G45" i="54"/>
  <c r="I45" i="54"/>
  <c r="E38" i="54"/>
  <c r="F38" i="54"/>
  <c r="E16" i="54"/>
  <c r="F16" i="54"/>
  <c r="E47" i="54"/>
  <c r="F47" i="54"/>
  <c r="E26" i="54"/>
  <c r="F26" i="54"/>
  <c r="E37" i="54"/>
  <c r="F37" i="54"/>
  <c r="E28" i="56"/>
  <c r="F28" i="56"/>
  <c r="E15" i="56"/>
  <c r="F15" i="56"/>
  <c r="E45" i="58"/>
  <c r="F45" i="58"/>
  <c r="E34" i="58"/>
  <c r="F34" i="58"/>
  <c r="G34" i="58"/>
  <c r="I34" i="58"/>
  <c r="E41" i="58"/>
  <c r="F41" i="58"/>
  <c r="E48" i="58"/>
  <c r="F48" i="58"/>
  <c r="E27" i="58"/>
  <c r="F27" i="58"/>
  <c r="E41" i="57"/>
  <c r="F41" i="57"/>
  <c r="G41" i="57"/>
  <c r="I41" i="57"/>
  <c r="E49" i="57"/>
  <c r="F49" i="57"/>
  <c r="J49" i="57"/>
  <c r="E32" i="53"/>
  <c r="F32" i="53"/>
  <c r="J32" i="53"/>
  <c r="G32" i="53"/>
  <c r="I32" i="53"/>
  <c r="E54" i="53"/>
  <c r="F54" i="53"/>
  <c r="J54" i="53"/>
  <c r="P54" i="53"/>
  <c r="E26" i="53"/>
  <c r="F26" i="53"/>
  <c r="J26" i="53"/>
  <c r="E52" i="53"/>
  <c r="F52" i="53"/>
  <c r="J52" i="53"/>
  <c r="G52" i="53"/>
  <c r="I52" i="53"/>
  <c r="E18" i="53"/>
  <c r="F18" i="53"/>
  <c r="J18" i="53"/>
  <c r="E45" i="52"/>
  <c r="F45" i="52"/>
  <c r="D6" i="52"/>
  <c r="E6" i="52"/>
  <c r="C6" i="53"/>
  <c r="D6" i="53"/>
  <c r="E55" i="52"/>
  <c r="F55" i="52"/>
  <c r="E25" i="52"/>
  <c r="F25" i="52"/>
  <c r="G25" i="52"/>
  <c r="E15" i="52"/>
  <c r="F15" i="52"/>
  <c r="E52" i="52"/>
  <c r="F52" i="52"/>
  <c r="G52" i="52"/>
  <c r="E34" i="55"/>
  <c r="F34" i="55"/>
  <c r="G34" i="55"/>
  <c r="I34" i="55"/>
  <c r="E18" i="55"/>
  <c r="F18" i="55"/>
  <c r="E23" i="55"/>
  <c r="F23" i="55"/>
  <c r="J23" i="55"/>
  <c r="E46" i="55"/>
  <c r="F46" i="55"/>
  <c r="P37" i="61"/>
  <c r="E32" i="61"/>
  <c r="F32" i="61"/>
  <c r="E23" i="61"/>
  <c r="F23" i="61"/>
  <c r="J53" i="56"/>
  <c r="E28" i="57"/>
  <c r="F28" i="57"/>
  <c r="E43" i="60"/>
  <c r="F43" i="60"/>
  <c r="E18" i="60"/>
  <c r="F18" i="60"/>
  <c r="E36" i="59"/>
  <c r="F36" i="59"/>
  <c r="E35" i="59"/>
  <c r="F35" i="59"/>
  <c r="J35" i="59"/>
  <c r="E32" i="59"/>
  <c r="F32" i="59"/>
  <c r="E19" i="59"/>
  <c r="F19" i="59"/>
  <c r="F52" i="54"/>
  <c r="E14" i="54"/>
  <c r="F14" i="54"/>
  <c r="E12" i="54"/>
  <c r="F12" i="54"/>
  <c r="E34" i="54"/>
  <c r="F34" i="54"/>
  <c r="G34" i="54"/>
  <c r="I34" i="54"/>
  <c r="E9" i="54"/>
  <c r="F9" i="54"/>
  <c r="J9" i="54"/>
  <c r="E48" i="54"/>
  <c r="F48" i="54"/>
  <c r="E55" i="54"/>
  <c r="F55" i="54"/>
  <c r="E13" i="54"/>
  <c r="F13" i="54"/>
  <c r="E49" i="54"/>
  <c r="F49" i="54"/>
  <c r="F15" i="54"/>
  <c r="E29" i="54"/>
  <c r="F29" i="54"/>
  <c r="D12" i="58"/>
  <c r="E12" i="58"/>
  <c r="F12" i="58"/>
  <c r="C12" i="59"/>
  <c r="D12" i="59"/>
  <c r="E37" i="58"/>
  <c r="F37" i="58"/>
  <c r="J37" i="58"/>
  <c r="E24" i="58"/>
  <c r="F24" i="58"/>
  <c r="E28" i="58"/>
  <c r="F28" i="58"/>
  <c r="J28" i="58"/>
  <c r="F42" i="58"/>
  <c r="E25" i="58"/>
  <c r="F25" i="58"/>
  <c r="E53" i="58"/>
  <c r="F53" i="58"/>
  <c r="E17" i="58"/>
  <c r="F17" i="58"/>
  <c r="E39" i="58"/>
  <c r="F39" i="58"/>
  <c r="J39" i="58"/>
  <c r="E23" i="58"/>
  <c r="F23" i="58"/>
  <c r="J23" i="58"/>
  <c r="J29" i="56"/>
  <c r="J18" i="56"/>
  <c r="J56" i="56"/>
  <c r="E40" i="57"/>
  <c r="F40" i="57"/>
  <c r="E42" i="57"/>
  <c r="F42" i="57"/>
  <c r="I42" i="56"/>
  <c r="E10" i="53"/>
  <c r="F10" i="53"/>
  <c r="E39" i="53"/>
  <c r="F39" i="53"/>
  <c r="G39" i="53"/>
  <c r="I39" i="53"/>
  <c r="J39" i="53"/>
  <c r="E23" i="53"/>
  <c r="F23" i="53"/>
  <c r="G23" i="53"/>
  <c r="I23" i="53"/>
  <c r="E45" i="53"/>
  <c r="F45" i="53"/>
  <c r="G45" i="53"/>
  <c r="I45" i="53"/>
  <c r="F8" i="53"/>
  <c r="E47" i="53"/>
  <c r="F47" i="53"/>
  <c r="J47" i="53"/>
  <c r="E19" i="53"/>
  <c r="F19" i="53"/>
  <c r="E38" i="53"/>
  <c r="F38" i="53"/>
  <c r="G38" i="53"/>
  <c r="I38" i="53"/>
  <c r="E50" i="53"/>
  <c r="F50" i="53"/>
  <c r="E42" i="53"/>
  <c r="F42" i="53"/>
  <c r="J42" i="53"/>
  <c r="E25" i="53"/>
  <c r="F25" i="53"/>
  <c r="E49" i="53"/>
  <c r="F49" i="53"/>
  <c r="E38" i="52"/>
  <c r="F38" i="52"/>
  <c r="G38" i="52"/>
  <c r="I38" i="52"/>
  <c r="E40" i="52"/>
  <c r="F40" i="52"/>
  <c r="E32" i="52"/>
  <c r="F32" i="52"/>
  <c r="J32" i="52"/>
  <c r="E8" i="52"/>
  <c r="F8" i="52"/>
  <c r="J8" i="52"/>
  <c r="E22" i="52"/>
  <c r="F22" i="52"/>
  <c r="E44" i="52"/>
  <c r="F44" i="52"/>
  <c r="G44" i="52"/>
  <c r="I44" i="52"/>
  <c r="E21" i="52"/>
  <c r="F21" i="52"/>
  <c r="E47" i="52"/>
  <c r="F47" i="52"/>
  <c r="E30" i="52"/>
  <c r="F30" i="52"/>
  <c r="E18" i="52"/>
  <c r="F18" i="52"/>
  <c r="J18" i="52"/>
  <c r="E11" i="52"/>
  <c r="F11" i="52"/>
  <c r="E34" i="52"/>
  <c r="F34" i="52"/>
  <c r="E31" i="52"/>
  <c r="F31" i="52"/>
  <c r="G31" i="52"/>
  <c r="E25" i="55"/>
  <c r="F25" i="55"/>
  <c r="E21" i="55"/>
  <c r="F21" i="55"/>
  <c r="E36" i="55"/>
  <c r="F36" i="55"/>
  <c r="E56" i="55"/>
  <c r="F56" i="55"/>
  <c r="E14" i="55"/>
  <c r="F14" i="55"/>
  <c r="G14" i="55"/>
  <c r="E13" i="55"/>
  <c r="F13" i="55"/>
  <c r="E22" i="55"/>
  <c r="F22" i="55"/>
  <c r="E45" i="55"/>
  <c r="F45" i="55"/>
  <c r="G45" i="55"/>
  <c r="I45" i="55"/>
  <c r="E50" i="55"/>
  <c r="F50" i="55"/>
  <c r="E32" i="55"/>
  <c r="F32" i="55"/>
  <c r="G32" i="55"/>
  <c r="I32" i="55"/>
  <c r="E48" i="55"/>
  <c r="F48" i="55"/>
  <c r="E33" i="55"/>
  <c r="F33" i="55"/>
  <c r="J33" i="55"/>
  <c r="E35" i="55"/>
  <c r="F35" i="55"/>
  <c r="E31" i="55"/>
  <c r="F31" i="55"/>
  <c r="J31" i="55"/>
  <c r="E15" i="55"/>
  <c r="F15" i="55"/>
  <c r="E37" i="55"/>
  <c r="F37" i="55"/>
  <c r="E19" i="55"/>
  <c r="F19" i="55"/>
  <c r="I22" i="56"/>
  <c r="E20" i="61"/>
  <c r="F20" i="61"/>
  <c r="J20" i="61"/>
  <c r="E52" i="61"/>
  <c r="F52" i="61"/>
  <c r="E34" i="61"/>
  <c r="F34" i="61"/>
  <c r="G34" i="61"/>
  <c r="I34" i="61"/>
  <c r="E50" i="61"/>
  <c r="F50" i="61"/>
  <c r="J50" i="61"/>
  <c r="E39" i="61"/>
  <c r="F39" i="61"/>
  <c r="J39" i="61"/>
  <c r="E29" i="61"/>
  <c r="F29" i="61"/>
  <c r="J29" i="61"/>
  <c r="E17" i="61"/>
  <c r="F17" i="61"/>
  <c r="E38" i="61"/>
  <c r="F38" i="61"/>
  <c r="E19" i="61"/>
  <c r="F19" i="61"/>
  <c r="J19" i="61"/>
  <c r="E22" i="61"/>
  <c r="F22" i="61"/>
  <c r="E36" i="61"/>
  <c r="F36" i="61"/>
  <c r="G36" i="61"/>
  <c r="I36" i="61"/>
  <c r="J19" i="56"/>
  <c r="J17" i="56"/>
  <c r="E35" i="57"/>
  <c r="F35" i="57"/>
  <c r="J35" i="57"/>
  <c r="E34" i="57"/>
  <c r="F34" i="57"/>
  <c r="G34" i="57"/>
  <c r="E31" i="60"/>
  <c r="F31" i="60"/>
  <c r="G31" i="60"/>
  <c r="I31" i="60"/>
  <c r="C14" i="61"/>
  <c r="D14" i="61"/>
  <c r="E14" i="61"/>
  <c r="D14" i="60"/>
  <c r="E40" i="60"/>
  <c r="F40" i="60"/>
  <c r="G40" i="60"/>
  <c r="I40" i="60"/>
  <c r="E53" i="60"/>
  <c r="F53" i="60"/>
  <c r="J53" i="60"/>
  <c r="G53" i="60"/>
  <c r="I53" i="60"/>
  <c r="E23" i="60"/>
  <c r="F23" i="60"/>
  <c r="G23" i="60"/>
  <c r="J23" i="60"/>
  <c r="E39" i="60"/>
  <c r="F39" i="60"/>
  <c r="G39" i="60"/>
  <c r="I39" i="60"/>
  <c r="E36" i="60"/>
  <c r="F36" i="60"/>
  <c r="J36" i="60"/>
  <c r="E44" i="60"/>
  <c r="F44" i="60"/>
  <c r="E37" i="60"/>
  <c r="F37" i="60"/>
  <c r="J37" i="60"/>
  <c r="E21" i="60"/>
  <c r="F21" i="60"/>
  <c r="J21" i="60"/>
  <c r="E44" i="59"/>
  <c r="F44" i="59"/>
  <c r="J44" i="59"/>
  <c r="C13" i="60"/>
  <c r="D13" i="60"/>
  <c r="E13" i="60"/>
  <c r="F13" i="60"/>
  <c r="J13" i="60"/>
  <c r="D13" i="59"/>
  <c r="E47" i="59"/>
  <c r="F47" i="59"/>
  <c r="E53" i="59"/>
  <c r="F53" i="59"/>
  <c r="E28" i="59"/>
  <c r="F28" i="59"/>
  <c r="G28" i="59"/>
  <c r="J28" i="59"/>
  <c r="E39" i="59"/>
  <c r="F39" i="59"/>
  <c r="J39" i="59"/>
  <c r="E33" i="59"/>
  <c r="F33" i="59"/>
  <c r="J33" i="59"/>
  <c r="E50" i="59"/>
  <c r="F50" i="59"/>
  <c r="J50" i="59"/>
  <c r="E38" i="56"/>
  <c r="F38" i="56"/>
  <c r="J38" i="56"/>
  <c r="E33" i="56"/>
  <c r="F33" i="56"/>
  <c r="J33" i="56"/>
  <c r="E52" i="57"/>
  <c r="F52" i="57"/>
  <c r="E47" i="57"/>
  <c r="F47" i="57"/>
  <c r="G47" i="57"/>
  <c r="E21" i="57"/>
  <c r="F21" i="57"/>
  <c r="G21" i="57"/>
  <c r="C11" i="58"/>
  <c r="D11" i="58"/>
  <c r="D11" i="57"/>
  <c r="E36" i="57"/>
  <c r="F36" i="57"/>
  <c r="J36" i="57"/>
  <c r="E53" i="57"/>
  <c r="F53" i="57"/>
  <c r="G53" i="57"/>
  <c r="E56" i="57"/>
  <c r="F56" i="57"/>
  <c r="G56" i="57"/>
  <c r="E33" i="57"/>
  <c r="F33" i="57"/>
  <c r="E50" i="57"/>
  <c r="F50" i="57"/>
  <c r="E56" i="1"/>
  <c r="F56" i="1"/>
  <c r="J56" i="1"/>
  <c r="E51" i="1"/>
  <c r="F51" i="1"/>
  <c r="J51" i="1"/>
  <c r="E55" i="1"/>
  <c r="F55" i="1"/>
  <c r="J55" i="1"/>
  <c r="E27" i="1"/>
  <c r="F27" i="1"/>
  <c r="J27" i="1"/>
  <c r="E7" i="1"/>
  <c r="F7" i="1"/>
  <c r="G7" i="1"/>
  <c r="I7" i="1"/>
  <c r="E11" i="1"/>
  <c r="F11" i="1"/>
  <c r="J11" i="1"/>
  <c r="E42" i="1"/>
  <c r="F42" i="1"/>
  <c r="J42" i="1"/>
  <c r="E34" i="1"/>
  <c r="F34" i="1"/>
  <c r="J34" i="1"/>
  <c r="E22" i="1"/>
  <c r="F22" i="1"/>
  <c r="J22" i="1"/>
  <c r="E25" i="1"/>
  <c r="F25" i="1"/>
  <c r="J25" i="1"/>
  <c r="J34" i="56"/>
  <c r="J37" i="56"/>
  <c r="E24" i="57"/>
  <c r="F24" i="57"/>
  <c r="G35" i="57"/>
  <c r="I35" i="57"/>
  <c r="G45" i="59"/>
  <c r="I45" i="59"/>
  <c r="G35" i="56"/>
  <c r="I35" i="56"/>
  <c r="G46" i="59"/>
  <c r="I46" i="59"/>
  <c r="G23" i="58"/>
  <c r="I23" i="58"/>
  <c r="G40" i="53"/>
  <c r="I40" i="53"/>
  <c r="G24" i="53"/>
  <c r="I24" i="53"/>
  <c r="G26" i="53"/>
  <c r="I26" i="53"/>
  <c r="G49" i="57"/>
  <c r="I49" i="57"/>
  <c r="G15" i="59"/>
  <c r="I15" i="59"/>
  <c r="G51" i="1"/>
  <c r="I51" i="1"/>
  <c r="G33" i="59"/>
  <c r="I33" i="59"/>
  <c r="G39" i="59"/>
  <c r="I39" i="59"/>
  <c r="G14" i="57"/>
  <c r="G26" i="61"/>
  <c r="I26" i="61"/>
  <c r="G24" i="52"/>
  <c r="I24" i="52"/>
  <c r="G28" i="53"/>
  <c r="I28" i="53"/>
  <c r="G27" i="53"/>
  <c r="I27" i="53"/>
  <c r="G19" i="54"/>
  <c r="I19" i="54"/>
  <c r="G38" i="56"/>
  <c r="I38" i="56"/>
  <c r="G50" i="59"/>
  <c r="I50" i="59"/>
  <c r="I28" i="59"/>
  <c r="G53" i="61"/>
  <c r="I53" i="61"/>
  <c r="G53" i="1"/>
  <c r="I53" i="1"/>
  <c r="G46" i="52"/>
  <c r="I46" i="52"/>
  <c r="G46" i="53"/>
  <c r="I46" i="53"/>
  <c r="G53" i="53"/>
  <c r="I53" i="53"/>
  <c r="G30" i="57"/>
  <c r="I30" i="57"/>
  <c r="G18" i="57"/>
  <c r="G11" i="1"/>
  <c r="I11" i="1"/>
  <c r="G36" i="60"/>
  <c r="I36" i="60"/>
  <c r="I23" i="60"/>
  <c r="G29" i="61"/>
  <c r="I29" i="61"/>
  <c r="G39" i="61"/>
  <c r="I39" i="61"/>
  <c r="G50" i="61"/>
  <c r="I50" i="61"/>
  <c r="P35" i="59"/>
  <c r="G35" i="59"/>
  <c r="I35" i="59"/>
  <c r="J34" i="55"/>
  <c r="J15" i="52"/>
  <c r="G15" i="52"/>
  <c r="I15" i="52"/>
  <c r="J47" i="61"/>
  <c r="G47" i="61"/>
  <c r="I47" i="61"/>
  <c r="J18" i="55"/>
  <c r="G18" i="55"/>
  <c r="I18" i="55"/>
  <c r="J52" i="52"/>
  <c r="P52" i="52"/>
  <c r="I52" i="52"/>
  <c r="J25" i="52"/>
  <c r="I25" i="52"/>
  <c r="J45" i="52"/>
  <c r="P45" i="52"/>
  <c r="G45" i="52"/>
  <c r="I45" i="52"/>
  <c r="G49" i="61"/>
  <c r="I49" i="61"/>
  <c r="J30" i="61"/>
  <c r="G30" i="61"/>
  <c r="I30" i="61"/>
  <c r="J28" i="55"/>
  <c r="G28" i="55"/>
  <c r="I28" i="55"/>
  <c r="G22" i="1"/>
  <c r="I22" i="1"/>
  <c r="G21" i="60"/>
  <c r="I21" i="60"/>
  <c r="G19" i="61"/>
  <c r="I19" i="61"/>
  <c r="J55" i="52"/>
  <c r="G55" i="52"/>
  <c r="I55" i="52"/>
  <c r="G18" i="53"/>
  <c r="I18" i="53"/>
  <c r="G20" i="57"/>
  <c r="J48" i="61"/>
  <c r="G48" i="61"/>
  <c r="I48" i="61"/>
  <c r="J31" i="57"/>
  <c r="G31" i="57"/>
  <c r="I31" i="57"/>
  <c r="J42" i="55"/>
  <c r="G42" i="55"/>
  <c r="I42" i="55"/>
  <c r="J43" i="61"/>
  <c r="G43" i="61"/>
  <c r="I43" i="61"/>
  <c r="J27" i="61"/>
  <c r="G27" i="61"/>
  <c r="I27" i="61"/>
  <c r="J15" i="57"/>
  <c r="G15" i="57"/>
  <c r="I15" i="57"/>
  <c r="G44" i="55"/>
  <c r="I44" i="55"/>
  <c r="G41" i="53"/>
  <c r="I41" i="53"/>
  <c r="G55" i="53"/>
  <c r="I55" i="53"/>
  <c r="G17" i="54"/>
  <c r="I17" i="54"/>
  <c r="G35" i="54"/>
  <c r="I35" i="54"/>
  <c r="G33" i="54"/>
  <c r="I33" i="54"/>
  <c r="G44" i="1"/>
  <c r="I44" i="1"/>
  <c r="G40" i="1"/>
  <c r="I40" i="1"/>
  <c r="G36" i="1"/>
  <c r="I36" i="1"/>
  <c r="G31" i="1"/>
  <c r="I31" i="1"/>
  <c r="G23" i="57"/>
  <c r="G14" i="52"/>
  <c r="I14" i="52"/>
  <c r="G17" i="53"/>
  <c r="I17" i="53"/>
  <c r="G43" i="1"/>
  <c r="I43" i="1"/>
  <c r="G47" i="1"/>
  <c r="I47" i="1"/>
  <c r="G6" i="1"/>
  <c r="I6" i="1"/>
  <c r="G28" i="1"/>
  <c r="I28" i="1"/>
  <c r="G48" i="1"/>
  <c r="I48" i="1"/>
  <c r="G52" i="56"/>
  <c r="I52" i="56"/>
  <c r="G18" i="59"/>
  <c r="I18" i="59"/>
  <c r="G43" i="59"/>
  <c r="I43" i="59"/>
  <c r="G33" i="60"/>
  <c r="I33" i="60"/>
  <c r="G39" i="57"/>
  <c r="I39" i="57"/>
  <c r="G10" i="57"/>
  <c r="I10" i="57"/>
  <c r="G33" i="61"/>
  <c r="I33" i="61"/>
  <c r="G18" i="61"/>
  <c r="I18" i="61"/>
  <c r="G28" i="61"/>
  <c r="I28" i="61"/>
  <c r="G48" i="57"/>
  <c r="I48" i="57"/>
  <c r="G17" i="52"/>
  <c r="I17" i="52"/>
  <c r="G32" i="57"/>
  <c r="I32" i="57"/>
  <c r="G22" i="54"/>
  <c r="I22" i="54"/>
  <c r="G25" i="54"/>
  <c r="I25" i="54"/>
  <c r="G50" i="54"/>
  <c r="I50" i="54"/>
  <c r="G12" i="1"/>
  <c r="I12" i="1"/>
  <c r="G38" i="1"/>
  <c r="I38" i="1"/>
  <c r="G23" i="1"/>
  <c r="I23" i="1"/>
  <c r="G14" i="1"/>
  <c r="I14" i="1"/>
  <c r="G19" i="57"/>
  <c r="G17" i="55"/>
  <c r="I17" i="55"/>
  <c r="G12" i="52"/>
  <c r="I12" i="52"/>
  <c r="G44" i="53"/>
  <c r="I44" i="53"/>
  <c r="G9" i="1"/>
  <c r="I9" i="1"/>
  <c r="G54" i="1"/>
  <c r="I54" i="1"/>
  <c r="G13" i="1"/>
  <c r="I13" i="1"/>
  <c r="G21" i="1"/>
  <c r="I21" i="1"/>
  <c r="G39" i="1"/>
  <c r="I39" i="1"/>
  <c r="G45" i="56"/>
  <c r="I45" i="56"/>
  <c r="G25" i="56"/>
  <c r="I25" i="56"/>
  <c r="G34" i="59"/>
  <c r="I34" i="59"/>
  <c r="G37" i="59"/>
  <c r="I37" i="59"/>
  <c r="G38" i="59"/>
  <c r="I38" i="59"/>
  <c r="G50" i="60"/>
  <c r="I50" i="60"/>
  <c r="G47" i="60"/>
  <c r="I47" i="60"/>
  <c r="G17" i="57"/>
  <c r="I17" i="57"/>
  <c r="G51" i="57"/>
  <c r="I51" i="57"/>
  <c r="G38" i="57"/>
  <c r="I38" i="57"/>
  <c r="G44" i="54"/>
  <c r="I44" i="54"/>
  <c r="G56" i="60"/>
  <c r="I56" i="60"/>
  <c r="G21" i="61"/>
  <c r="I21" i="61"/>
  <c r="G41" i="61"/>
  <c r="I41" i="61"/>
  <c r="G37" i="57"/>
  <c r="I37" i="57"/>
  <c r="J49" i="59"/>
  <c r="G49" i="59"/>
  <c r="I49" i="59"/>
  <c r="J26" i="60"/>
  <c r="G26" i="60"/>
  <c r="I26" i="60"/>
  <c r="J29" i="60"/>
  <c r="G29" i="60"/>
  <c r="I29" i="60"/>
  <c r="J22" i="60"/>
  <c r="G22" i="60"/>
  <c r="I22" i="60"/>
  <c r="J49" i="55"/>
  <c r="G49" i="55"/>
  <c r="I49" i="55"/>
  <c r="J30" i="58"/>
  <c r="G30" i="58"/>
  <c r="I30" i="58"/>
  <c r="J33" i="58"/>
  <c r="G33" i="58"/>
  <c r="I33" i="58"/>
  <c r="J15" i="58"/>
  <c r="G15" i="58"/>
  <c r="I15" i="58"/>
  <c r="J52" i="59"/>
  <c r="G52" i="59"/>
  <c r="I52" i="59"/>
  <c r="E11" i="58"/>
  <c r="F11" i="58"/>
  <c r="J11" i="58"/>
  <c r="J50" i="55"/>
  <c r="G50" i="55"/>
  <c r="I50" i="55"/>
  <c r="G18" i="52"/>
  <c r="I18" i="52"/>
  <c r="J42" i="57"/>
  <c r="G42" i="57"/>
  <c r="I42" i="57"/>
  <c r="J25" i="58"/>
  <c r="G25" i="58"/>
  <c r="I25" i="58"/>
  <c r="J18" i="60"/>
  <c r="G18" i="60"/>
  <c r="I18" i="60"/>
  <c r="J15" i="56"/>
  <c r="G15" i="56"/>
  <c r="I15" i="56"/>
  <c r="J29" i="1"/>
  <c r="G29" i="1"/>
  <c r="I29" i="1"/>
  <c r="J26" i="56"/>
  <c r="G26" i="56"/>
  <c r="I26" i="56"/>
  <c r="G52" i="57"/>
  <c r="J34" i="57"/>
  <c r="I34" i="57"/>
  <c r="J19" i="55"/>
  <c r="G19" i="55"/>
  <c r="I19" i="55"/>
  <c r="G33" i="55"/>
  <c r="I33" i="55"/>
  <c r="J30" i="52"/>
  <c r="P30" i="52"/>
  <c r="G30" i="52"/>
  <c r="I30" i="52"/>
  <c r="J44" i="52"/>
  <c r="J40" i="52"/>
  <c r="G40" i="52"/>
  <c r="I40" i="52"/>
  <c r="J8" i="53"/>
  <c r="G8" i="53"/>
  <c r="I8" i="53"/>
  <c r="J40" i="57"/>
  <c r="G40" i="57"/>
  <c r="I40" i="57"/>
  <c r="J12" i="58"/>
  <c r="J49" i="54"/>
  <c r="G49" i="54"/>
  <c r="I49" i="54"/>
  <c r="J55" i="54"/>
  <c r="G55" i="54"/>
  <c r="I55" i="54"/>
  <c r="J43" i="60"/>
  <c r="G43" i="60"/>
  <c r="I43" i="60"/>
  <c r="J28" i="57"/>
  <c r="G28" i="57"/>
  <c r="I28" i="57"/>
  <c r="J23" i="61"/>
  <c r="G23" i="61"/>
  <c r="I23" i="61"/>
  <c r="J41" i="57"/>
  <c r="J41" i="58"/>
  <c r="G41" i="58"/>
  <c r="I41" i="58"/>
  <c r="J28" i="56"/>
  <c r="G28" i="56"/>
  <c r="I28" i="56"/>
  <c r="J47" i="54"/>
  <c r="G47" i="54"/>
  <c r="I47" i="54"/>
  <c r="J26" i="1"/>
  <c r="G26" i="1"/>
  <c r="I26" i="1"/>
  <c r="J37" i="1"/>
  <c r="G37" i="1"/>
  <c r="I37" i="1"/>
  <c r="G19" i="1"/>
  <c r="I19" i="1"/>
  <c r="J46" i="56"/>
  <c r="G46" i="56"/>
  <c r="I46" i="56"/>
  <c r="J40" i="59"/>
  <c r="G40" i="59"/>
  <c r="I40" i="59"/>
  <c r="J48" i="60"/>
  <c r="J51" i="60"/>
  <c r="G51" i="60"/>
  <c r="I51" i="60"/>
  <c r="J32" i="60"/>
  <c r="G32" i="60"/>
  <c r="I32" i="60"/>
  <c r="J16" i="57"/>
  <c r="G16" i="57"/>
  <c r="I16" i="57"/>
  <c r="J39" i="55"/>
  <c r="G39" i="55"/>
  <c r="I39" i="55"/>
  <c r="J36" i="52"/>
  <c r="G36" i="52"/>
  <c r="I36" i="52"/>
  <c r="J35" i="52"/>
  <c r="P35" i="52"/>
  <c r="G35" i="52"/>
  <c r="I35" i="52"/>
  <c r="J16" i="1"/>
  <c r="G16" i="1"/>
  <c r="I16" i="1"/>
  <c r="J52" i="60"/>
  <c r="G52" i="60"/>
  <c r="I52" i="60"/>
  <c r="J56" i="55"/>
  <c r="G56" i="55"/>
  <c r="I56" i="55"/>
  <c r="J21" i="52"/>
  <c r="G21" i="52"/>
  <c r="I21" i="52"/>
  <c r="J19" i="53"/>
  <c r="G19" i="53"/>
  <c r="I19" i="53"/>
  <c r="J53" i="58"/>
  <c r="G53" i="58"/>
  <c r="I53" i="58"/>
  <c r="J52" i="54"/>
  <c r="G52" i="54"/>
  <c r="I52" i="54"/>
  <c r="J10" i="1"/>
  <c r="G10" i="1"/>
  <c r="I10" i="1"/>
  <c r="J21" i="59"/>
  <c r="G21" i="59"/>
  <c r="I21" i="59"/>
  <c r="J22" i="61"/>
  <c r="G22" i="61"/>
  <c r="I22" i="61"/>
  <c r="J37" i="55"/>
  <c r="G37" i="55"/>
  <c r="I37" i="55"/>
  <c r="G31" i="55"/>
  <c r="I31" i="55"/>
  <c r="J48" i="55"/>
  <c r="G48" i="55"/>
  <c r="I48" i="55"/>
  <c r="J31" i="52"/>
  <c r="I31" i="52"/>
  <c r="G8" i="52"/>
  <c r="I8" i="52"/>
  <c r="J50" i="53"/>
  <c r="G50" i="53"/>
  <c r="I50" i="53"/>
  <c r="J45" i="53"/>
  <c r="J23" i="53"/>
  <c r="J10" i="53"/>
  <c r="G10" i="53"/>
  <c r="I10" i="53"/>
  <c r="J24" i="58"/>
  <c r="G24" i="58"/>
  <c r="I24" i="58"/>
  <c r="J15" i="54"/>
  <c r="G15" i="54"/>
  <c r="I15" i="54"/>
  <c r="J13" i="54"/>
  <c r="G13" i="54"/>
  <c r="I13" i="54"/>
  <c r="J48" i="54"/>
  <c r="G48" i="54"/>
  <c r="I48" i="54"/>
  <c r="J12" i="54"/>
  <c r="G12" i="54"/>
  <c r="I12" i="54"/>
  <c r="J19" i="59"/>
  <c r="G19" i="59"/>
  <c r="I19" i="59"/>
  <c r="J32" i="59"/>
  <c r="G32" i="59"/>
  <c r="I32" i="59"/>
  <c r="J37" i="54"/>
  <c r="G37" i="54"/>
  <c r="I37" i="54"/>
  <c r="J16" i="54"/>
  <c r="G16" i="54"/>
  <c r="I16" i="54"/>
  <c r="J33" i="1"/>
  <c r="G33" i="1"/>
  <c r="I33" i="1"/>
  <c r="J45" i="1"/>
  <c r="G45" i="1"/>
  <c r="I45" i="1"/>
  <c r="J49" i="1"/>
  <c r="G49" i="1"/>
  <c r="I49" i="1"/>
  <c r="J20" i="59"/>
  <c r="G20" i="59"/>
  <c r="I20" i="59"/>
  <c r="J16" i="59"/>
  <c r="G16" i="59"/>
  <c r="I16" i="59"/>
  <c r="J55" i="60"/>
  <c r="G55" i="60"/>
  <c r="I55" i="60"/>
  <c r="J54" i="60"/>
  <c r="G54" i="60"/>
  <c r="I54" i="60"/>
  <c r="J34" i="60"/>
  <c r="P34" i="60"/>
  <c r="G34" i="60"/>
  <c r="I34" i="60"/>
  <c r="J13" i="57"/>
  <c r="G13" i="57"/>
  <c r="I13" i="57"/>
  <c r="J55" i="57"/>
  <c r="G55" i="57"/>
  <c r="I55" i="57"/>
  <c r="J42" i="61"/>
  <c r="G42" i="61"/>
  <c r="I42" i="61"/>
  <c r="J11" i="55"/>
  <c r="G11" i="55"/>
  <c r="I11" i="55"/>
  <c r="E9" i="56"/>
  <c r="F9" i="56"/>
  <c r="J9" i="56"/>
  <c r="J54" i="55"/>
  <c r="P54" i="55"/>
  <c r="G54" i="55"/>
  <c r="I54" i="55"/>
  <c r="J54" i="52"/>
  <c r="G54" i="52"/>
  <c r="I54" i="52"/>
  <c r="J50" i="58"/>
  <c r="G50" i="58"/>
  <c r="I50" i="58"/>
  <c r="J21" i="55"/>
  <c r="G21" i="55"/>
  <c r="I21" i="55"/>
  <c r="J25" i="53"/>
  <c r="G25" i="53"/>
  <c r="I25" i="53"/>
  <c r="G28" i="58"/>
  <c r="I28" i="58"/>
  <c r="G9" i="54"/>
  <c r="I9" i="54"/>
  <c r="J48" i="58"/>
  <c r="G48" i="58"/>
  <c r="I48" i="58"/>
  <c r="J50" i="1"/>
  <c r="G50" i="1"/>
  <c r="I50" i="1"/>
  <c r="J17" i="59"/>
  <c r="G17" i="59"/>
  <c r="I17" i="59"/>
  <c r="G24" i="57"/>
  <c r="G36" i="57"/>
  <c r="I36" i="57"/>
  <c r="G25" i="1"/>
  <c r="I25" i="1"/>
  <c r="G34" i="1"/>
  <c r="I34" i="1"/>
  <c r="G42" i="1"/>
  <c r="I42" i="1"/>
  <c r="G55" i="1"/>
  <c r="I55" i="1"/>
  <c r="G33" i="57"/>
  <c r="E14" i="60"/>
  <c r="F14" i="60"/>
  <c r="J14" i="60"/>
  <c r="J13" i="55"/>
  <c r="P13" i="55"/>
  <c r="G13" i="55"/>
  <c r="I13" i="55"/>
  <c r="J14" i="55"/>
  <c r="I14" i="55"/>
  <c r="J25" i="55"/>
  <c r="G25" i="55"/>
  <c r="I25" i="55"/>
  <c r="J34" i="52"/>
  <c r="G34" i="52"/>
  <c r="I34" i="52"/>
  <c r="J47" i="52"/>
  <c r="G47" i="52"/>
  <c r="I47" i="52"/>
  <c r="J49" i="53"/>
  <c r="G49" i="53"/>
  <c r="I49" i="53"/>
  <c r="J38" i="53"/>
  <c r="J42" i="58"/>
  <c r="G42" i="58"/>
  <c r="I42" i="58"/>
  <c r="G37" i="58"/>
  <c r="I37" i="58"/>
  <c r="J29" i="54"/>
  <c r="G29" i="54"/>
  <c r="I29" i="54"/>
  <c r="J14" i="54"/>
  <c r="G14" i="54"/>
  <c r="I14" i="54"/>
  <c r="J36" i="59"/>
  <c r="G36" i="59"/>
  <c r="I36" i="59"/>
  <c r="J32" i="61"/>
  <c r="G32" i="61"/>
  <c r="I32" i="61"/>
  <c r="E6" i="53"/>
  <c r="F6" i="53"/>
  <c r="G6" i="53"/>
  <c r="I6" i="53"/>
  <c r="J27" i="58"/>
  <c r="G27" i="58"/>
  <c r="I27" i="58"/>
  <c r="J45" i="58"/>
  <c r="G45" i="58"/>
  <c r="I45" i="58"/>
  <c r="J26" i="54"/>
  <c r="G26" i="54"/>
  <c r="I26" i="54"/>
  <c r="J38" i="54"/>
  <c r="G38" i="54"/>
  <c r="I38" i="54"/>
  <c r="J20" i="1"/>
  <c r="G20" i="1"/>
  <c r="I20" i="1"/>
  <c r="J32" i="1"/>
  <c r="G32" i="1"/>
  <c r="I32" i="1"/>
  <c r="J55" i="59"/>
  <c r="G55" i="59"/>
  <c r="I55" i="59"/>
  <c r="J20" i="60"/>
  <c r="G20" i="60"/>
  <c r="I20" i="60"/>
  <c r="J30" i="60"/>
  <c r="G30" i="60"/>
  <c r="I30" i="60"/>
  <c r="J16" i="55"/>
  <c r="G16" i="55"/>
  <c r="I16" i="55"/>
  <c r="J43" i="55"/>
  <c r="G43" i="55"/>
  <c r="I43" i="55"/>
  <c r="J41" i="52"/>
  <c r="G41" i="52"/>
  <c r="I41" i="52"/>
  <c r="J20" i="58"/>
  <c r="G27" i="57"/>
  <c r="I27" i="57"/>
  <c r="J56" i="59"/>
  <c r="G56" i="59"/>
  <c r="I56" i="59"/>
  <c r="E11" i="57"/>
  <c r="F11" i="57"/>
  <c r="J11" i="57"/>
  <c r="E12" i="59"/>
  <c r="F12" i="59"/>
  <c r="J12" i="59"/>
  <c r="G15" i="53"/>
  <c r="I15" i="53"/>
  <c r="G52" i="58"/>
  <c r="I52" i="58"/>
  <c r="G43" i="54"/>
  <c r="I43" i="54"/>
  <c r="G56" i="61"/>
  <c r="I56" i="61"/>
  <c r="G55" i="58"/>
  <c r="I55" i="58"/>
  <c r="G26" i="58"/>
  <c r="I26" i="58"/>
  <c r="G31" i="54"/>
  <c r="I31" i="54"/>
  <c r="G39" i="54"/>
  <c r="I39" i="54"/>
  <c r="G54" i="54"/>
  <c r="I54" i="54"/>
  <c r="E5" i="52"/>
  <c r="F5" i="52"/>
  <c r="G5" i="52"/>
  <c r="I5" i="52"/>
  <c r="J5" i="52"/>
  <c r="G22" i="57"/>
  <c r="I22" i="57"/>
  <c r="G24" i="59"/>
  <c r="I24" i="59"/>
  <c r="G46" i="60"/>
  <c r="I46" i="60"/>
  <c r="G45" i="60"/>
  <c r="I45" i="60"/>
  <c r="G28" i="60"/>
  <c r="I28" i="60"/>
  <c r="G17" i="60"/>
  <c r="I17" i="60"/>
  <c r="G15" i="60"/>
  <c r="I15" i="60"/>
  <c r="G55" i="61"/>
  <c r="I55" i="61"/>
  <c r="G45" i="61"/>
  <c r="I45" i="61"/>
  <c r="G25" i="61"/>
  <c r="I25" i="61"/>
  <c r="G26" i="55"/>
  <c r="I26" i="55"/>
  <c r="G38" i="55"/>
  <c r="I38" i="55"/>
  <c r="G51" i="55"/>
  <c r="I51" i="55"/>
  <c r="G10" i="55"/>
  <c r="I10" i="55"/>
  <c r="G47" i="55"/>
  <c r="I47" i="55"/>
  <c r="G49" i="52"/>
  <c r="I49" i="52"/>
  <c r="G13" i="52"/>
  <c r="I13" i="52"/>
  <c r="G48" i="52"/>
  <c r="I48" i="52"/>
  <c r="G11" i="53"/>
  <c r="I11" i="53"/>
  <c r="G22" i="53"/>
  <c r="I22" i="53"/>
  <c r="G30" i="53"/>
  <c r="I30" i="53"/>
  <c r="G16" i="53"/>
  <c r="I16" i="53"/>
  <c r="E7" i="53"/>
  <c r="F7" i="53"/>
  <c r="J7" i="53"/>
  <c r="G56" i="53"/>
  <c r="I56" i="53"/>
  <c r="G35" i="53"/>
  <c r="I35" i="53"/>
  <c r="G40" i="58"/>
  <c r="I40" i="58"/>
  <c r="G47" i="58"/>
  <c r="I47" i="58"/>
  <c r="G18" i="58"/>
  <c r="I18" i="58"/>
  <c r="G32" i="58"/>
  <c r="I32" i="58"/>
  <c r="G31" i="58"/>
  <c r="I31" i="58"/>
  <c r="G38" i="58"/>
  <c r="I38" i="58"/>
  <c r="G36" i="54"/>
  <c r="I36" i="54"/>
  <c r="G10" i="54"/>
  <c r="I10" i="54"/>
  <c r="G20" i="54"/>
  <c r="I20" i="54"/>
  <c r="G41" i="54"/>
  <c r="I41" i="54"/>
  <c r="G40" i="54"/>
  <c r="I40" i="54"/>
  <c r="G32" i="54"/>
  <c r="I32" i="54"/>
  <c r="G23" i="54"/>
  <c r="I23" i="54"/>
  <c r="E8" i="55"/>
  <c r="F8" i="55"/>
  <c r="J8" i="55"/>
  <c r="G45" i="57"/>
  <c r="I45" i="57"/>
  <c r="G42" i="52"/>
  <c r="I42" i="52"/>
  <c r="G20" i="53"/>
  <c r="I20" i="53"/>
  <c r="G43" i="53"/>
  <c r="I43" i="53"/>
  <c r="G31" i="53"/>
  <c r="I31" i="53"/>
  <c r="G56" i="58"/>
  <c r="I56" i="58"/>
  <c r="G35" i="58"/>
  <c r="I35" i="58"/>
  <c r="G21" i="58"/>
  <c r="I21" i="58"/>
  <c r="G21" i="54"/>
  <c r="I21" i="54"/>
  <c r="G30" i="54"/>
  <c r="I30" i="54"/>
  <c r="E7" i="54"/>
  <c r="F7" i="54"/>
  <c r="E8" i="54"/>
  <c r="F8" i="54"/>
  <c r="G8" i="54"/>
  <c r="F14" i="61"/>
  <c r="J14" i="61"/>
  <c r="F6" i="52"/>
  <c r="J6" i="52"/>
  <c r="E9" i="55"/>
  <c r="F9" i="55"/>
  <c r="J9" i="55"/>
  <c r="G41" i="55"/>
  <c r="I41" i="55"/>
  <c r="G55" i="55"/>
  <c r="I55" i="55"/>
  <c r="G50" i="52"/>
  <c r="I50" i="52"/>
  <c r="G56" i="52"/>
  <c r="I56" i="52"/>
  <c r="G51" i="52"/>
  <c r="I51" i="52"/>
  <c r="G43" i="52"/>
  <c r="I43" i="52"/>
  <c r="G26" i="52"/>
  <c r="I26" i="52"/>
  <c r="G53" i="52"/>
  <c r="I53" i="52"/>
  <c r="G46" i="58"/>
  <c r="I46" i="58"/>
  <c r="G19" i="58"/>
  <c r="I19" i="58"/>
  <c r="G49" i="58"/>
  <c r="I49" i="58"/>
  <c r="G44" i="56"/>
  <c r="I44" i="56"/>
  <c r="G20" i="56"/>
  <c r="I20" i="56"/>
  <c r="G25" i="59"/>
  <c r="I25" i="59"/>
  <c r="G38" i="60"/>
  <c r="I38" i="60"/>
  <c r="G44" i="58"/>
  <c r="I44" i="58"/>
  <c r="G54" i="61"/>
  <c r="I54" i="61"/>
  <c r="G15" i="61"/>
  <c r="I15" i="61"/>
  <c r="G43" i="57"/>
  <c r="I43" i="57"/>
  <c r="G51" i="58"/>
  <c r="I51" i="58"/>
  <c r="G55" i="56"/>
  <c r="I55" i="56"/>
  <c r="G56" i="54"/>
  <c r="I56" i="54"/>
  <c r="G18" i="54"/>
  <c r="I18" i="54"/>
  <c r="G16" i="60"/>
  <c r="I16" i="60"/>
  <c r="G27" i="60"/>
  <c r="I27" i="60"/>
  <c r="G41" i="60"/>
  <c r="I41" i="60"/>
  <c r="G35" i="60"/>
  <c r="I35" i="60"/>
  <c r="G51" i="61"/>
  <c r="I51" i="61"/>
  <c r="G44" i="61"/>
  <c r="I44" i="61"/>
  <c r="G31" i="61"/>
  <c r="I31" i="61"/>
  <c r="G40" i="61"/>
  <c r="I40" i="61"/>
  <c r="G37" i="61"/>
  <c r="I37" i="61"/>
  <c r="G12" i="57"/>
  <c r="I12" i="57"/>
  <c r="G20" i="55"/>
  <c r="I20" i="55"/>
  <c r="G40" i="55"/>
  <c r="I40" i="55"/>
  <c r="G30" i="55"/>
  <c r="I30" i="55"/>
  <c r="G53" i="55"/>
  <c r="I53" i="55"/>
  <c r="G33" i="52"/>
  <c r="I33" i="52"/>
  <c r="G37" i="52"/>
  <c r="I37" i="52"/>
  <c r="G28" i="52"/>
  <c r="I28" i="52"/>
  <c r="G7" i="52"/>
  <c r="I7" i="52"/>
  <c r="G16" i="52"/>
  <c r="I16" i="52"/>
  <c r="G12" i="53"/>
  <c r="I12" i="53"/>
  <c r="G9" i="53"/>
  <c r="I9" i="53"/>
  <c r="G33" i="53"/>
  <c r="I33" i="53"/>
  <c r="G14" i="53"/>
  <c r="I14" i="53"/>
  <c r="G48" i="53"/>
  <c r="I48" i="53"/>
  <c r="G13" i="53"/>
  <c r="I13" i="53"/>
  <c r="G37" i="53"/>
  <c r="I37" i="53"/>
  <c r="G54" i="57"/>
  <c r="I54" i="57"/>
  <c r="G29" i="58"/>
  <c r="I29" i="58"/>
  <c r="G54" i="58"/>
  <c r="I54" i="58"/>
  <c r="G50" i="56"/>
  <c r="I50" i="56"/>
  <c r="G53" i="54"/>
  <c r="I53" i="54"/>
  <c r="G51" i="54"/>
  <c r="I51" i="54"/>
  <c r="G42" i="54"/>
  <c r="I42" i="54"/>
  <c r="G11" i="54"/>
  <c r="I11" i="54"/>
  <c r="G28" i="54"/>
  <c r="I28" i="54"/>
  <c r="G46" i="54"/>
  <c r="I46" i="54"/>
  <c r="G24" i="60"/>
  <c r="I24" i="60"/>
  <c r="G42" i="60"/>
  <c r="I42" i="60"/>
  <c r="G12" i="55"/>
  <c r="I12" i="55"/>
  <c r="G29" i="55"/>
  <c r="I29" i="55"/>
  <c r="G20" i="52"/>
  <c r="I20" i="52"/>
  <c r="G10" i="52"/>
  <c r="I10" i="52"/>
  <c r="G36" i="53"/>
  <c r="I36" i="53"/>
  <c r="G29" i="53"/>
  <c r="I29" i="53"/>
  <c r="G16" i="58"/>
  <c r="I16" i="58"/>
  <c r="G24" i="54"/>
  <c r="I24" i="54"/>
  <c r="E5" i="1"/>
  <c r="F5" i="1"/>
  <c r="J5" i="1"/>
  <c r="G11" i="57"/>
  <c r="Q11" i="58"/>
  <c r="G9" i="55"/>
  <c r="I9" i="55"/>
  <c r="G5" i="1"/>
  <c r="Q5" i="52"/>
  <c r="G9" i="56"/>
  <c r="I9" i="56"/>
  <c r="G14" i="60"/>
  <c r="G12" i="59"/>
  <c r="I12" i="59"/>
  <c r="Q9" i="56"/>
  <c r="I5" i="1"/>
  <c r="P55" i="58"/>
  <c r="N35" i="54"/>
  <c r="P35" i="54"/>
  <c r="L15" i="58"/>
  <c r="N45" i="55"/>
  <c r="N54" i="55"/>
  <c r="L23" i="60"/>
  <c r="P23" i="60"/>
  <c r="O55" i="55"/>
  <c r="P18" i="52"/>
  <c r="N37" i="53"/>
  <c r="M36" i="56"/>
  <c r="O36" i="56" s="1"/>
  <c r="S36" i="56" s="1"/>
  <c r="M66" i="56"/>
  <c r="M41" i="56"/>
  <c r="O41" i="56"/>
  <c r="M26" i="56"/>
  <c r="M42" i="56"/>
  <c r="M16" i="56"/>
  <c r="M40" i="56"/>
  <c r="M9" i="56"/>
  <c r="M33" i="56"/>
  <c r="M39" i="56"/>
  <c r="M60" i="56"/>
  <c r="M57" i="56"/>
  <c r="M69" i="56"/>
  <c r="O69" i="57" s="1"/>
  <c r="S69" i="57" s="1"/>
  <c r="M24" i="56"/>
  <c r="M23" i="56"/>
  <c r="O23" i="56" s="1"/>
  <c r="S23" i="56" s="1"/>
  <c r="M44" i="56"/>
  <c r="M46" i="56"/>
  <c r="M20" i="56"/>
  <c r="M48" i="56"/>
  <c r="M32" i="56"/>
  <c r="M52" i="56"/>
  <c r="M59" i="56"/>
  <c r="M29" i="56"/>
  <c r="M14" i="56"/>
  <c r="M64" i="56"/>
  <c r="M38" i="56"/>
  <c r="O38" i="56"/>
  <c r="M28" i="56"/>
  <c r="M67" i="56"/>
  <c r="M53" i="56"/>
  <c r="M50" i="56"/>
  <c r="M34" i="56"/>
  <c r="M13" i="56"/>
  <c r="M10" i="56"/>
  <c r="O10" i="56"/>
  <c r="M30" i="56"/>
  <c r="M12" i="56"/>
  <c r="O12" i="56" s="1"/>
  <c r="M58" i="56"/>
  <c r="M47" i="56"/>
  <c r="M27" i="56"/>
  <c r="M65" i="56"/>
  <c r="O65" i="56" s="1"/>
  <c r="S65" i="56" s="1"/>
  <c r="M55" i="56"/>
  <c r="M54" i="56"/>
  <c r="M51" i="56"/>
  <c r="M49" i="56"/>
  <c r="M21" i="56"/>
  <c r="M35" i="56"/>
  <c r="M19" i="56"/>
  <c r="M63" i="56"/>
  <c r="M31" i="56"/>
  <c r="M15" i="56"/>
  <c r="M61" i="56"/>
  <c r="M25" i="56"/>
  <c r="M37" i="56"/>
  <c r="M22" i="56"/>
  <c r="M68" i="56"/>
  <c r="M56" i="56"/>
  <c r="M18" i="56"/>
  <c r="M11" i="56"/>
  <c r="M17" i="56"/>
  <c r="O17" i="56" s="1"/>
  <c r="S17" i="56" s="1"/>
  <c r="M43" i="56"/>
  <c r="L53" i="57"/>
  <c r="L47" i="57"/>
  <c r="L26" i="57"/>
  <c r="L13" i="57"/>
  <c r="N13" i="58"/>
  <c r="L16" i="57"/>
  <c r="L12" i="57"/>
  <c r="L30" i="57"/>
  <c r="L42" i="57"/>
  <c r="L54" i="57"/>
  <c r="L40" i="57"/>
  <c r="L33" i="57"/>
  <c r="L18" i="57"/>
  <c r="L34" i="57"/>
  <c r="L55" i="57"/>
  <c r="N55" i="58"/>
  <c r="L37" i="57"/>
  <c r="L38" i="57"/>
  <c r="L24" i="57"/>
  <c r="L20" i="57"/>
  <c r="L11" i="57"/>
  <c r="L31" i="57"/>
  <c r="L15" i="57"/>
  <c r="L29" i="57"/>
  <c r="L14" i="57"/>
  <c r="L50" i="57"/>
  <c r="L56" i="57"/>
  <c r="L46" i="57"/>
  <c r="L36" i="57"/>
  <c r="L22" i="57"/>
  <c r="L25" i="57"/>
  <c r="L21" i="57"/>
  <c r="N21" i="57"/>
  <c r="L39" i="57"/>
  <c r="L17" i="57"/>
  <c r="L44" i="57"/>
  <c r="L35" i="57"/>
  <c r="P35" i="57"/>
  <c r="L51" i="57"/>
  <c r="L45" i="57"/>
  <c r="L49" i="57"/>
  <c r="L43" i="57"/>
  <c r="N43" i="57"/>
  <c r="L48" i="57"/>
  <c r="L32" i="57"/>
  <c r="L28" i="57"/>
  <c r="P28" i="57"/>
  <c r="L19" i="57"/>
  <c r="L52" i="57"/>
  <c r="N52" i="57"/>
  <c r="L27" i="57"/>
  <c r="L41" i="57"/>
  <c r="L44" i="58"/>
  <c r="L53" i="58"/>
  <c r="L21" i="58"/>
  <c r="L20" i="58"/>
  <c r="N20" i="58"/>
  <c r="L45" i="58"/>
  <c r="N45" i="58"/>
  <c r="L34" i="58"/>
  <c r="N34" i="58"/>
  <c r="L18" i="58"/>
  <c r="L17" i="58"/>
  <c r="N17" i="58"/>
  <c r="L47" i="58"/>
  <c r="N47" i="58"/>
  <c r="L16" i="58"/>
  <c r="L46" i="58"/>
  <c r="N46" i="59"/>
  <c r="L22" i="58"/>
  <c r="N22" i="58"/>
  <c r="L26" i="58"/>
  <c r="N26" i="58"/>
  <c r="L38" i="58"/>
  <c r="N38" i="58"/>
  <c r="L37" i="58"/>
  <c r="N37" i="59"/>
  <c r="L52" i="58"/>
  <c r="N52" i="58"/>
  <c r="L32" i="58"/>
  <c r="L23" i="58"/>
  <c r="N23" i="58"/>
  <c r="L36" i="58"/>
  <c r="L41" i="58"/>
  <c r="N41" i="58"/>
  <c r="L12" i="58"/>
  <c r="P12" i="58"/>
  <c r="L24" i="58"/>
  <c r="N24" i="58"/>
  <c r="L31" i="58"/>
  <c r="L33" i="58"/>
  <c r="L40" i="58"/>
  <c r="L30" i="58"/>
  <c r="N30" i="58"/>
  <c r="L48" i="58"/>
  <c r="L43" i="58"/>
  <c r="N43" i="58"/>
  <c r="L42" i="58"/>
  <c r="N42" i="58"/>
  <c r="L29" i="58"/>
  <c r="L19" i="58"/>
  <c r="L28" i="58"/>
  <c r="N28" i="58"/>
  <c r="L49" i="58"/>
  <c r="N49" i="58"/>
  <c r="L56" i="58"/>
  <c r="L35" i="58"/>
  <c r="L50" i="58"/>
  <c r="L14" i="58"/>
  <c r="N14" i="58"/>
  <c r="L27" i="58"/>
  <c r="L54" i="58"/>
  <c r="N54" i="58"/>
  <c r="P46" i="59"/>
  <c r="L26" i="60"/>
  <c r="L55" i="60"/>
  <c r="L40" i="60"/>
  <c r="L24" i="60"/>
  <c r="L46" i="60"/>
  <c r="N46" i="60"/>
  <c r="L19" i="60"/>
  <c r="L52" i="60"/>
  <c r="L44" i="60"/>
  <c r="L49" i="60"/>
  <c r="L33" i="60"/>
  <c r="L15" i="60"/>
  <c r="L50" i="60"/>
  <c r="P50" i="60"/>
  <c r="L32" i="60"/>
  <c r="N32" i="61"/>
  <c r="L51" i="60"/>
  <c r="L47" i="60"/>
  <c r="L38" i="60"/>
  <c r="L31" i="60"/>
  <c r="L30" i="60"/>
  <c r="L18" i="60"/>
  <c r="L41" i="60"/>
  <c r="N41" i="60"/>
  <c r="L36" i="60"/>
  <c r="N36" i="60"/>
  <c r="L28" i="60"/>
  <c r="L21" i="60"/>
  <c r="L37" i="60"/>
  <c r="L17" i="60"/>
  <c r="L43" i="60"/>
  <c r="L53" i="60"/>
  <c r="N53" i="60"/>
  <c r="L27" i="60"/>
  <c r="L22" i="60"/>
  <c r="P22" i="60"/>
  <c r="L42" i="60"/>
  <c r="L54" i="60"/>
  <c r="L48" i="60"/>
  <c r="P48" i="60"/>
  <c r="L16" i="60"/>
  <c r="L14" i="60"/>
  <c r="P14" i="60"/>
  <c r="L45" i="60"/>
  <c r="P45" i="60"/>
  <c r="L29" i="60"/>
  <c r="N29" i="60"/>
  <c r="L56" i="60"/>
  <c r="L39" i="60"/>
  <c r="L20" i="60"/>
  <c r="P32" i="61"/>
  <c r="P37" i="60"/>
  <c r="P39" i="61"/>
  <c r="P26" i="58"/>
  <c r="P24" i="60"/>
  <c r="P28" i="60"/>
  <c r="P49" i="52"/>
  <c r="L25" i="58"/>
  <c r="N25" i="58"/>
  <c r="L51" i="58"/>
  <c r="N35" i="59"/>
  <c r="M45" i="56"/>
  <c r="P38" i="60"/>
  <c r="P30" i="57"/>
  <c r="P41" i="60"/>
  <c r="P39" i="57"/>
  <c r="P38" i="57"/>
  <c r="L37" i="54"/>
  <c r="L20" i="54"/>
  <c r="L36" i="54"/>
  <c r="L28" i="54"/>
  <c r="L25" i="54"/>
  <c r="L31" i="54"/>
  <c r="L24" i="54"/>
  <c r="L15" i="54"/>
  <c r="L40" i="54"/>
  <c r="L50" i="54"/>
  <c r="L21" i="54"/>
  <c r="L14" i="54"/>
  <c r="L43" i="54"/>
  <c r="L38" i="54"/>
  <c r="L51" i="54"/>
  <c r="L44" i="54"/>
  <c r="P44" i="54"/>
  <c r="L18" i="54"/>
  <c r="L39" i="54"/>
  <c r="L52" i="54"/>
  <c r="L9" i="54"/>
  <c r="L16" i="54"/>
  <c r="L12" i="54"/>
  <c r="L17" i="55"/>
  <c r="L31" i="55"/>
  <c r="N31" i="55"/>
  <c r="L39" i="55"/>
  <c r="N39" i="55"/>
  <c r="L15" i="55"/>
  <c r="N15" i="55"/>
  <c r="L21" i="55"/>
  <c r="P21" i="55"/>
  <c r="L55" i="55"/>
  <c r="L23" i="55"/>
  <c r="N23" i="55"/>
  <c r="L24" i="55"/>
  <c r="N24" i="55"/>
  <c r="L36" i="55"/>
  <c r="N36" i="55"/>
  <c r="L49" i="55"/>
  <c r="L43" i="55"/>
  <c r="L12" i="55"/>
  <c r="N12" i="55"/>
  <c r="L33" i="55"/>
  <c r="L19" i="55"/>
  <c r="L32" i="55"/>
  <c r="L9" i="55"/>
  <c r="L14" i="55"/>
  <c r="L37" i="55"/>
  <c r="L26" i="55"/>
  <c r="L52" i="55"/>
  <c r="N52" i="55"/>
  <c r="L48" i="55"/>
  <c r="L20" i="55"/>
  <c r="L46" i="55"/>
  <c r="N46" i="55"/>
  <c r="L51" i="55"/>
  <c r="L42" i="55"/>
  <c r="L16" i="55"/>
  <c r="N16" i="55"/>
  <c r="L34" i="55"/>
  <c r="N34" i="55"/>
  <c r="L41" i="55"/>
  <c r="L50" i="55"/>
  <c r="L44" i="55"/>
  <c r="N44" i="55"/>
  <c r="L47" i="55"/>
  <c r="L35" i="55"/>
  <c r="N35" i="55"/>
  <c r="L22" i="55"/>
  <c r="L53" i="55"/>
  <c r="N53" i="55"/>
  <c r="L28" i="55"/>
  <c r="N28" i="55"/>
  <c r="L38" i="55"/>
  <c r="N38" i="55"/>
  <c r="L25" i="55"/>
  <c r="L40" i="55"/>
  <c r="N40" i="55"/>
  <c r="L25" i="56"/>
  <c r="N25" i="56"/>
  <c r="L15" i="56"/>
  <c r="L27" i="56"/>
  <c r="N27" i="56"/>
  <c r="L18" i="56"/>
  <c r="L45" i="56"/>
  <c r="N45" i="56"/>
  <c r="L55" i="56"/>
  <c r="N55" i="56"/>
  <c r="L31" i="56"/>
  <c r="L37" i="56"/>
  <c r="L47" i="56"/>
  <c r="N47" i="56"/>
  <c r="L36" i="56"/>
  <c r="N36" i="56"/>
  <c r="L40" i="56"/>
  <c r="L49" i="56"/>
  <c r="N49" i="56"/>
  <c r="L35" i="56"/>
  <c r="N35" i="56"/>
  <c r="L34" i="56"/>
  <c r="L54" i="56"/>
  <c r="N54" i="56"/>
  <c r="L12" i="56"/>
  <c r="L20" i="56"/>
  <c r="L24" i="56"/>
  <c r="N24" i="56"/>
  <c r="L50" i="56"/>
  <c r="N50" i="56"/>
  <c r="L10" i="56"/>
  <c r="L42" i="56"/>
  <c r="L41" i="56"/>
  <c r="N41" i="56"/>
  <c r="L51" i="56"/>
  <c r="L14" i="56"/>
  <c r="N14" i="56"/>
  <c r="L13" i="56"/>
  <c r="N13" i="56"/>
  <c r="L32" i="56"/>
  <c r="N32" i="56"/>
  <c r="L38" i="56"/>
  <c r="L16" i="56"/>
  <c r="N16" i="56"/>
  <c r="L29" i="56"/>
  <c r="L46" i="56"/>
  <c r="N46" i="56"/>
  <c r="L28" i="56"/>
  <c r="L30" i="56"/>
  <c r="N30" i="56"/>
  <c r="L33" i="56"/>
  <c r="N33" i="56"/>
  <c r="L53" i="56"/>
  <c r="N53" i="56"/>
  <c r="L19" i="56"/>
  <c r="L48" i="56"/>
  <c r="L56" i="56"/>
  <c r="M55" i="57"/>
  <c r="M46" i="57"/>
  <c r="M15" i="57"/>
  <c r="M17" i="57"/>
  <c r="M48" i="57"/>
  <c r="M63" i="57"/>
  <c r="M11" i="57"/>
  <c r="M20" i="57"/>
  <c r="M41" i="57"/>
  <c r="M34" i="57"/>
  <c r="M40" i="57"/>
  <c r="M39" i="57"/>
  <c r="M53" i="57"/>
  <c r="M33" i="57"/>
  <c r="M37" i="57"/>
  <c r="M67" i="57"/>
  <c r="M50" i="57"/>
  <c r="M23" i="57"/>
  <c r="M13" i="57"/>
  <c r="M24" i="57"/>
  <c r="M42" i="57"/>
  <c r="M43" i="57"/>
  <c r="M66" i="57"/>
  <c r="M25" i="57"/>
  <c r="M68" i="57"/>
  <c r="M29" i="57"/>
  <c r="M21" i="57"/>
  <c r="M52" i="57"/>
  <c r="M30" i="57"/>
  <c r="M45" i="57"/>
  <c r="M36" i="57"/>
  <c r="M60" i="57"/>
  <c r="M51" i="57"/>
  <c r="M16" i="57"/>
  <c r="M58" i="57"/>
  <c r="M65" i="57"/>
  <c r="M62" i="57"/>
  <c r="M14" i="57"/>
  <c r="M19" i="57"/>
  <c r="M18" i="57"/>
  <c r="M22" i="57"/>
  <c r="M61" i="57"/>
  <c r="M47" i="57"/>
  <c r="M38" i="57"/>
  <c r="M32" i="57"/>
  <c r="M57" i="57"/>
  <c r="M27" i="57"/>
  <c r="M10" i="57"/>
  <c r="M12" i="57"/>
  <c r="M44" i="57"/>
  <c r="M28" i="57"/>
  <c r="M35" i="57"/>
  <c r="M37" i="58"/>
  <c r="O37" i="59"/>
  <c r="M23" i="58"/>
  <c r="M42" i="58"/>
  <c r="O42" i="59" s="1"/>
  <c r="M38" i="58"/>
  <c r="M17" i="58"/>
  <c r="O17" i="59" s="1"/>
  <c r="M44" i="58"/>
  <c r="O44" i="59" s="1"/>
  <c r="S44" i="59" s="1"/>
  <c r="M58" i="58"/>
  <c r="M50" i="58"/>
  <c r="O50" i="59" s="1"/>
  <c r="M20" i="58"/>
  <c r="O20" i="59" s="1"/>
  <c r="S20" i="59" s="1"/>
  <c r="M29" i="58"/>
  <c r="O29" i="59" s="1"/>
  <c r="M56" i="58"/>
  <c r="O56" i="59" s="1"/>
  <c r="M39" i="58"/>
  <c r="M49" i="58"/>
  <c r="O49" i="59" s="1"/>
  <c r="M60" i="58"/>
  <c r="O60" i="58" s="1"/>
  <c r="S60" i="58" s="1"/>
  <c r="M32" i="58"/>
  <c r="M51" i="58"/>
  <c r="O51" i="59" s="1"/>
  <c r="M30" i="58"/>
  <c r="O30" i="59" s="1"/>
  <c r="M45" i="58"/>
  <c r="O45" i="59" s="1"/>
  <c r="M63" i="58"/>
  <c r="O63" i="59" s="1"/>
  <c r="S63" i="59" s="1"/>
  <c r="M15" i="58"/>
  <c r="M28" i="58"/>
  <c r="O28" i="59" s="1"/>
  <c r="M19" i="58"/>
  <c r="O19" i="58" s="1"/>
  <c r="S19" i="58" s="1"/>
  <c r="M12" i="58"/>
  <c r="M41" i="58"/>
  <c r="O41" i="59" s="1"/>
  <c r="M62" i="58"/>
  <c r="O62" i="59" s="1"/>
  <c r="S62" i="59" s="1"/>
  <c r="M55" i="58"/>
  <c r="O55" i="59" s="1"/>
  <c r="M65" i="58"/>
  <c r="O65" i="59" s="1"/>
  <c r="S65" i="59" s="1"/>
  <c r="M40" i="58"/>
  <c r="O40" i="59" s="1"/>
  <c r="M67" i="58"/>
  <c r="O67" i="59" s="1"/>
  <c r="S67" i="59" s="1"/>
  <c r="M27" i="58"/>
  <c r="O27" i="59" s="1"/>
  <c r="M46" i="58"/>
  <c r="O46" i="59" s="1"/>
  <c r="M13" i="58"/>
  <c r="M59" i="58"/>
  <c r="O59" i="59" s="1"/>
  <c r="S59" i="59" s="1"/>
  <c r="M47" i="58"/>
  <c r="O47" i="59" s="1"/>
  <c r="S47" i="59" s="1"/>
  <c r="M18" i="58"/>
  <c r="O18" i="59" s="1"/>
  <c r="M24" i="58"/>
  <c r="O24" i="59" s="1"/>
  <c r="S24" i="59" s="1"/>
  <c r="M52" i="58"/>
  <c r="O52" i="59" s="1"/>
  <c r="M43" i="58"/>
  <c r="O43" i="59" s="1"/>
  <c r="S43" i="59" s="1"/>
  <c r="M16" i="58"/>
  <c r="O16" i="59" s="1"/>
  <c r="M57" i="58"/>
  <c r="O57" i="59" s="1"/>
  <c r="S57" i="59" s="1"/>
  <c r="M26" i="58"/>
  <c r="M22" i="58"/>
  <c r="M11" i="58"/>
  <c r="M25" i="58"/>
  <c r="O25" i="59" s="1"/>
  <c r="S25" i="59" s="1"/>
  <c r="M54" i="58"/>
  <c r="M35" i="58"/>
  <c r="O35" i="59" s="1"/>
  <c r="S35" i="59" s="1"/>
  <c r="M33" i="58"/>
  <c r="O33" i="59" s="1"/>
  <c r="M53" i="58"/>
  <c r="M66" i="58"/>
  <c r="O66" i="59" s="1"/>
  <c r="S66" i="59" s="1"/>
  <c r="M48" i="58"/>
  <c r="M34" i="58"/>
  <c r="O34" i="59" s="1"/>
  <c r="M31" i="58"/>
  <c r="O31" i="59" s="1"/>
  <c r="M21" i="58"/>
  <c r="O21" i="59" s="1"/>
  <c r="M69" i="58"/>
  <c r="M61" i="58"/>
  <c r="O61" i="59"/>
  <c r="S61" i="59" s="1"/>
  <c r="L26" i="59"/>
  <c r="N26" i="59"/>
  <c r="L23" i="59"/>
  <c r="N23" i="59"/>
  <c r="L48" i="59"/>
  <c r="N48" i="59"/>
  <c r="L44" i="59"/>
  <c r="L30" i="59"/>
  <c r="N30" i="59"/>
  <c r="L25" i="59"/>
  <c r="L27" i="59"/>
  <c r="N27" i="59"/>
  <c r="L39" i="59"/>
  <c r="L22" i="59"/>
  <c r="N22" i="59"/>
  <c r="L13" i="59"/>
  <c r="L24" i="59"/>
  <c r="N24" i="59"/>
  <c r="L45" i="59"/>
  <c r="L52" i="59"/>
  <c r="L40" i="59"/>
  <c r="L31" i="59"/>
  <c r="N31" i="59"/>
  <c r="L20" i="59"/>
  <c r="L47" i="59"/>
  <c r="N47" i="59"/>
  <c r="L38" i="59"/>
  <c r="L54" i="59"/>
  <c r="N54" i="59"/>
  <c r="L49" i="59"/>
  <c r="N49" i="59"/>
  <c r="L55" i="59"/>
  <c r="L34" i="59"/>
  <c r="L43" i="59"/>
  <c r="N43" i="59"/>
  <c r="L16" i="59"/>
  <c r="N16" i="59"/>
  <c r="L51" i="59"/>
  <c r="N51" i="59"/>
  <c r="L15" i="59"/>
  <c r="L42" i="59"/>
  <c r="N42" i="59"/>
  <c r="L21" i="59"/>
  <c r="S65" i="60"/>
  <c r="S60" i="60"/>
  <c r="L17" i="61"/>
  <c r="N17" i="61"/>
  <c r="L45" i="61"/>
  <c r="L35" i="61"/>
  <c r="N35" i="61"/>
  <c r="L21" i="61"/>
  <c r="N21" i="61"/>
  <c r="L49" i="61"/>
  <c r="L51" i="61"/>
  <c r="L27" i="61"/>
  <c r="N27" i="61"/>
  <c r="L50" i="61"/>
  <c r="L36" i="61"/>
  <c r="N36" i="61"/>
  <c r="L25" i="61"/>
  <c r="N25" i="61"/>
  <c r="L29" i="61"/>
  <c r="N29" i="61"/>
  <c r="L44" i="61"/>
  <c r="N44" i="61"/>
  <c r="L20" i="61"/>
  <c r="L34" i="61"/>
  <c r="N34" i="61"/>
  <c r="L48" i="61"/>
  <c r="N48" i="61"/>
  <c r="L26" i="61"/>
  <c r="L16" i="61"/>
  <c r="L22" i="61"/>
  <c r="L54" i="61"/>
  <c r="N54" i="61"/>
  <c r="L53" i="61"/>
  <c r="N53" i="61"/>
  <c r="L19" i="61"/>
  <c r="N19" i="61"/>
  <c r="S19" i="61"/>
  <c r="L18" i="61"/>
  <c r="L23" i="61"/>
  <c r="N23" i="61"/>
  <c r="L46" i="61"/>
  <c r="N46" i="61"/>
  <c r="L52" i="61"/>
  <c r="N52" i="61"/>
  <c r="L38" i="61"/>
  <c r="N38" i="61"/>
  <c r="L47" i="61"/>
  <c r="N47" i="61"/>
  <c r="L30" i="61"/>
  <c r="L42" i="61"/>
  <c r="L43" i="61"/>
  <c r="P36" i="59"/>
  <c r="P54" i="60"/>
  <c r="P16" i="59"/>
  <c r="P32" i="60"/>
  <c r="P51" i="60"/>
  <c r="P46" i="56"/>
  <c r="P23" i="61"/>
  <c r="P43" i="60"/>
  <c r="P49" i="54"/>
  <c r="P34" i="57"/>
  <c r="P42" i="57"/>
  <c r="P38" i="56"/>
  <c r="P42" i="60"/>
  <c r="P37" i="52"/>
  <c r="P50" i="52"/>
  <c r="P47" i="53"/>
  <c r="P23" i="58"/>
  <c r="P28" i="58"/>
  <c r="P37" i="58"/>
  <c r="P9" i="54"/>
  <c r="P43" i="58"/>
  <c r="P13" i="58"/>
  <c r="P36" i="58"/>
  <c r="P52" i="58"/>
  <c r="P25" i="54"/>
  <c r="P25" i="59"/>
  <c r="P46" i="61"/>
  <c r="P31" i="54"/>
  <c r="P39" i="54"/>
  <c r="P52" i="56"/>
  <c r="P24" i="59"/>
  <c r="P56" i="60"/>
  <c r="P15" i="60"/>
  <c r="P26" i="55"/>
  <c r="P42" i="54"/>
  <c r="P45" i="57"/>
  <c r="P21" i="58"/>
  <c r="P51" i="56"/>
  <c r="L8" i="54"/>
  <c r="L13" i="54"/>
  <c r="L55" i="54"/>
  <c r="L27" i="54"/>
  <c r="P27" i="54"/>
  <c r="L33" i="54"/>
  <c r="L32" i="54"/>
  <c r="L19" i="54"/>
  <c r="L22" i="54"/>
  <c r="L29" i="54"/>
  <c r="L26" i="54"/>
  <c r="L44" i="56"/>
  <c r="L10" i="1"/>
  <c r="L29" i="53"/>
  <c r="L13" i="52"/>
  <c r="L31" i="52"/>
  <c r="L18" i="55"/>
  <c r="L56" i="55"/>
  <c r="L11" i="55"/>
  <c r="L29" i="1"/>
  <c r="L40" i="61"/>
  <c r="L15" i="61"/>
  <c r="L50" i="59"/>
  <c r="N50" i="59"/>
  <c r="L14" i="59"/>
  <c r="N14" i="59"/>
  <c r="L18" i="59"/>
  <c r="L19" i="59"/>
  <c r="P19" i="59"/>
  <c r="N19" i="59"/>
  <c r="L33" i="59"/>
  <c r="L17" i="59"/>
  <c r="L11" i="56"/>
  <c r="M31" i="57"/>
  <c r="M64" i="57"/>
  <c r="O64" i="58"/>
  <c r="S64" i="58" s="1"/>
  <c r="O63" i="53"/>
  <c r="S63" i="53" s="1"/>
  <c r="O63" i="52"/>
  <c r="O34" i="52"/>
  <c r="O50" i="54"/>
  <c r="O50" i="53"/>
  <c r="O34" i="54"/>
  <c r="O56" i="54"/>
  <c r="O56" i="53"/>
  <c r="M68" i="58"/>
  <c r="O68" i="59" s="1"/>
  <c r="S68" i="59" s="1"/>
  <c r="P27" i="57"/>
  <c r="P34" i="59"/>
  <c r="P37" i="59"/>
  <c r="P25" i="60"/>
  <c r="P53" i="55"/>
  <c r="P28" i="61"/>
  <c r="P12" i="55"/>
  <c r="O53" i="59"/>
  <c r="O53" i="60"/>
  <c r="L31" i="1"/>
  <c r="L15" i="1"/>
  <c r="L40" i="1"/>
  <c r="L28" i="1"/>
  <c r="L5" i="1"/>
  <c r="L5" i="52"/>
  <c r="N5" i="52"/>
  <c r="S5" i="52"/>
  <c r="L21" i="1"/>
  <c r="L56" i="1"/>
  <c r="L20" i="1"/>
  <c r="N20" i="52"/>
  <c r="L53" i="1"/>
  <c r="L48" i="1"/>
  <c r="L27" i="1"/>
  <c r="L18" i="1"/>
  <c r="N18" i="52"/>
  <c r="L12" i="1"/>
  <c r="L16" i="1"/>
  <c r="L52" i="1"/>
  <c r="N52" i="52"/>
  <c r="S52" i="52"/>
  <c r="L38" i="1"/>
  <c r="N38" i="52"/>
  <c r="L19" i="1"/>
  <c r="L50" i="1"/>
  <c r="N50" i="52"/>
  <c r="L49" i="1"/>
  <c r="N49" i="52"/>
  <c r="L11" i="1"/>
  <c r="L47" i="1"/>
  <c r="L25" i="1"/>
  <c r="L51" i="1"/>
  <c r="L22" i="1"/>
  <c r="N22" i="52"/>
  <c r="L32" i="1"/>
  <c r="L41" i="1"/>
  <c r="L55" i="1"/>
  <c r="L44" i="1"/>
  <c r="L33" i="1"/>
  <c r="L7" i="1"/>
  <c r="L6" i="1"/>
  <c r="L9" i="1"/>
  <c r="N9" i="52"/>
  <c r="L35" i="1"/>
  <c r="N35" i="52"/>
  <c r="S35" i="52"/>
  <c r="L24" i="1"/>
  <c r="L26" i="1"/>
  <c r="L30" i="1"/>
  <c r="N30" i="52"/>
  <c r="L23" i="1"/>
  <c r="L13" i="1"/>
  <c r="N13" i="52"/>
  <c r="L54" i="1"/>
  <c r="L17" i="1"/>
  <c r="L8" i="1"/>
  <c r="N8" i="52"/>
  <c r="L56" i="52"/>
  <c r="P56" i="52"/>
  <c r="L19" i="52"/>
  <c r="N19" i="52"/>
  <c r="L32" i="52"/>
  <c r="L46" i="52"/>
  <c r="L42" i="52"/>
  <c r="N42" i="52"/>
  <c r="L29" i="52"/>
  <c r="N29" i="52"/>
  <c r="L48" i="52"/>
  <c r="N48" i="52"/>
  <c r="L11" i="52"/>
  <c r="L21" i="52"/>
  <c r="L54" i="52"/>
  <c r="P54" i="52"/>
  <c r="L25" i="52"/>
  <c r="N25" i="52"/>
  <c r="L36" i="52"/>
  <c r="L41" i="52"/>
  <c r="L16" i="52"/>
  <c r="L51" i="52"/>
  <c r="L6" i="52"/>
  <c r="L44" i="52"/>
  <c r="P44" i="52"/>
  <c r="L23" i="52"/>
  <c r="N23" i="52"/>
  <c r="L7" i="52"/>
  <c r="N7" i="52"/>
  <c r="L47" i="52"/>
  <c r="L53" i="52"/>
  <c r="L55" i="52"/>
  <c r="N55" i="52"/>
  <c r="L17" i="52"/>
  <c r="L34" i="52"/>
  <c r="N34" i="52"/>
  <c r="L12" i="52"/>
  <c r="L27" i="52"/>
  <c r="N27" i="52"/>
  <c r="L26" i="52"/>
  <c r="N26" i="52"/>
  <c r="L43" i="52"/>
  <c r="L24" i="52"/>
  <c r="L33" i="52"/>
  <c r="N33" i="52"/>
  <c r="L10" i="52"/>
  <c r="N10" i="52"/>
  <c r="L15" i="52"/>
  <c r="L49" i="53"/>
  <c r="L36" i="53"/>
  <c r="N36" i="53"/>
  <c r="L9" i="53"/>
  <c r="N9" i="53"/>
  <c r="L46" i="53"/>
  <c r="P46" i="53"/>
  <c r="L45" i="53"/>
  <c r="L28" i="53"/>
  <c r="N28" i="53"/>
  <c r="L30" i="53"/>
  <c r="L39" i="53"/>
  <c r="L16" i="53"/>
  <c r="L48" i="53"/>
  <c r="L26" i="53"/>
  <c r="L11" i="53"/>
  <c r="N11" i="53"/>
  <c r="L12" i="53"/>
  <c r="L41" i="53"/>
  <c r="N41" i="53"/>
  <c r="L18" i="53"/>
  <c r="L43" i="53"/>
  <c r="N43" i="53"/>
  <c r="L38" i="53"/>
  <c r="N38" i="53"/>
  <c r="L23" i="53"/>
  <c r="L51" i="53"/>
  <c r="L55" i="53"/>
  <c r="P55" i="53"/>
  <c r="L7" i="53"/>
  <c r="L32" i="53"/>
  <c r="L56" i="53"/>
  <c r="L31" i="53"/>
  <c r="N31" i="53"/>
  <c r="L13" i="53"/>
  <c r="L21" i="53"/>
  <c r="N21" i="53"/>
  <c r="L42" i="53"/>
  <c r="L25" i="53"/>
  <c r="L8" i="53"/>
  <c r="L44" i="53"/>
  <c r="L40" i="53"/>
  <c r="L15" i="53"/>
  <c r="L53" i="53"/>
  <c r="N53" i="53"/>
  <c r="L22" i="53"/>
  <c r="N22" i="53"/>
  <c r="L50" i="53"/>
  <c r="L34" i="53"/>
  <c r="L33" i="53"/>
  <c r="L52" i="53"/>
  <c r="N52" i="53"/>
  <c r="L19" i="53"/>
  <c r="L10" i="53"/>
  <c r="L24" i="53"/>
  <c r="L27" i="53"/>
  <c r="P20" i="60"/>
  <c r="P38" i="54"/>
  <c r="P29" i="54"/>
  <c r="P42" i="58"/>
  <c r="P14" i="55"/>
  <c r="P48" i="55"/>
  <c r="P36" i="52"/>
  <c r="P28" i="56"/>
  <c r="P50" i="55"/>
  <c r="P30" i="58"/>
  <c r="P49" i="59"/>
  <c r="P27" i="61"/>
  <c r="P47" i="61"/>
  <c r="P34" i="55"/>
  <c r="P36" i="57"/>
  <c r="P33" i="56"/>
  <c r="P16" i="60"/>
  <c r="P19" i="61"/>
  <c r="P29" i="61"/>
  <c r="P8" i="52"/>
  <c r="P53" i="56"/>
  <c r="P52" i="53"/>
  <c r="P46" i="60"/>
  <c r="P11" i="56"/>
  <c r="P30" i="56"/>
  <c r="P44" i="55"/>
  <c r="P53" i="52"/>
  <c r="P9" i="52"/>
  <c r="P27" i="52"/>
  <c r="P41" i="53"/>
  <c r="P22" i="58"/>
  <c r="P49" i="58"/>
  <c r="P33" i="54"/>
  <c r="N23" i="56"/>
  <c r="P35" i="56"/>
  <c r="P24" i="55"/>
  <c r="S24" i="55"/>
  <c r="P29" i="52"/>
  <c r="P12" i="52"/>
  <c r="P28" i="53"/>
  <c r="P53" i="53"/>
  <c r="P55" i="56"/>
  <c r="P56" i="54"/>
  <c r="P54" i="54"/>
  <c r="P22" i="57"/>
  <c r="P27" i="60"/>
  <c r="P47" i="60"/>
  <c r="P33" i="60"/>
  <c r="P44" i="61"/>
  <c r="P25" i="61"/>
  <c r="P38" i="55"/>
  <c r="P30" i="55"/>
  <c r="P48" i="52"/>
  <c r="P16" i="53"/>
  <c r="P35" i="53"/>
  <c r="P54" i="57"/>
  <c r="P53" i="54"/>
  <c r="P51" i="54"/>
  <c r="P36" i="53"/>
  <c r="P30" i="54"/>
  <c r="L17" i="54"/>
  <c r="N17" i="54"/>
  <c r="L11" i="54"/>
  <c r="N11" i="54"/>
  <c r="L48" i="54"/>
  <c r="L47" i="54"/>
  <c r="L10" i="54"/>
  <c r="N10" i="55"/>
  <c r="S10" i="55"/>
  <c r="L41" i="54"/>
  <c r="N41" i="54"/>
  <c r="L17" i="56"/>
  <c r="L39" i="56"/>
  <c r="L46" i="1"/>
  <c r="L20" i="53"/>
  <c r="L14" i="52"/>
  <c r="L40" i="52"/>
  <c r="L36" i="1"/>
  <c r="L56" i="61"/>
  <c r="N56" i="61"/>
  <c r="L41" i="61"/>
  <c r="L55" i="61"/>
  <c r="L31" i="61"/>
  <c r="L56" i="59"/>
  <c r="L28" i="59"/>
  <c r="L32" i="59"/>
  <c r="L26" i="56"/>
  <c r="L22" i="56"/>
  <c r="N22" i="56"/>
  <c r="L24" i="61"/>
  <c r="N24" i="61"/>
  <c r="O68" i="56"/>
  <c r="S68" i="56" s="1"/>
  <c r="O59" i="53"/>
  <c r="S59" i="53" s="1"/>
  <c r="O59" i="54"/>
  <c r="S59" i="54" s="1"/>
  <c r="O30" i="53"/>
  <c r="O30" i="54"/>
  <c r="M14" i="58"/>
  <c r="O14" i="59" s="1"/>
  <c r="P22" i="53"/>
  <c r="P14" i="58"/>
  <c r="P38" i="58"/>
  <c r="P40" i="54"/>
  <c r="P21" i="61"/>
  <c r="P47" i="56"/>
  <c r="P42" i="52"/>
  <c r="P21" i="56"/>
  <c r="S64" i="60"/>
  <c r="O17" i="55"/>
  <c r="O16" i="55"/>
  <c r="O16" i="56"/>
  <c r="S16" i="56" s="1"/>
  <c r="O48" i="55"/>
  <c r="O48" i="56"/>
  <c r="P33" i="53"/>
  <c r="P29" i="58"/>
  <c r="P54" i="58"/>
  <c r="P50" i="56"/>
  <c r="P36" i="54"/>
  <c r="P20" i="54"/>
  <c r="P23" i="54"/>
  <c r="P19" i="54"/>
  <c r="P46" i="54"/>
  <c r="P37" i="57"/>
  <c r="P21" i="54"/>
  <c r="O33" i="61"/>
  <c r="O57" i="60"/>
  <c r="S57" i="60" s="1"/>
  <c r="O16" i="52"/>
  <c r="O11" i="55"/>
  <c r="O22" i="52"/>
  <c r="O61" i="53"/>
  <c r="S61" i="53"/>
  <c r="O61" i="52"/>
  <c r="O58" i="55"/>
  <c r="S58" i="55" s="1"/>
  <c r="P11" i="53"/>
  <c r="P40" i="55"/>
  <c r="S67" i="60"/>
  <c r="O25" i="56"/>
  <c r="O36" i="53"/>
  <c r="O18" i="52"/>
  <c r="O53" i="52"/>
  <c r="O37" i="53"/>
  <c r="O66" i="53"/>
  <c r="S66" i="53" s="1"/>
  <c r="O42" i="61"/>
  <c r="O23" i="60"/>
  <c r="O23" i="61"/>
  <c r="O52" i="61"/>
  <c r="O19" i="55"/>
  <c r="O21" i="55"/>
  <c r="O34" i="55"/>
  <c r="O29" i="54"/>
  <c r="O29" i="53"/>
  <c r="O16" i="54"/>
  <c r="O49" i="61"/>
  <c r="O34" i="61"/>
  <c r="O46" i="52"/>
  <c r="O49" i="55"/>
  <c r="O38" i="53"/>
  <c r="O8" i="53"/>
  <c r="O50" i="52"/>
  <c r="O33" i="60"/>
  <c r="O63" i="60"/>
  <c r="S63" i="60" s="1"/>
  <c r="M68" i="53"/>
  <c r="O68" i="53" s="1"/>
  <c r="S68" i="53" s="1"/>
  <c r="M20" i="53"/>
  <c r="M57" i="53"/>
  <c r="M13" i="53"/>
  <c r="M49" i="53"/>
  <c r="M23" i="53"/>
  <c r="O23" i="54" s="1"/>
  <c r="M52" i="53"/>
  <c r="M48" i="53"/>
  <c r="M62" i="53"/>
  <c r="O62" i="53" s="1"/>
  <c r="S62" i="53" s="1"/>
  <c r="M44" i="53"/>
  <c r="O44" i="54" s="1"/>
  <c r="M28" i="53"/>
  <c r="O28" i="54" s="1"/>
  <c r="S28" i="54" s="1"/>
  <c r="M65" i="53"/>
  <c r="O65" i="54" s="1"/>
  <c r="S65" i="54" s="1"/>
  <c r="M54" i="53"/>
  <c r="O54" i="54" s="1"/>
  <c r="M15" i="53"/>
  <c r="M19" i="53"/>
  <c r="O19" i="54" s="1"/>
  <c r="S19" i="54" s="1"/>
  <c r="M18" i="53"/>
  <c r="O18" i="53" s="1"/>
  <c r="M24" i="53"/>
  <c r="O24" i="54" s="1"/>
  <c r="M42" i="53"/>
  <c r="O42" i="53" s="1"/>
  <c r="S42" i="53" s="1"/>
  <c r="M31" i="53"/>
  <c r="O31" i="54" s="1"/>
  <c r="M27" i="53"/>
  <c r="M40" i="53"/>
  <c r="O40" i="53"/>
  <c r="S40" i="53" s="1"/>
  <c r="M33" i="53"/>
  <c r="O33" i="53" s="1"/>
  <c r="S33" i="53" s="1"/>
  <c r="M10" i="53"/>
  <c r="O10" i="54" s="1"/>
  <c r="S10" i="54" s="1"/>
  <c r="M47" i="53"/>
  <c r="M58" i="53"/>
  <c r="O58" i="54"/>
  <c r="S58" i="54" s="1"/>
  <c r="M53" i="53"/>
  <c r="O53" i="53" s="1"/>
  <c r="S53" i="53" s="1"/>
  <c r="M41" i="53"/>
  <c r="O41" i="54" s="1"/>
  <c r="S41" i="54" s="1"/>
  <c r="M55" i="53"/>
  <c r="O55" i="54" s="1"/>
  <c r="M60" i="53"/>
  <c r="O60" i="54" s="1"/>
  <c r="S60" i="54" s="1"/>
  <c r="M22" i="53"/>
  <c r="O22" i="54" s="1"/>
  <c r="M32" i="53"/>
  <c r="M11" i="53"/>
  <c r="O11" i="54" s="1"/>
  <c r="S11" i="54" s="1"/>
  <c r="O51" i="52"/>
  <c r="O13" i="55"/>
  <c r="O69" i="56"/>
  <c r="S69" i="56" s="1"/>
  <c r="O59" i="55"/>
  <c r="S59" i="55" s="1"/>
  <c r="O12" i="54"/>
  <c r="O25" i="53"/>
  <c r="O65" i="53"/>
  <c r="S65" i="53" s="1"/>
  <c r="O67" i="53"/>
  <c r="S67" i="53" s="1"/>
  <c r="O58" i="61"/>
  <c r="O43" i="56"/>
  <c r="O8" i="54"/>
  <c r="O58" i="53"/>
  <c r="S58" i="53" s="1"/>
  <c r="O33" i="52"/>
  <c r="O65" i="52"/>
  <c r="S65" i="52"/>
  <c r="O66" i="52"/>
  <c r="S66" i="52"/>
  <c r="O6" i="52"/>
  <c r="O57" i="52"/>
  <c r="S57" i="52" s="1"/>
  <c r="O25" i="60"/>
  <c r="O42" i="54"/>
  <c r="O23" i="59"/>
  <c r="I14" i="60"/>
  <c r="Q14" i="61"/>
  <c r="I8" i="54"/>
  <c r="Q8" i="55"/>
  <c r="J17" i="61"/>
  <c r="P17" i="61"/>
  <c r="G17" i="61"/>
  <c r="I17" i="61"/>
  <c r="G22" i="55"/>
  <c r="I22" i="55"/>
  <c r="J22" i="55"/>
  <c r="P22" i="55"/>
  <c r="G36" i="55"/>
  <c r="I36" i="55"/>
  <c r="J36" i="55"/>
  <c r="P36" i="55"/>
  <c r="S36" i="55"/>
  <c r="G50" i="57"/>
  <c r="G8" i="55"/>
  <c r="I8" i="55"/>
  <c r="J6" i="53"/>
  <c r="G44" i="60"/>
  <c r="I44" i="60"/>
  <c r="J44" i="60"/>
  <c r="P44" i="60"/>
  <c r="G35" i="55"/>
  <c r="I35" i="55"/>
  <c r="J35" i="55"/>
  <c r="P35" i="55"/>
  <c r="G13" i="60"/>
  <c r="I13" i="60"/>
  <c r="G52" i="61"/>
  <c r="I52" i="61"/>
  <c r="J52" i="61"/>
  <c r="P52" i="61"/>
  <c r="G15" i="55"/>
  <c r="I15" i="55"/>
  <c r="J15" i="55"/>
  <c r="P15" i="55"/>
  <c r="G22" i="52"/>
  <c r="I22" i="52"/>
  <c r="J22" i="52"/>
  <c r="P22" i="52"/>
  <c r="S22" i="52"/>
  <c r="J7" i="54"/>
  <c r="G7" i="54"/>
  <c r="I7" i="54"/>
  <c r="J47" i="59"/>
  <c r="P47" i="59"/>
  <c r="G47" i="59"/>
  <c r="I47" i="59"/>
  <c r="G38" i="61"/>
  <c r="I38" i="61"/>
  <c r="J38" i="61"/>
  <c r="P38" i="61"/>
  <c r="S38" i="61"/>
  <c r="G11" i="52"/>
  <c r="I11" i="52"/>
  <c r="J11" i="52"/>
  <c r="P11" i="52"/>
  <c r="G6" i="52"/>
  <c r="G14" i="61"/>
  <c r="I14" i="61"/>
  <c r="G7" i="53"/>
  <c r="I11" i="57"/>
  <c r="G12" i="58"/>
  <c r="G36" i="58"/>
  <c r="I36" i="58"/>
  <c r="J8" i="54"/>
  <c r="P8" i="54"/>
  <c r="G29" i="52"/>
  <c r="I29" i="52"/>
  <c r="G44" i="57"/>
  <c r="I44" i="57"/>
  <c r="G54" i="59"/>
  <c r="I54" i="59"/>
  <c r="J32" i="55"/>
  <c r="P32" i="55"/>
  <c r="G43" i="58"/>
  <c r="I43" i="58"/>
  <c r="J34" i="58"/>
  <c r="P34" i="58"/>
  <c r="J45" i="54"/>
  <c r="P45" i="54"/>
  <c r="E13" i="59"/>
  <c r="F13" i="59"/>
  <c r="J13" i="59"/>
  <c r="P13" i="59"/>
  <c r="G49" i="60"/>
  <c r="I49" i="60"/>
  <c r="J34" i="54"/>
  <c r="P34" i="54"/>
  <c r="G42" i="53"/>
  <c r="I42" i="53"/>
  <c r="G19" i="60"/>
  <c r="I19" i="60"/>
  <c r="G27" i="52"/>
  <c r="I27" i="52"/>
  <c r="G47" i="53"/>
  <c r="I47" i="53"/>
  <c r="G37" i="60"/>
  <c r="I37" i="60"/>
  <c r="G23" i="55"/>
  <c r="I23" i="55"/>
  <c r="G27" i="1"/>
  <c r="I27" i="1"/>
  <c r="G20" i="61"/>
  <c r="I20" i="61"/>
  <c r="G33" i="56"/>
  <c r="I33" i="56"/>
  <c r="J7" i="1"/>
  <c r="J39" i="60"/>
  <c r="P39" i="60"/>
  <c r="J40" i="60"/>
  <c r="P40" i="60"/>
  <c r="J34" i="61"/>
  <c r="P34" i="61"/>
  <c r="G46" i="55"/>
  <c r="I46" i="55"/>
  <c r="J46" i="55"/>
  <c r="P46" i="55"/>
  <c r="J34" i="53"/>
  <c r="P34" i="53"/>
  <c r="G34" i="53"/>
  <c r="I34" i="53"/>
  <c r="G46" i="57"/>
  <c r="G46" i="61"/>
  <c r="I46" i="61"/>
  <c r="G8" i="1"/>
  <c r="I8" i="1"/>
  <c r="G56" i="1"/>
  <c r="I56" i="1"/>
  <c r="J38" i="52"/>
  <c r="P38" i="52"/>
  <c r="S38" i="52"/>
  <c r="J45" i="55"/>
  <c r="P45" i="55"/>
  <c r="S45" i="55"/>
  <c r="G25" i="60"/>
  <c r="I25" i="60"/>
  <c r="G15" i="1"/>
  <c r="I15" i="1"/>
  <c r="G27" i="54"/>
  <c r="I27" i="54"/>
  <c r="G24" i="55"/>
  <c r="I24" i="55"/>
  <c r="G32" i="52"/>
  <c r="I32" i="52"/>
  <c r="G35" i="61"/>
  <c r="I35" i="61"/>
  <c r="G16" i="61"/>
  <c r="I16" i="61"/>
  <c r="G54" i="53"/>
  <c r="I54" i="53"/>
  <c r="J53" i="59"/>
  <c r="P53" i="59"/>
  <c r="G53" i="59"/>
  <c r="I53" i="59"/>
  <c r="J17" i="58"/>
  <c r="P17" i="58"/>
  <c r="G17" i="58"/>
  <c r="I17" i="58"/>
  <c r="J21" i="53"/>
  <c r="P21" i="53"/>
  <c r="G21" i="53"/>
  <c r="I21" i="53"/>
  <c r="G11" i="58"/>
  <c r="I11" i="58"/>
  <c r="G14" i="58"/>
  <c r="I14" i="58"/>
  <c r="G23" i="52"/>
  <c r="I23" i="52"/>
  <c r="G9" i="52"/>
  <c r="I9" i="52"/>
  <c r="G24" i="1"/>
  <c r="I24" i="1"/>
  <c r="G44" i="59"/>
  <c r="I44" i="59"/>
  <c r="G39" i="58"/>
  <c r="I39" i="58"/>
  <c r="J31" i="60"/>
  <c r="P31" i="60"/>
  <c r="J36" i="61"/>
  <c r="P36" i="61"/>
  <c r="S36" i="61"/>
  <c r="J52" i="55"/>
  <c r="P52" i="55"/>
  <c r="G52" i="55"/>
  <c r="I52" i="55"/>
  <c r="J19" i="52"/>
  <c r="P19" i="52"/>
  <c r="G19" i="52"/>
  <c r="I19" i="52"/>
  <c r="G22" i="58"/>
  <c r="I22" i="58"/>
  <c r="J43" i="53"/>
  <c r="P43" i="53"/>
  <c r="J10" i="52"/>
  <c r="J37" i="53"/>
  <c r="P37" i="53"/>
  <c r="S37" i="53"/>
  <c r="J47" i="58"/>
  <c r="P47" i="58"/>
  <c r="G49" i="56"/>
  <c r="I49" i="56"/>
  <c r="E49" i="56"/>
  <c r="F49" i="56"/>
  <c r="J49" i="56"/>
  <c r="P49" i="56"/>
  <c r="E32" i="56"/>
  <c r="F32" i="56"/>
  <c r="J32" i="56"/>
  <c r="P32" i="56"/>
  <c r="E16" i="56"/>
  <c r="F16" i="56"/>
  <c r="J16" i="56"/>
  <c r="P16" i="56"/>
  <c r="J13" i="53"/>
  <c r="P13" i="53"/>
  <c r="I36" i="56"/>
  <c r="J36" i="56"/>
  <c r="P36" i="56"/>
  <c r="J33" i="61"/>
  <c r="P33" i="61"/>
  <c r="E41" i="56"/>
  <c r="F41" i="56"/>
  <c r="J41" i="56"/>
  <c r="P41" i="56"/>
  <c r="S41" i="56"/>
  <c r="S52" i="61"/>
  <c r="S34" i="55"/>
  <c r="E24" i="61"/>
  <c r="F24" i="61"/>
  <c r="J24" i="61"/>
  <c r="G34" i="56"/>
  <c r="I34" i="56"/>
  <c r="K3" i="50"/>
  <c r="K5" i="50"/>
  <c r="K4" i="50"/>
  <c r="D35" i="1"/>
  <c r="D18" i="1"/>
  <c r="D17" i="1"/>
  <c r="D52" i="1"/>
  <c r="D41" i="1"/>
  <c r="D30" i="1"/>
  <c r="D46" i="1"/>
  <c r="S68" i="52"/>
  <c r="S63" i="52"/>
  <c r="D54" i="56"/>
  <c r="D14" i="56"/>
  <c r="D27" i="56"/>
  <c r="D10" i="56"/>
  <c r="D40" i="56"/>
  <c r="D24" i="56"/>
  <c r="D31" i="56"/>
  <c r="H29" i="57"/>
  <c r="H14" i="57"/>
  <c r="J14" i="57"/>
  <c r="P14" i="57"/>
  <c r="H23" i="57"/>
  <c r="J23" i="57"/>
  <c r="P23" i="57"/>
  <c r="H24" i="57"/>
  <c r="I24" i="57"/>
  <c r="H50" i="57"/>
  <c r="J50" i="57"/>
  <c r="P50" i="57"/>
  <c r="H33" i="57"/>
  <c r="I33" i="57"/>
  <c r="H20" i="57"/>
  <c r="H53" i="57"/>
  <c r="I53" i="57"/>
  <c r="H47" i="57"/>
  <c r="I47" i="57"/>
  <c r="H26" i="57"/>
  <c r="H56" i="57"/>
  <c r="J56" i="57"/>
  <c r="P56" i="57"/>
  <c r="H46" i="57"/>
  <c r="J46" i="57"/>
  <c r="P46" i="57"/>
  <c r="H25" i="57"/>
  <c r="J25" i="57"/>
  <c r="P25" i="57"/>
  <c r="H21" i="57"/>
  <c r="J21" i="57"/>
  <c r="P21" i="57"/>
  <c r="H18" i="57"/>
  <c r="I18" i="57"/>
  <c r="H19" i="57"/>
  <c r="J19" i="57"/>
  <c r="P19" i="57"/>
  <c r="H52" i="57"/>
  <c r="I52" i="57"/>
  <c r="C30" i="59"/>
  <c r="D30" i="59"/>
  <c r="C23" i="59"/>
  <c r="D23" i="59"/>
  <c r="C42" i="59"/>
  <c r="D42" i="59"/>
  <c r="C41" i="59"/>
  <c r="D41" i="59"/>
  <c r="C27" i="59"/>
  <c r="D27" i="59"/>
  <c r="C29" i="59"/>
  <c r="D29" i="59"/>
  <c r="C22" i="59"/>
  <c r="D22" i="59"/>
  <c r="C48" i="59"/>
  <c r="D48" i="59"/>
  <c r="C14" i="59"/>
  <c r="D14" i="59"/>
  <c r="C31" i="59"/>
  <c r="D31" i="59"/>
  <c r="C26" i="59"/>
  <c r="D26" i="59"/>
  <c r="C51" i="59"/>
  <c r="D51" i="59"/>
  <c r="S57" i="61"/>
  <c r="S58" i="61"/>
  <c r="S61" i="52"/>
  <c r="S25" i="61"/>
  <c r="S69" i="61"/>
  <c r="O44" i="56"/>
  <c r="O55" i="57"/>
  <c r="O55" i="56"/>
  <c r="S55" i="56" s="1"/>
  <c r="O44" i="58"/>
  <c r="O44" i="57"/>
  <c r="O12" i="58"/>
  <c r="O12" i="57"/>
  <c r="O65" i="58"/>
  <c r="S65" i="58" s="1"/>
  <c r="O65" i="57"/>
  <c r="S65" i="57" s="1"/>
  <c r="O67" i="56"/>
  <c r="S67" i="56" s="1"/>
  <c r="O67" i="55"/>
  <c r="S67" i="55" s="1"/>
  <c r="O25" i="55"/>
  <c r="O25" i="54"/>
  <c r="O48" i="59"/>
  <c r="O48" i="58"/>
  <c r="O29" i="61"/>
  <c r="S29" i="61" s="1"/>
  <c r="O29" i="60"/>
  <c r="O64" i="61"/>
  <c r="S64" i="61" s="1"/>
  <c r="O13" i="59"/>
  <c r="O13" i="58"/>
  <c r="S13" i="58" s="1"/>
  <c r="O39" i="60"/>
  <c r="O39" i="59"/>
  <c r="O57" i="58"/>
  <c r="S57" i="58" s="1"/>
  <c r="O57" i="57"/>
  <c r="S57" i="57" s="1"/>
  <c r="O38" i="58"/>
  <c r="S38" i="58" s="1"/>
  <c r="O38" i="57"/>
  <c r="O61" i="55"/>
  <c r="S61" i="55" s="1"/>
  <c r="O61" i="56"/>
  <c r="S61" i="56" s="1"/>
  <c r="O53" i="55"/>
  <c r="S53" i="55" s="1"/>
  <c r="O53" i="56"/>
  <c r="S53" i="56" s="1"/>
  <c r="O28" i="55"/>
  <c r="O28" i="56"/>
  <c r="O57" i="55"/>
  <c r="S57" i="55" s="1"/>
  <c r="O57" i="56"/>
  <c r="S57" i="56" s="1"/>
  <c r="O23" i="58"/>
  <c r="S23" i="58" s="1"/>
  <c r="O23" i="57"/>
  <c r="O67" i="58"/>
  <c r="S67" i="58" s="1"/>
  <c r="O67" i="57"/>
  <c r="S67" i="57" s="1"/>
  <c r="O53" i="58"/>
  <c r="O53" i="57"/>
  <c r="O41" i="58"/>
  <c r="O41" i="57"/>
  <c r="O19" i="57"/>
  <c r="O19" i="56"/>
  <c r="O62" i="56"/>
  <c r="S62" i="56" s="1"/>
  <c r="O62" i="57"/>
  <c r="S62" i="57" s="1"/>
  <c r="O35" i="56"/>
  <c r="S35" i="56" s="1"/>
  <c r="O35" i="57"/>
  <c r="O15" i="57"/>
  <c r="O15" i="56"/>
  <c r="O45" i="57"/>
  <c r="O45" i="56"/>
  <c r="O31" i="57"/>
  <c r="O31" i="56"/>
  <c r="O26" i="52"/>
  <c r="O26" i="53"/>
  <c r="O7" i="53"/>
  <c r="O7" i="52"/>
  <c r="S7" i="52" s="1"/>
  <c r="O60" i="53"/>
  <c r="S60" i="53"/>
  <c r="O60" i="52"/>
  <c r="S60" i="52"/>
  <c r="O17" i="52"/>
  <c r="O17" i="53"/>
  <c r="S17" i="53" s="1"/>
  <c r="O44" i="52"/>
  <c r="O52" i="53"/>
  <c r="S52" i="53" s="1"/>
  <c r="O52" i="54"/>
  <c r="O13" i="53"/>
  <c r="S13" i="53" s="1"/>
  <c r="O13" i="54"/>
  <c r="O57" i="53"/>
  <c r="S57" i="53" s="1"/>
  <c r="O57" i="54"/>
  <c r="S57" i="54" s="1"/>
  <c r="O20" i="54"/>
  <c r="O20" i="53"/>
  <c r="O23" i="53"/>
  <c r="O38" i="59"/>
  <c r="O21" i="60"/>
  <c r="O21" i="61"/>
  <c r="S21" i="61" s="1"/>
  <c r="O15" i="59"/>
  <c r="O15" i="60"/>
  <c r="O22" i="59"/>
  <c r="O22" i="60"/>
  <c r="O64" i="54"/>
  <c r="S64" i="54" s="1"/>
  <c r="O64" i="55"/>
  <c r="S64" i="55" s="1"/>
  <c r="O68" i="55"/>
  <c r="S68" i="55" s="1"/>
  <c r="O68" i="54"/>
  <c r="S68" i="54" s="1"/>
  <c r="O69" i="54"/>
  <c r="S69" i="54" s="1"/>
  <c r="O69" i="55"/>
  <c r="S69" i="55" s="1"/>
  <c r="O43" i="54"/>
  <c r="O43" i="55"/>
  <c r="O14" i="52"/>
  <c r="S14" i="52" s="1"/>
  <c r="O14" i="53"/>
  <c r="O10" i="52"/>
  <c r="S10" i="52" s="1"/>
  <c r="O10" i="53"/>
  <c r="O45" i="52"/>
  <c r="S45" i="52" s="1"/>
  <c r="O45" i="53"/>
  <c r="O32" i="59"/>
  <c r="S32" i="59" s="1"/>
  <c r="O32" i="60"/>
  <c r="O58" i="59"/>
  <c r="S58" i="59" s="1"/>
  <c r="O58" i="60"/>
  <c r="S58" i="60" s="1"/>
  <c r="O64" i="52"/>
  <c r="S64" i="52" s="1"/>
  <c r="O64" i="53"/>
  <c r="S64" i="53" s="1"/>
  <c r="O19" i="52"/>
  <c r="S19" i="52" s="1"/>
  <c r="O19" i="53"/>
  <c r="O24" i="53"/>
  <c r="O24" i="52"/>
  <c r="S24" i="52" s="1"/>
  <c r="O41" i="60"/>
  <c r="S41" i="60" s="1"/>
  <c r="O41" i="61"/>
  <c r="S41" i="61" s="1"/>
  <c r="O55" i="60"/>
  <c r="O55" i="61"/>
  <c r="S55" i="61" s="1"/>
  <c r="O49" i="58"/>
  <c r="S49" i="58"/>
  <c r="S44" i="52"/>
  <c r="P24" i="61"/>
  <c r="P10" i="52"/>
  <c r="S34" i="61"/>
  <c r="O44" i="53"/>
  <c r="O11" i="53"/>
  <c r="O49" i="54"/>
  <c r="O49" i="53"/>
  <c r="S49" i="53" s="1"/>
  <c r="O31" i="53"/>
  <c r="O53" i="54"/>
  <c r="P33" i="52"/>
  <c r="N32" i="59"/>
  <c r="P32" i="59"/>
  <c r="N55" i="61"/>
  <c r="P55" i="61"/>
  <c r="N40" i="52"/>
  <c r="N39" i="56"/>
  <c r="P39" i="56"/>
  <c r="P41" i="54"/>
  <c r="P7" i="52"/>
  <c r="P22" i="56"/>
  <c r="P53" i="61"/>
  <c r="S8" i="52"/>
  <c r="P40" i="52"/>
  <c r="N24" i="53"/>
  <c r="S24" i="53"/>
  <c r="P24" i="53"/>
  <c r="N33" i="53"/>
  <c r="P8" i="53"/>
  <c r="N8" i="53"/>
  <c r="S8" i="53"/>
  <c r="N13" i="53"/>
  <c r="N7" i="53"/>
  <c r="P7" i="53"/>
  <c r="S7" i="53"/>
  <c r="L7" i="54"/>
  <c r="N7" i="54"/>
  <c r="N12" i="53"/>
  <c r="P12" i="53"/>
  <c r="N16" i="53"/>
  <c r="N45" i="53"/>
  <c r="S45" i="53"/>
  <c r="N45" i="54"/>
  <c r="P45" i="53"/>
  <c r="N49" i="53"/>
  <c r="P49" i="53"/>
  <c r="N49" i="54"/>
  <c r="S49" i="54"/>
  <c r="N24" i="52"/>
  <c r="P24" i="52"/>
  <c r="N12" i="52"/>
  <c r="S12" i="52"/>
  <c r="N53" i="52"/>
  <c r="S53" i="52"/>
  <c r="N44" i="52"/>
  <c r="N41" i="52"/>
  <c r="P41" i="52"/>
  <c r="P21" i="52"/>
  <c r="N21" i="52"/>
  <c r="S42" i="52"/>
  <c r="N56" i="52"/>
  <c r="S56" i="52"/>
  <c r="S50" i="52"/>
  <c r="O59" i="58"/>
  <c r="S59" i="58" s="1"/>
  <c r="O31" i="58"/>
  <c r="N15" i="61"/>
  <c r="S15" i="61"/>
  <c r="P15" i="61"/>
  <c r="N56" i="55"/>
  <c r="P56" i="55"/>
  <c r="P29" i="53"/>
  <c r="N29" i="53"/>
  <c r="N29" i="55"/>
  <c r="N29" i="54"/>
  <c r="S29" i="54"/>
  <c r="N33" i="54"/>
  <c r="N8" i="54"/>
  <c r="S8" i="54"/>
  <c r="L8" i="55"/>
  <c r="N8" i="55"/>
  <c r="S8" i="55"/>
  <c r="P13" i="52"/>
  <c r="P50" i="59"/>
  <c r="S50" i="59"/>
  <c r="S34" i="54"/>
  <c r="O41" i="53"/>
  <c r="S41" i="53" s="1"/>
  <c r="O47" i="54"/>
  <c r="S47" i="54" s="1"/>
  <c r="O47" i="53"/>
  <c r="S47" i="53" s="1"/>
  <c r="O27" i="53"/>
  <c r="O27" i="54"/>
  <c r="O48" i="53"/>
  <c r="S48" i="53" s="1"/>
  <c r="O48" i="54"/>
  <c r="S48" i="54" s="1"/>
  <c r="P11" i="54"/>
  <c r="N28" i="59"/>
  <c r="P28" i="59"/>
  <c r="N41" i="61"/>
  <c r="P41" i="61"/>
  <c r="N14" i="52"/>
  <c r="N14" i="53"/>
  <c r="S14" i="53"/>
  <c r="N17" i="56"/>
  <c r="P17" i="56"/>
  <c r="N47" i="54"/>
  <c r="P47" i="54"/>
  <c r="N10" i="53"/>
  <c r="S10" i="53"/>
  <c r="N34" i="53"/>
  <c r="S34" i="53"/>
  <c r="N34" i="54"/>
  <c r="N15" i="53"/>
  <c r="P15" i="53"/>
  <c r="P25" i="53"/>
  <c r="N25" i="53"/>
  <c r="N55" i="53"/>
  <c r="S11" i="53"/>
  <c r="N39" i="53"/>
  <c r="P39" i="53"/>
  <c r="N46" i="53"/>
  <c r="S46" i="53"/>
  <c r="N46" i="54"/>
  <c r="S46" i="54"/>
  <c r="N15" i="52"/>
  <c r="P15" i="52"/>
  <c r="N43" i="52"/>
  <c r="P43" i="52"/>
  <c r="N47" i="52"/>
  <c r="P47" i="52"/>
  <c r="N47" i="53"/>
  <c r="L6" i="53"/>
  <c r="N6" i="53"/>
  <c r="N6" i="52"/>
  <c r="P6" i="52"/>
  <c r="S6" i="52"/>
  <c r="N36" i="52"/>
  <c r="N11" i="52"/>
  <c r="N46" i="52"/>
  <c r="P46" i="52"/>
  <c r="P23" i="52"/>
  <c r="N11" i="56"/>
  <c r="N18" i="59"/>
  <c r="P18" i="59"/>
  <c r="N40" i="61"/>
  <c r="P40" i="61"/>
  <c r="N18" i="55"/>
  <c r="P18" i="55"/>
  <c r="N22" i="54"/>
  <c r="P22" i="54"/>
  <c r="N27" i="54"/>
  <c r="N27" i="55"/>
  <c r="S27" i="55"/>
  <c r="P14" i="52"/>
  <c r="P10" i="53"/>
  <c r="N43" i="61"/>
  <c r="P43" i="61"/>
  <c r="N18" i="61"/>
  <c r="P18" i="61"/>
  <c r="N22" i="61"/>
  <c r="P22" i="61"/>
  <c r="N51" i="61"/>
  <c r="P51" i="61"/>
  <c r="N45" i="61"/>
  <c r="P45" i="61"/>
  <c r="S45" i="61"/>
  <c r="N15" i="59"/>
  <c r="P15" i="59"/>
  <c r="N34" i="59"/>
  <c r="N34" i="60"/>
  <c r="N38" i="59"/>
  <c r="S38" i="59"/>
  <c r="P38" i="59"/>
  <c r="N40" i="59"/>
  <c r="S40" i="59"/>
  <c r="P40" i="59"/>
  <c r="N13" i="59"/>
  <c r="L13" i="60"/>
  <c r="N13" i="60"/>
  <c r="N25" i="59"/>
  <c r="N25" i="60"/>
  <c r="S25" i="60"/>
  <c r="O54" i="59"/>
  <c r="S54" i="59" s="1"/>
  <c r="O54" i="58"/>
  <c r="O26" i="59"/>
  <c r="O26" i="58"/>
  <c r="S15" i="59"/>
  <c r="O32" i="54"/>
  <c r="O32" i="53"/>
  <c r="O22" i="53"/>
  <c r="S22" i="53" s="1"/>
  <c r="N56" i="59"/>
  <c r="P56" i="59"/>
  <c r="N20" i="53"/>
  <c r="S20" i="53"/>
  <c r="P20" i="53"/>
  <c r="N48" i="54"/>
  <c r="P48" i="54"/>
  <c r="N19" i="53"/>
  <c r="S19" i="53"/>
  <c r="P19" i="53"/>
  <c r="P50" i="53"/>
  <c r="N50" i="53"/>
  <c r="S50" i="53"/>
  <c r="N40" i="53"/>
  <c r="P40" i="53"/>
  <c r="N42" i="53"/>
  <c r="P42" i="53"/>
  <c r="N42" i="54"/>
  <c r="S42" i="54"/>
  <c r="P56" i="53"/>
  <c r="N56" i="53"/>
  <c r="S56" i="53"/>
  <c r="N56" i="54"/>
  <c r="S56" i="54"/>
  <c r="N51" i="53"/>
  <c r="P51" i="53"/>
  <c r="P18" i="53"/>
  <c r="N18" i="53"/>
  <c r="N26" i="53"/>
  <c r="S26" i="53"/>
  <c r="P26" i="53"/>
  <c r="P30" i="53"/>
  <c r="N30" i="53"/>
  <c r="N30" i="54"/>
  <c r="S30" i="54"/>
  <c r="P17" i="52"/>
  <c r="N17" i="52"/>
  <c r="S17" i="52"/>
  <c r="N17" i="53"/>
  <c r="N51" i="52"/>
  <c r="S51" i="52"/>
  <c r="P51" i="52"/>
  <c r="S48" i="52"/>
  <c r="N32" i="52"/>
  <c r="P32" i="52"/>
  <c r="S18" i="52"/>
  <c r="S34" i="59"/>
  <c r="N17" i="59"/>
  <c r="P17" i="59"/>
  <c r="N31" i="52"/>
  <c r="P31" i="52"/>
  <c r="N44" i="56"/>
  <c r="S44" i="56"/>
  <c r="P44" i="56"/>
  <c r="N19" i="54"/>
  <c r="N55" i="54"/>
  <c r="P55" i="54"/>
  <c r="P9" i="53"/>
  <c r="S9" i="53"/>
  <c r="P26" i="52"/>
  <c r="S26" i="52"/>
  <c r="P25" i="52"/>
  <c r="S25" i="52"/>
  <c r="P34" i="52"/>
  <c r="S34" i="52"/>
  <c r="N42" i="61"/>
  <c r="P42" i="61"/>
  <c r="N16" i="61"/>
  <c r="P16" i="61"/>
  <c r="N20" i="61"/>
  <c r="P20" i="61"/>
  <c r="N49" i="61"/>
  <c r="P49" i="61"/>
  <c r="N55" i="59"/>
  <c r="P55" i="59"/>
  <c r="N52" i="59"/>
  <c r="S52" i="59"/>
  <c r="P52" i="59"/>
  <c r="S13" i="59"/>
  <c r="O28" i="53"/>
  <c r="S28" i="53" s="1"/>
  <c r="O15" i="54"/>
  <c r="O15" i="53"/>
  <c r="N26" i="56"/>
  <c r="P26" i="56"/>
  <c r="N31" i="61"/>
  <c r="P31" i="61"/>
  <c r="P10" i="54"/>
  <c r="N10" i="54"/>
  <c r="P27" i="53"/>
  <c r="N27" i="53"/>
  <c r="N44" i="53"/>
  <c r="P44" i="53"/>
  <c r="N32" i="53"/>
  <c r="P32" i="53"/>
  <c r="S32" i="53"/>
  <c r="N23" i="54"/>
  <c r="S23" i="54"/>
  <c r="N23" i="53"/>
  <c r="S23" i="53"/>
  <c r="P23" i="53"/>
  <c r="N48" i="53"/>
  <c r="P48" i="53"/>
  <c r="S36" i="53"/>
  <c r="S33" i="52"/>
  <c r="N16" i="52"/>
  <c r="P16" i="52"/>
  <c r="N54" i="52"/>
  <c r="N54" i="53"/>
  <c r="S29" i="52"/>
  <c r="P56" i="61"/>
  <c r="S56" i="61"/>
  <c r="N33" i="59"/>
  <c r="S33" i="59"/>
  <c r="P33" i="59"/>
  <c r="N11" i="55"/>
  <c r="P11" i="55"/>
  <c r="S11" i="55"/>
  <c r="S13" i="52"/>
  <c r="N26" i="54"/>
  <c r="P26" i="54"/>
  <c r="N32" i="54"/>
  <c r="S32" i="54"/>
  <c r="P32" i="54"/>
  <c r="N13" i="54"/>
  <c r="S13" i="54"/>
  <c r="N13" i="55"/>
  <c r="S13" i="55"/>
  <c r="P13" i="54"/>
  <c r="P31" i="53"/>
  <c r="S31" i="53"/>
  <c r="P55" i="52"/>
  <c r="N30" i="61"/>
  <c r="P30" i="61"/>
  <c r="N26" i="61"/>
  <c r="P26" i="61"/>
  <c r="S44" i="61"/>
  <c r="N50" i="61"/>
  <c r="S50" i="61"/>
  <c r="P50" i="61"/>
  <c r="N21" i="59"/>
  <c r="P21" i="59"/>
  <c r="S16" i="59"/>
  <c r="N20" i="59"/>
  <c r="P20" i="59"/>
  <c r="N45" i="59"/>
  <c r="P45" i="59"/>
  <c r="N39" i="59"/>
  <c r="S39" i="59"/>
  <c r="P39" i="59"/>
  <c r="N44" i="59"/>
  <c r="P44" i="59"/>
  <c r="S23" i="61"/>
  <c r="O69" i="59"/>
  <c r="S69" i="59"/>
  <c r="O69" i="58"/>
  <c r="S69" i="58"/>
  <c r="O61" i="58"/>
  <c r="S61" i="58"/>
  <c r="O14" i="58"/>
  <c r="S14" i="58"/>
  <c r="O16" i="58"/>
  <c r="O45" i="58"/>
  <c r="S45" i="58" s="1"/>
  <c r="O29" i="58"/>
  <c r="O43" i="58"/>
  <c r="S43" i="58" s="1"/>
  <c r="O33" i="58"/>
  <c r="O34" i="58"/>
  <c r="S34" i="58" s="1"/>
  <c r="O63" i="58"/>
  <c r="S63" i="58" s="1"/>
  <c r="O46" i="58"/>
  <c r="P19" i="56"/>
  <c r="S19" i="56"/>
  <c r="N19" i="56"/>
  <c r="N28" i="56"/>
  <c r="S28" i="56"/>
  <c r="N38" i="56"/>
  <c r="S38" i="56"/>
  <c r="N51" i="56"/>
  <c r="N40" i="56"/>
  <c r="N31" i="56"/>
  <c r="N25" i="55"/>
  <c r="S25" i="55"/>
  <c r="P25" i="55"/>
  <c r="N22" i="55"/>
  <c r="S22" i="55"/>
  <c r="N50" i="55"/>
  <c r="S50" i="55"/>
  <c r="P42" i="55"/>
  <c r="S42" i="55"/>
  <c r="N42" i="55"/>
  <c r="N48" i="55"/>
  <c r="S48" i="55"/>
  <c r="N14" i="55"/>
  <c r="S14" i="55"/>
  <c r="N33" i="55"/>
  <c r="N17" i="55"/>
  <c r="S17" i="55"/>
  <c r="P17" i="55"/>
  <c r="N52" i="54"/>
  <c r="S52" i="54"/>
  <c r="P52" i="54"/>
  <c r="N51" i="54"/>
  <c r="N21" i="54"/>
  <c r="S21" i="54"/>
  <c r="N24" i="54"/>
  <c r="P24" i="54"/>
  <c r="N36" i="54"/>
  <c r="S36" i="54"/>
  <c r="P51" i="58"/>
  <c r="N51" i="58"/>
  <c r="P25" i="56"/>
  <c r="P36" i="60"/>
  <c r="S36" i="60"/>
  <c r="P28" i="55"/>
  <c r="S28" i="55"/>
  <c r="N20" i="60"/>
  <c r="N45" i="60"/>
  <c r="N54" i="60"/>
  <c r="S54" i="60"/>
  <c r="N21" i="60"/>
  <c r="S21" i="60"/>
  <c r="N18" i="60"/>
  <c r="N47" i="60"/>
  <c r="S47" i="60"/>
  <c r="N15" i="60"/>
  <c r="S15" i="60"/>
  <c r="N52" i="60"/>
  <c r="N40" i="60"/>
  <c r="P43" i="59"/>
  <c r="S54" i="58"/>
  <c r="P35" i="58"/>
  <c r="N35" i="58"/>
  <c r="P19" i="58"/>
  <c r="N19" i="58"/>
  <c r="N48" i="58"/>
  <c r="S48" i="58"/>
  <c r="P31" i="58"/>
  <c r="N31" i="58"/>
  <c r="N36" i="58"/>
  <c r="N37" i="58"/>
  <c r="P46" i="58"/>
  <c r="N46" i="58"/>
  <c r="P18" i="58"/>
  <c r="N18" i="58"/>
  <c r="N21" i="58"/>
  <c r="N41" i="57"/>
  <c r="N28" i="57"/>
  <c r="P49" i="57"/>
  <c r="N49" i="57"/>
  <c r="N44" i="57"/>
  <c r="N25" i="57"/>
  <c r="N56" i="57"/>
  <c r="P15" i="57"/>
  <c r="N15" i="57"/>
  <c r="S15" i="57"/>
  <c r="N24" i="57"/>
  <c r="N34" i="57"/>
  <c r="N54" i="57"/>
  <c r="P16" i="57"/>
  <c r="N16" i="57"/>
  <c r="N53" i="57"/>
  <c r="O18" i="56"/>
  <c r="O18" i="57"/>
  <c r="O37" i="56"/>
  <c r="O37" i="57"/>
  <c r="O21" i="57"/>
  <c r="S21" i="57" s="1"/>
  <c r="O21" i="56"/>
  <c r="O58" i="57"/>
  <c r="S58" i="57"/>
  <c r="O58" i="56"/>
  <c r="S58" i="56"/>
  <c r="O13" i="56"/>
  <c r="O13" i="57"/>
  <c r="S13" i="57" s="1"/>
  <c r="O14" i="56"/>
  <c r="O14" i="57"/>
  <c r="S14" i="57" s="1"/>
  <c r="O32" i="56"/>
  <c r="S32" i="56"/>
  <c r="O32" i="57"/>
  <c r="O26" i="57"/>
  <c r="S26" i="57" s="1"/>
  <c r="O26" i="56"/>
  <c r="P21" i="60"/>
  <c r="P41" i="57"/>
  <c r="S41" i="57"/>
  <c r="N23" i="60"/>
  <c r="P44" i="57"/>
  <c r="P20" i="58"/>
  <c r="N41" i="59"/>
  <c r="P16" i="55"/>
  <c r="S16" i="55"/>
  <c r="P33" i="55"/>
  <c r="O32" i="58"/>
  <c r="O62" i="58"/>
  <c r="S62" i="58" s="1"/>
  <c r="O51" i="58"/>
  <c r="O30" i="58"/>
  <c r="S30" i="58" s="1"/>
  <c r="O68" i="58"/>
  <c r="S68" i="58" s="1"/>
  <c r="O42" i="58"/>
  <c r="S42" i="58" s="1"/>
  <c r="O50" i="58"/>
  <c r="S50" i="58" s="1"/>
  <c r="N34" i="56"/>
  <c r="P34" i="56"/>
  <c r="N15" i="56"/>
  <c r="S15" i="56"/>
  <c r="P15" i="56"/>
  <c r="P41" i="55"/>
  <c r="N41" i="55"/>
  <c r="N51" i="55"/>
  <c r="P51" i="55"/>
  <c r="L9" i="56"/>
  <c r="N9" i="56"/>
  <c r="S9" i="56"/>
  <c r="N9" i="55"/>
  <c r="S12" i="55"/>
  <c r="N12" i="54"/>
  <c r="S12" i="54"/>
  <c r="P12" i="54"/>
  <c r="N39" i="54"/>
  <c r="S39" i="54"/>
  <c r="N38" i="54"/>
  <c r="N50" i="54"/>
  <c r="N31" i="54"/>
  <c r="S31" i="54"/>
  <c r="N20" i="54"/>
  <c r="S20" i="54"/>
  <c r="N39" i="60"/>
  <c r="S39" i="60"/>
  <c r="N14" i="60"/>
  <c r="L14" i="61"/>
  <c r="N14" i="61"/>
  <c r="S14" i="61"/>
  <c r="N42" i="60"/>
  <c r="N43" i="60"/>
  <c r="S43" i="60"/>
  <c r="N28" i="60"/>
  <c r="N30" i="60"/>
  <c r="N51" i="60"/>
  <c r="S51" i="60"/>
  <c r="N33" i="61"/>
  <c r="S33" i="61"/>
  <c r="N33" i="60"/>
  <c r="S33" i="60"/>
  <c r="N19" i="60"/>
  <c r="S19" i="60"/>
  <c r="N55" i="60"/>
  <c r="N27" i="58"/>
  <c r="P27" i="58"/>
  <c r="P56" i="58"/>
  <c r="N56" i="58"/>
  <c r="N29" i="59"/>
  <c r="N29" i="58"/>
  <c r="P16" i="58"/>
  <c r="N16" i="58"/>
  <c r="N53" i="58"/>
  <c r="P53" i="58"/>
  <c r="N27" i="57"/>
  <c r="N32" i="57"/>
  <c r="P32" i="57"/>
  <c r="N45" i="57"/>
  <c r="S45" i="57"/>
  <c r="N17" i="57"/>
  <c r="P17" i="57"/>
  <c r="N22" i="57"/>
  <c r="N50" i="57"/>
  <c r="P31" i="57"/>
  <c r="N31" i="57"/>
  <c r="S31" i="57"/>
  <c r="N38" i="57"/>
  <c r="S38" i="57"/>
  <c r="N18" i="57"/>
  <c r="N42" i="57"/>
  <c r="N13" i="57"/>
  <c r="P13" i="57"/>
  <c r="O43" i="57"/>
  <c r="O56" i="57"/>
  <c r="O56" i="56"/>
  <c r="O25" i="57"/>
  <c r="S25" i="57" s="1"/>
  <c r="O63" i="57"/>
  <c r="S63" i="57"/>
  <c r="O63" i="56"/>
  <c r="S63" i="56"/>
  <c r="O49" i="57"/>
  <c r="O49" i="56"/>
  <c r="S49" i="56" s="1"/>
  <c r="O34" i="57"/>
  <c r="S34" i="57" s="1"/>
  <c r="O34" i="56"/>
  <c r="O28" i="57"/>
  <c r="O29" i="56"/>
  <c r="O29" i="57"/>
  <c r="O48" i="57"/>
  <c r="O60" i="56"/>
  <c r="S60" i="56" s="1"/>
  <c r="O60" i="57"/>
  <c r="S60" i="57" s="1"/>
  <c r="O40" i="57"/>
  <c r="S40" i="57" s="1"/>
  <c r="O40" i="56"/>
  <c r="P19" i="60"/>
  <c r="O56" i="58"/>
  <c r="N39" i="61"/>
  <c r="P25" i="58"/>
  <c r="P39" i="55"/>
  <c r="S39" i="55"/>
  <c r="P45" i="58"/>
  <c r="N36" i="59"/>
  <c r="P50" i="54"/>
  <c r="S23" i="60"/>
  <c r="O18" i="58"/>
  <c r="S18" i="58" s="1"/>
  <c r="O52" i="58"/>
  <c r="S52" i="58"/>
  <c r="O25" i="58"/>
  <c r="O24" i="58"/>
  <c r="S24" i="58" s="1"/>
  <c r="O39" i="58"/>
  <c r="O20" i="58"/>
  <c r="S20" i="58" s="1"/>
  <c r="O17" i="58"/>
  <c r="S17" i="58"/>
  <c r="N56" i="56"/>
  <c r="P56" i="56"/>
  <c r="N29" i="56"/>
  <c r="P29" i="56"/>
  <c r="P42" i="56"/>
  <c r="N42" i="56"/>
  <c r="N20" i="56"/>
  <c r="P20" i="56"/>
  <c r="S25" i="56"/>
  <c r="P47" i="55"/>
  <c r="N47" i="55"/>
  <c r="N26" i="55"/>
  <c r="S26" i="55"/>
  <c r="N32" i="55"/>
  <c r="S32" i="55"/>
  <c r="N43" i="55"/>
  <c r="S43" i="55"/>
  <c r="N43" i="56"/>
  <c r="S43" i="56"/>
  <c r="P43" i="55"/>
  <c r="N16" i="54"/>
  <c r="N18" i="54"/>
  <c r="N43" i="54"/>
  <c r="S43" i="54"/>
  <c r="P43" i="54"/>
  <c r="N40" i="54"/>
  <c r="N25" i="54"/>
  <c r="S25" i="54"/>
  <c r="P37" i="54"/>
  <c r="N37" i="54"/>
  <c r="P45" i="56"/>
  <c r="S45" i="56"/>
  <c r="P54" i="59"/>
  <c r="S32" i="61"/>
  <c r="N56" i="60"/>
  <c r="S56" i="60"/>
  <c r="N16" i="60"/>
  <c r="S16" i="60"/>
  <c r="N22" i="60"/>
  <c r="S22" i="60"/>
  <c r="N17" i="60"/>
  <c r="P17" i="60"/>
  <c r="N31" i="60"/>
  <c r="S31" i="60"/>
  <c r="N32" i="60"/>
  <c r="S32" i="60"/>
  <c r="N49" i="60"/>
  <c r="S46" i="60"/>
  <c r="N26" i="60"/>
  <c r="P40" i="58"/>
  <c r="N40" i="58"/>
  <c r="N12" i="58"/>
  <c r="S12" i="58"/>
  <c r="L12" i="59"/>
  <c r="N12" i="59"/>
  <c r="N32" i="58"/>
  <c r="P32" i="58"/>
  <c r="S26" i="58"/>
  <c r="N44" i="58"/>
  <c r="P44" i="58"/>
  <c r="N48" i="57"/>
  <c r="P48" i="57"/>
  <c r="N51" i="57"/>
  <c r="S51" i="57"/>
  <c r="P51" i="57"/>
  <c r="N39" i="57"/>
  <c r="N36" i="57"/>
  <c r="N14" i="57"/>
  <c r="N11" i="57"/>
  <c r="L11" i="58"/>
  <c r="N11" i="58"/>
  <c r="S11" i="58"/>
  <c r="N37" i="57"/>
  <c r="S37" i="57"/>
  <c r="N33" i="57"/>
  <c r="N30" i="57"/>
  <c r="N26" i="57"/>
  <c r="O17" i="57"/>
  <c r="S17" i="57" s="1"/>
  <c r="O68" i="57"/>
  <c r="S68" i="57" s="1"/>
  <c r="O61" i="57"/>
  <c r="S61" i="57" s="1"/>
  <c r="O51" i="56"/>
  <c r="S51" i="56" s="1"/>
  <c r="O51" i="57"/>
  <c r="O27" i="56"/>
  <c r="S27" i="56" s="1"/>
  <c r="O27" i="57"/>
  <c r="S27" i="57"/>
  <c r="O30" i="56"/>
  <c r="S30" i="56"/>
  <c r="O30" i="57"/>
  <c r="S30" i="57" s="1"/>
  <c r="O50" i="57"/>
  <c r="O50" i="56"/>
  <c r="S50" i="56"/>
  <c r="O59" i="57"/>
  <c r="S59" i="57"/>
  <c r="O59" i="56"/>
  <c r="S59" i="56"/>
  <c r="O20" i="57"/>
  <c r="O20" i="56"/>
  <c r="S20" i="56" s="1"/>
  <c r="O24" i="56"/>
  <c r="O24" i="57"/>
  <c r="S24" i="57" s="1"/>
  <c r="O39" i="56"/>
  <c r="S39" i="56" s="1"/>
  <c r="O39" i="57"/>
  <c r="O16" i="57"/>
  <c r="O66" i="56"/>
  <c r="S66" i="56" s="1"/>
  <c r="O66" i="57"/>
  <c r="S66" i="57" s="1"/>
  <c r="P43" i="57"/>
  <c r="P49" i="60"/>
  <c r="N52" i="56"/>
  <c r="N28" i="61"/>
  <c r="S28" i="61"/>
  <c r="P15" i="58"/>
  <c r="N15" i="58"/>
  <c r="P35" i="61"/>
  <c r="S35" i="61"/>
  <c r="P18" i="60"/>
  <c r="P52" i="60"/>
  <c r="S46" i="59"/>
  <c r="P11" i="57"/>
  <c r="P16" i="54"/>
  <c r="S16" i="54"/>
  <c r="P48" i="58"/>
  <c r="P29" i="60"/>
  <c r="S29" i="60"/>
  <c r="P24" i="58"/>
  <c r="O28" i="58"/>
  <c r="S28" i="58" s="1"/>
  <c r="O58" i="58"/>
  <c r="S58" i="58" s="1"/>
  <c r="O36" i="57"/>
  <c r="O36" i="58"/>
  <c r="O21" i="58"/>
  <c r="O66" i="58"/>
  <c r="S66" i="58" s="1"/>
  <c r="O37" i="58"/>
  <c r="O40" i="58"/>
  <c r="O15" i="58"/>
  <c r="P48" i="56"/>
  <c r="N48" i="56"/>
  <c r="S48" i="56"/>
  <c r="L10" i="57"/>
  <c r="N10" i="57"/>
  <c r="N10" i="56"/>
  <c r="N12" i="56"/>
  <c r="S12" i="56"/>
  <c r="P12" i="56"/>
  <c r="N37" i="56"/>
  <c r="P37" i="56"/>
  <c r="N18" i="56"/>
  <c r="P18" i="56"/>
  <c r="S40" i="55"/>
  <c r="P20" i="55"/>
  <c r="N20" i="55"/>
  <c r="P37" i="55"/>
  <c r="N37" i="55"/>
  <c r="S37" i="55"/>
  <c r="N19" i="55"/>
  <c r="P19" i="55"/>
  <c r="N49" i="55"/>
  <c r="P49" i="55"/>
  <c r="N55" i="55"/>
  <c r="P55" i="55"/>
  <c r="S55" i="55"/>
  <c r="N9" i="54"/>
  <c r="S9" i="54"/>
  <c r="N44" i="54"/>
  <c r="S44" i="54"/>
  <c r="N14" i="54"/>
  <c r="P14" i="54"/>
  <c r="N15" i="54"/>
  <c r="P15" i="54"/>
  <c r="P28" i="54"/>
  <c r="N28" i="54"/>
  <c r="P18" i="54"/>
  <c r="P13" i="56"/>
  <c r="S39" i="61"/>
  <c r="P48" i="61"/>
  <c r="S48" i="61"/>
  <c r="N48" i="60"/>
  <c r="S48" i="60"/>
  <c r="N27" i="60"/>
  <c r="S27" i="60"/>
  <c r="N37" i="60"/>
  <c r="S37" i="60"/>
  <c r="N37" i="61"/>
  <c r="S37" i="61"/>
  <c r="N38" i="60"/>
  <c r="S38" i="60"/>
  <c r="N50" i="60"/>
  <c r="S50" i="60"/>
  <c r="N44" i="60"/>
  <c r="S44" i="60"/>
  <c r="N24" i="60"/>
  <c r="S24" i="60"/>
  <c r="N50" i="58"/>
  <c r="P50" i="58"/>
  <c r="P33" i="58"/>
  <c r="N33" i="58"/>
  <c r="N19" i="57"/>
  <c r="N35" i="57"/>
  <c r="S35" i="57"/>
  <c r="N46" i="57"/>
  <c r="N29" i="57"/>
  <c r="N20" i="57"/>
  <c r="N55" i="57"/>
  <c r="S55" i="57"/>
  <c r="P55" i="57"/>
  <c r="N40" i="57"/>
  <c r="P40" i="57"/>
  <c r="N12" i="57"/>
  <c r="S12" i="57"/>
  <c r="P12" i="57"/>
  <c r="N47" i="57"/>
  <c r="O11" i="57"/>
  <c r="S11" i="57" s="1"/>
  <c r="O11" i="56"/>
  <c r="O22" i="57"/>
  <c r="S22" i="57" s="1"/>
  <c r="O22" i="56"/>
  <c r="O54" i="56"/>
  <c r="S54" i="56" s="1"/>
  <c r="O54" i="57"/>
  <c r="O47" i="57"/>
  <c r="S47" i="57" s="1"/>
  <c r="O47" i="56"/>
  <c r="S47" i="56" s="1"/>
  <c r="O64" i="57"/>
  <c r="S64" i="57" s="1"/>
  <c r="O64" i="56"/>
  <c r="S64" i="56" s="1"/>
  <c r="O52" i="57"/>
  <c r="O52" i="56"/>
  <c r="O46" i="56"/>
  <c r="S46" i="56" s="1"/>
  <c r="O46" i="57"/>
  <c r="S46" i="57" s="1"/>
  <c r="O33" i="56"/>
  <c r="S33" i="56" s="1"/>
  <c r="O33" i="57"/>
  <c r="S33" i="57" s="1"/>
  <c r="O42" i="57"/>
  <c r="O42" i="56"/>
  <c r="P54" i="61"/>
  <c r="S54" i="61"/>
  <c r="P23" i="55"/>
  <c r="S23" i="55"/>
  <c r="P53" i="60"/>
  <c r="S53" i="60"/>
  <c r="S28" i="57"/>
  <c r="N21" i="56"/>
  <c r="S21" i="56"/>
  <c r="P31" i="55"/>
  <c r="S31" i="55"/>
  <c r="P26" i="60"/>
  <c r="S26" i="60"/>
  <c r="P41" i="58"/>
  <c r="S41" i="58"/>
  <c r="P30" i="60"/>
  <c r="S30" i="60"/>
  <c r="N53" i="59"/>
  <c r="S53" i="59"/>
  <c r="P9" i="55"/>
  <c r="N39" i="58"/>
  <c r="S39" i="58"/>
  <c r="P55" i="60"/>
  <c r="E26" i="59"/>
  <c r="F26" i="59"/>
  <c r="J26" i="59"/>
  <c r="P26" i="59"/>
  <c r="S26" i="59"/>
  <c r="E22" i="59"/>
  <c r="F22" i="59"/>
  <c r="J22" i="59"/>
  <c r="P22" i="59"/>
  <c r="S22" i="59"/>
  <c r="E42" i="59"/>
  <c r="F42" i="59"/>
  <c r="J42" i="59"/>
  <c r="P42" i="59"/>
  <c r="S42" i="59"/>
  <c r="E31" i="56"/>
  <c r="F31" i="56"/>
  <c r="J31" i="56"/>
  <c r="P31" i="56"/>
  <c r="S31" i="56"/>
  <c r="E27" i="56"/>
  <c r="F27" i="56"/>
  <c r="J27" i="56"/>
  <c r="P27" i="56"/>
  <c r="E46" i="1"/>
  <c r="F46" i="1"/>
  <c r="J46" i="1"/>
  <c r="E17" i="1"/>
  <c r="F17" i="1"/>
  <c r="J17" i="1"/>
  <c r="G41" i="56"/>
  <c r="I41" i="56"/>
  <c r="G32" i="56"/>
  <c r="I32" i="56"/>
  <c r="I46" i="57"/>
  <c r="I12" i="58"/>
  <c r="Q12" i="59"/>
  <c r="S12" i="59"/>
  <c r="Q6" i="53"/>
  <c r="S6" i="53"/>
  <c r="I6" i="52"/>
  <c r="J33" i="57"/>
  <c r="P33" i="57"/>
  <c r="J24" i="57"/>
  <c r="P24" i="57"/>
  <c r="I25" i="57"/>
  <c r="E31" i="59"/>
  <c r="F31" i="59"/>
  <c r="J31" i="59"/>
  <c r="P31" i="59"/>
  <c r="S31" i="59"/>
  <c r="E29" i="59"/>
  <c r="F29" i="59"/>
  <c r="J29" i="59"/>
  <c r="P29" i="59"/>
  <c r="S29" i="59"/>
  <c r="E23" i="59"/>
  <c r="F23" i="59"/>
  <c r="J23" i="59"/>
  <c r="P23" i="59"/>
  <c r="S23" i="59"/>
  <c r="J20" i="57"/>
  <c r="P20" i="57"/>
  <c r="S20" i="57"/>
  <c r="I20" i="57"/>
  <c r="E24" i="56"/>
  <c r="F24" i="56"/>
  <c r="J24" i="56"/>
  <c r="P24" i="56"/>
  <c r="S24" i="56"/>
  <c r="G14" i="56"/>
  <c r="I14" i="56"/>
  <c r="E14" i="56"/>
  <c r="F14" i="56"/>
  <c r="J14" i="56"/>
  <c r="P14" i="56"/>
  <c r="S14" i="56"/>
  <c r="E30" i="1"/>
  <c r="F30" i="1"/>
  <c r="J30" i="1"/>
  <c r="E18" i="1"/>
  <c r="F18" i="1"/>
  <c r="J18" i="1"/>
  <c r="I23" i="57"/>
  <c r="J52" i="57"/>
  <c r="P52" i="57"/>
  <c r="S52" i="57"/>
  <c r="G13" i="59"/>
  <c r="I19" i="57"/>
  <c r="S23" i="57"/>
  <c r="E14" i="59"/>
  <c r="F14" i="59"/>
  <c r="J14" i="59"/>
  <c r="P14" i="59"/>
  <c r="S14" i="59"/>
  <c r="E27" i="59"/>
  <c r="F27" i="59"/>
  <c r="J27" i="59"/>
  <c r="P27" i="59"/>
  <c r="S27" i="59"/>
  <c r="G30" i="59"/>
  <c r="I30" i="59"/>
  <c r="E30" i="59"/>
  <c r="F30" i="59"/>
  <c r="J30" i="59"/>
  <c r="P30" i="59"/>
  <c r="S30" i="59"/>
  <c r="I26" i="57"/>
  <c r="J26" i="57"/>
  <c r="P26" i="57"/>
  <c r="G40" i="56"/>
  <c r="I40" i="56"/>
  <c r="E40" i="56"/>
  <c r="F40" i="56"/>
  <c r="J40" i="56"/>
  <c r="P40" i="56"/>
  <c r="S40" i="56"/>
  <c r="E54" i="56"/>
  <c r="F54" i="56"/>
  <c r="J54" i="56"/>
  <c r="P54" i="56"/>
  <c r="E41" i="1"/>
  <c r="F41" i="1"/>
  <c r="J41" i="1"/>
  <c r="E35" i="1"/>
  <c r="F35" i="1"/>
  <c r="J35" i="1"/>
  <c r="J18" i="57"/>
  <c r="P18" i="57"/>
  <c r="S18" i="57"/>
  <c r="J47" i="57"/>
  <c r="P47" i="57"/>
  <c r="J53" i="57"/>
  <c r="P53" i="57"/>
  <c r="S53" i="57"/>
  <c r="I7" i="53"/>
  <c r="Q7" i="54"/>
  <c r="S7" i="54"/>
  <c r="I21" i="57"/>
  <c r="I50" i="57"/>
  <c r="S19" i="57"/>
  <c r="E51" i="59"/>
  <c r="F51" i="59"/>
  <c r="J51" i="59"/>
  <c r="P51" i="59"/>
  <c r="S51" i="59"/>
  <c r="G51" i="59"/>
  <c r="I51" i="59"/>
  <c r="E48" i="59"/>
  <c r="F48" i="59"/>
  <c r="J48" i="59"/>
  <c r="P48" i="59"/>
  <c r="S48" i="59"/>
  <c r="E41" i="59"/>
  <c r="F41" i="59"/>
  <c r="J41" i="59"/>
  <c r="P41" i="59"/>
  <c r="S41" i="59"/>
  <c r="G41" i="59"/>
  <c r="I41" i="59"/>
  <c r="J29" i="57"/>
  <c r="P29" i="57"/>
  <c r="S29" i="57"/>
  <c r="I29" i="57"/>
  <c r="E10" i="56"/>
  <c r="F10" i="56"/>
  <c r="J10" i="56"/>
  <c r="P10" i="56"/>
  <c r="S10" i="56"/>
  <c r="G10" i="56"/>
  <c r="E52" i="1"/>
  <c r="F52" i="1"/>
  <c r="J52" i="1"/>
  <c r="G24" i="61"/>
  <c r="I24" i="61"/>
  <c r="G16" i="56"/>
  <c r="I16" i="56"/>
  <c r="I14" i="57"/>
  <c r="I56" i="57"/>
  <c r="S33" i="58"/>
  <c r="S14" i="54"/>
  <c r="S19" i="55"/>
  <c r="S20" i="55"/>
  <c r="S18" i="56"/>
  <c r="S52" i="56"/>
  <c r="S36" i="57"/>
  <c r="S48" i="57"/>
  <c r="S42" i="56"/>
  <c r="S29" i="56"/>
  <c r="S29" i="58"/>
  <c r="S50" i="54"/>
  <c r="S16" i="57"/>
  <c r="S46" i="58"/>
  <c r="S24" i="54"/>
  <c r="S33" i="55"/>
  <c r="S45" i="59"/>
  <c r="S21" i="59"/>
  <c r="S30" i="61"/>
  <c r="S26" i="54"/>
  <c r="S16" i="52"/>
  <c r="S44" i="53"/>
  <c r="S31" i="61"/>
  <c r="S55" i="59"/>
  <c r="S20" i="61"/>
  <c r="S42" i="61"/>
  <c r="S55" i="54"/>
  <c r="S31" i="52"/>
  <c r="S32" i="52"/>
  <c r="S30" i="53"/>
  <c r="S18" i="53"/>
  <c r="S56" i="59"/>
  <c r="S22" i="61"/>
  <c r="S43" i="61"/>
  <c r="S27" i="54"/>
  <c r="S18" i="55"/>
  <c r="S18" i="59"/>
  <c r="S46" i="52"/>
  <c r="S47" i="52"/>
  <c r="S39" i="53"/>
  <c r="S25" i="53"/>
  <c r="S29" i="53"/>
  <c r="S12" i="53"/>
  <c r="S39" i="57"/>
  <c r="S54" i="57"/>
  <c r="S49" i="57"/>
  <c r="S21" i="58"/>
  <c r="S18" i="60"/>
  <c r="S11" i="56"/>
  <c r="S22" i="56"/>
  <c r="S15" i="54"/>
  <c r="S49" i="55"/>
  <c r="S37" i="56"/>
  <c r="S15" i="58"/>
  <c r="S40" i="58"/>
  <c r="S49" i="60"/>
  <c r="S17" i="60"/>
  <c r="S37" i="54"/>
  <c r="S47" i="55"/>
  <c r="S56" i="56"/>
  <c r="S32" i="57"/>
  <c r="S16" i="58"/>
  <c r="S56" i="58"/>
  <c r="S9" i="55"/>
  <c r="S41" i="55"/>
  <c r="S56" i="57"/>
  <c r="S51" i="58"/>
  <c r="S26" i="61"/>
  <c r="S27" i="53"/>
  <c r="S26" i="56"/>
  <c r="S49" i="61"/>
  <c r="S16" i="61"/>
  <c r="S17" i="59"/>
  <c r="S51" i="61"/>
  <c r="S18" i="61"/>
  <c r="S22" i="54"/>
  <c r="S40" i="61"/>
  <c r="S43" i="52"/>
  <c r="S28" i="59"/>
  <c r="S56" i="55"/>
  <c r="S25" i="58"/>
  <c r="S34" i="56"/>
  <c r="S36" i="58"/>
  <c r="S15" i="53"/>
  <c r="Q10" i="57"/>
  <c r="S10" i="57"/>
  <c r="I10" i="56"/>
  <c r="G41" i="1"/>
  <c r="I41" i="1"/>
  <c r="G14" i="59"/>
  <c r="I14" i="59"/>
  <c r="G18" i="1"/>
  <c r="I18" i="1"/>
  <c r="G29" i="59"/>
  <c r="I29" i="59"/>
  <c r="G46" i="1"/>
  <c r="I46" i="1"/>
  <c r="G31" i="56"/>
  <c r="I31" i="56"/>
  <c r="G22" i="59"/>
  <c r="I22" i="59"/>
  <c r="G52" i="1"/>
  <c r="I52" i="1"/>
  <c r="G48" i="59"/>
  <c r="I48" i="59"/>
  <c r="I13" i="59"/>
  <c r="Q13" i="60"/>
  <c r="S13" i="60"/>
  <c r="G35" i="1"/>
  <c r="I35" i="1"/>
  <c r="G54" i="56"/>
  <c r="I54" i="56"/>
  <c r="G27" i="59"/>
  <c r="I27" i="59"/>
  <c r="G30" i="1"/>
  <c r="I30" i="1"/>
  <c r="G24" i="56"/>
  <c r="I24" i="56"/>
  <c r="G23" i="59"/>
  <c r="I23" i="59"/>
  <c r="G31" i="59"/>
  <c r="I31" i="59"/>
  <c r="G17" i="1"/>
  <c r="I17" i="1"/>
  <c r="G27" i="56"/>
  <c r="I27" i="56"/>
  <c r="G42" i="59"/>
  <c r="I42" i="59"/>
  <c r="G26" i="59"/>
  <c r="I26" i="59"/>
  <c r="S44" i="58"/>
  <c r="S50" i="57"/>
  <c r="S53" i="58"/>
  <c r="S51" i="55"/>
  <c r="S44" i="57"/>
  <c r="S42" i="57"/>
  <c r="S55" i="60"/>
  <c r="S31" i="58"/>
  <c r="S43" i="57"/>
  <c r="S32" i="58"/>
  <c r="S13" i="56"/>
  <c r="S37" i="58"/>
  <c r="O40" i="54"/>
  <c r="S40" i="54" s="1"/>
  <c r="O18" i="54"/>
  <c r="S18" i="54" s="1"/>
  <c r="O55" i="53"/>
  <c r="S55" i="53" s="1"/>
  <c r="O33" i="54"/>
  <c r="S33" i="54" s="1"/>
  <c r="S49" i="59"/>
  <c r="S37" i="59"/>
  <c r="S54" i="54"/>
  <c r="P28" i="52"/>
  <c r="N28" i="52"/>
  <c r="O19" i="59"/>
  <c r="S19" i="59"/>
  <c r="N53" i="54"/>
  <c r="S53" i="54"/>
  <c r="O47" i="58"/>
  <c r="S47" i="58"/>
  <c r="P17" i="54"/>
  <c r="S17" i="54"/>
  <c r="P38" i="53"/>
  <c r="S38" i="53"/>
  <c r="N21" i="55"/>
  <c r="S21" i="55"/>
  <c r="S28" i="52"/>
  <c r="O29" i="55" l="1"/>
  <c r="S29" i="55" s="1"/>
  <c r="T2" i="55" s="1"/>
  <c r="T56" i="55" s="1"/>
  <c r="O21" i="53"/>
  <c r="S21" i="53" s="1"/>
  <c r="O45" i="54"/>
  <c r="S45" i="54" s="1"/>
  <c r="O38" i="54"/>
  <c r="S38" i="54" s="1"/>
  <c r="O68" i="60"/>
  <c r="S68" i="60" s="1"/>
  <c r="O60" i="59"/>
  <c r="S60" i="59" s="1"/>
  <c r="O67" i="54"/>
  <c r="S67" i="54" s="1"/>
  <c r="O9" i="52"/>
  <c r="S9" i="52" s="1"/>
  <c r="T2" i="52" s="1"/>
  <c r="T15" i="52" s="1"/>
  <c r="O28" i="60"/>
  <c r="S28" i="60" s="1"/>
  <c r="O61" i="60"/>
  <c r="S61" i="60" s="1"/>
  <c r="O34" i="60"/>
  <c r="S34" i="60" s="1"/>
  <c r="O20" i="60"/>
  <c r="S20" i="60" s="1"/>
  <c r="O22" i="58"/>
  <c r="S22" i="58" s="1"/>
  <c r="O55" i="58"/>
  <c r="S55" i="58" s="1"/>
  <c r="O62" i="61"/>
  <c r="S62" i="61" s="1"/>
  <c r="T2" i="61" s="1"/>
  <c r="T49" i="61" s="1"/>
  <c r="O35" i="53"/>
  <c r="S35" i="53" s="1"/>
  <c r="O43" i="53"/>
  <c r="S43" i="53" s="1"/>
  <c r="O39" i="52"/>
  <c r="S39" i="52" s="1"/>
  <c r="O42" i="60"/>
  <c r="S42" i="60" s="1"/>
  <c r="T29" i="52"/>
  <c r="T58" i="52"/>
  <c r="T32" i="52"/>
  <c r="T44" i="52"/>
  <c r="T34" i="55"/>
  <c r="T48" i="55"/>
  <c r="T15" i="55"/>
  <c r="T2" i="57"/>
  <c r="T50" i="52"/>
  <c r="T33" i="52"/>
  <c r="T27" i="52"/>
  <c r="T13" i="52"/>
  <c r="T21" i="55"/>
  <c r="T8" i="55"/>
  <c r="T43" i="55"/>
  <c r="T44" i="55"/>
  <c r="T63" i="55"/>
  <c r="T53" i="55"/>
  <c r="T64" i="55"/>
  <c r="T61" i="55"/>
  <c r="T68" i="55"/>
  <c r="T41" i="52"/>
  <c r="T8" i="52"/>
  <c r="T46" i="52"/>
  <c r="T35" i="52"/>
  <c r="T21" i="52"/>
  <c r="T6" i="52"/>
  <c r="T30" i="55"/>
  <c r="T22" i="55"/>
  <c r="D6" i="50"/>
  <c r="T46" i="55"/>
  <c r="T27" i="55"/>
  <c r="T51" i="55"/>
  <c r="T31" i="52"/>
  <c r="T62" i="52"/>
  <c r="T30" i="52"/>
  <c r="T17" i="52"/>
  <c r="T12" i="52"/>
  <c r="T59" i="52"/>
  <c r="T19" i="52"/>
  <c r="T29" i="55"/>
  <c r="T32" i="55"/>
  <c r="T45" i="55"/>
  <c r="T28" i="55"/>
  <c r="T58" i="55"/>
  <c r="T2" i="56"/>
  <c r="T2" i="59"/>
  <c r="T22" i="59" s="1"/>
  <c r="O35" i="58"/>
  <c r="S35" i="58" s="1"/>
  <c r="O54" i="53"/>
  <c r="S54" i="53" s="1"/>
  <c r="O62" i="54"/>
  <c r="S62" i="54" s="1"/>
  <c r="O27" i="58"/>
  <c r="S27" i="58" s="1"/>
  <c r="T2" i="58" s="1"/>
  <c r="T45" i="58" s="1"/>
  <c r="T21" i="61" l="1"/>
  <c r="T54" i="61"/>
  <c r="T69" i="61"/>
  <c r="T67" i="61"/>
  <c r="T45" i="61"/>
  <c r="T22" i="61"/>
  <c r="T41" i="61"/>
  <c r="T19" i="61"/>
  <c r="T64" i="61"/>
  <c r="T53" i="61"/>
  <c r="D12" i="50"/>
  <c r="T65" i="61"/>
  <c r="T16" i="61"/>
  <c r="T56" i="61"/>
  <c r="T63" i="61"/>
  <c r="T51" i="61"/>
  <c r="T26" i="61"/>
  <c r="T48" i="61"/>
  <c r="T57" i="61"/>
  <c r="T35" i="61"/>
  <c r="T59" i="61"/>
  <c r="T46" i="61"/>
  <c r="T36" i="61"/>
  <c r="T14" i="61"/>
  <c r="T55" i="61"/>
  <c r="T68" i="61"/>
  <c r="T50" i="61"/>
  <c r="T18" i="61"/>
  <c r="T31" i="61"/>
  <c r="T25" i="61"/>
  <c r="T39" i="61"/>
  <c r="T62" i="61"/>
  <c r="T52" i="61"/>
  <c r="T44" i="61"/>
  <c r="T37" i="61"/>
  <c r="T60" i="61"/>
  <c r="T43" i="61"/>
  <c r="T47" i="61"/>
  <c r="T33" i="61"/>
  <c r="T30" i="61"/>
  <c r="T66" i="61"/>
  <c r="T15" i="61"/>
  <c r="T34" i="61"/>
  <c r="T20" i="61"/>
  <c r="T24" i="61"/>
  <c r="T17" i="61"/>
  <c r="T29" i="61"/>
  <c r="T38" i="61"/>
  <c r="T40" i="61"/>
  <c r="T58" i="61"/>
  <c r="T23" i="61"/>
  <c r="T61" i="61"/>
  <c r="T27" i="61"/>
  <c r="T42" i="61"/>
  <c r="T28" i="61"/>
  <c r="T32" i="61"/>
  <c r="T67" i="55"/>
  <c r="T66" i="55"/>
  <c r="T31" i="55"/>
  <c r="T16" i="52"/>
  <c r="T52" i="52"/>
  <c r="T9" i="52"/>
  <c r="T55" i="55"/>
  <c r="T41" i="55"/>
  <c r="T47" i="55"/>
  <c r="T5" i="52"/>
  <c r="T69" i="52"/>
  <c r="T65" i="52"/>
  <c r="T20" i="55"/>
  <c r="T42" i="55"/>
  <c r="T38" i="55"/>
  <c r="T26" i="55"/>
  <c r="T60" i="52"/>
  <c r="T39" i="52"/>
  <c r="T67" i="52"/>
  <c r="T39" i="55"/>
  <c r="T9" i="55"/>
  <c r="T16" i="55"/>
  <c r="T11" i="52"/>
  <c r="T38" i="52"/>
  <c r="T47" i="52"/>
  <c r="T49" i="52"/>
  <c r="T2" i="60"/>
  <c r="T69" i="55"/>
  <c r="T52" i="55"/>
  <c r="T17" i="55"/>
  <c r="S70" i="55" s="1"/>
  <c r="T53" i="52"/>
  <c r="T54" i="52"/>
  <c r="T61" i="52"/>
  <c r="T40" i="55"/>
  <c r="T36" i="55"/>
  <c r="T25" i="55"/>
  <c r="T56" i="52"/>
  <c r="T25" i="52"/>
  <c r="S70" i="52" s="1"/>
  <c r="T51" i="52"/>
  <c r="T13" i="55"/>
  <c r="T59" i="55"/>
  <c r="T65" i="55"/>
  <c r="T12" i="55"/>
  <c r="T22" i="52"/>
  <c r="T23" i="52"/>
  <c r="T40" i="52"/>
  <c r="T11" i="55"/>
  <c r="T49" i="55"/>
  <c r="T28" i="52"/>
  <c r="T36" i="52"/>
  <c r="T55" i="52"/>
  <c r="T64" i="52"/>
  <c r="D3" i="50"/>
  <c r="T37" i="55"/>
  <c r="T42" i="52"/>
  <c r="T43" i="52"/>
  <c r="T18" i="52"/>
  <c r="T35" i="55"/>
  <c r="T23" i="55"/>
  <c r="T33" i="55"/>
  <c r="T62" i="55"/>
  <c r="T50" i="55"/>
  <c r="T54" i="55"/>
  <c r="T18" i="55"/>
  <c r="T19" i="55"/>
  <c r="T24" i="55"/>
  <c r="T14" i="55"/>
  <c r="T10" i="55"/>
  <c r="T57" i="55"/>
  <c r="T60" i="55"/>
  <c r="T20" i="52"/>
  <c r="T68" i="52"/>
  <c r="T26" i="52"/>
  <c r="T48" i="52"/>
  <c r="T45" i="52"/>
  <c r="T24" i="52"/>
  <c r="T57" i="52"/>
  <c r="T34" i="52"/>
  <c r="T63" i="52"/>
  <c r="T7" i="52"/>
  <c r="T66" i="52"/>
  <c r="T14" i="52"/>
  <c r="T10" i="52"/>
  <c r="T37" i="52"/>
  <c r="T24" i="58"/>
  <c r="T33" i="58"/>
  <c r="T62" i="57"/>
  <c r="T63" i="57"/>
  <c r="T59" i="57"/>
  <c r="T45" i="57"/>
  <c r="T27" i="57"/>
  <c r="T30" i="57"/>
  <c r="D8" i="50"/>
  <c r="T69" i="57"/>
  <c r="T37" i="57"/>
  <c r="T52" i="57"/>
  <c r="T56" i="57"/>
  <c r="T24" i="57"/>
  <c r="T36" i="57"/>
  <c r="T44" i="57"/>
  <c r="T47" i="57"/>
  <c r="T46" i="57"/>
  <c r="T13" i="57"/>
  <c r="T61" i="57"/>
  <c r="T38" i="57"/>
  <c r="T10" i="57"/>
  <c r="T29" i="57"/>
  <c r="T55" i="57"/>
  <c r="T66" i="57"/>
  <c r="T49" i="57"/>
  <c r="T26" i="57"/>
  <c r="T53" i="57"/>
  <c r="T67" i="57"/>
  <c r="T65" i="57"/>
  <c r="T41" i="57"/>
  <c r="T31" i="57"/>
  <c r="T57" i="57"/>
  <c r="T21" i="57"/>
  <c r="T20" i="57"/>
  <c r="T12" i="57"/>
  <c r="T39" i="57"/>
  <c r="T68" i="57"/>
  <c r="T54" i="57"/>
  <c r="T15" i="57"/>
  <c r="T35" i="57"/>
  <c r="T18" i="57"/>
  <c r="T43" i="57"/>
  <c r="T11" i="57"/>
  <c r="T60" i="57"/>
  <c r="T50" i="57"/>
  <c r="T22" i="57"/>
  <c r="T9" i="56"/>
  <c r="T53" i="56"/>
  <c r="T11" i="56"/>
  <c r="T44" i="56"/>
  <c r="T26" i="56"/>
  <c r="T61" i="56"/>
  <c r="T62" i="56"/>
  <c r="T31" i="56"/>
  <c r="T41" i="56"/>
  <c r="T45" i="56"/>
  <c r="T27" i="56"/>
  <c r="T49" i="56"/>
  <c r="T56" i="56"/>
  <c r="T24" i="56"/>
  <c r="T39" i="56"/>
  <c r="T13" i="56"/>
  <c r="T57" i="56"/>
  <c r="T60" i="56"/>
  <c r="T46" i="56"/>
  <c r="T48" i="56"/>
  <c r="T33" i="56"/>
  <c r="T66" i="56"/>
  <c r="T16" i="56"/>
  <c r="T17" i="56"/>
  <c r="T50" i="56"/>
  <c r="T42" i="56"/>
  <c r="T25" i="56"/>
  <c r="T58" i="56"/>
  <c r="T30" i="56"/>
  <c r="T40" i="56"/>
  <c r="T14" i="56"/>
  <c r="T63" i="56"/>
  <c r="T19" i="56"/>
  <c r="T51" i="56"/>
  <c r="T12" i="56"/>
  <c r="T69" i="56"/>
  <c r="T64" i="56"/>
  <c r="T59" i="56"/>
  <c r="T22" i="56"/>
  <c r="T54" i="56"/>
  <c r="D7" i="50"/>
  <c r="T23" i="56"/>
  <c r="T32" i="56"/>
  <c r="T29" i="56"/>
  <c r="T38" i="56"/>
  <c r="T15" i="56"/>
  <c r="T37" i="56"/>
  <c r="T67" i="56"/>
  <c r="T68" i="56"/>
  <c r="T65" i="56"/>
  <c r="T55" i="56"/>
  <c r="T36" i="56"/>
  <c r="T35" i="56"/>
  <c r="T20" i="56"/>
  <c r="T28" i="56"/>
  <c r="T52" i="56"/>
  <c r="T10" i="56"/>
  <c r="T21" i="56"/>
  <c r="T47" i="56"/>
  <c r="T43" i="56"/>
  <c r="T34" i="56"/>
  <c r="T18" i="56"/>
  <c r="T32" i="57"/>
  <c r="T23" i="57"/>
  <c r="T53" i="59"/>
  <c r="T32" i="58"/>
  <c r="T2" i="53"/>
  <c r="T35" i="58"/>
  <c r="T17" i="58"/>
  <c r="T43" i="58"/>
  <c r="T16" i="57"/>
  <c r="T31" i="58"/>
  <c r="T14" i="57"/>
  <c r="T42" i="57"/>
  <c r="T40" i="57"/>
  <c r="T48" i="57"/>
  <c r="T56" i="58"/>
  <c r="T25" i="57"/>
  <c r="F3" i="50"/>
  <c r="L3" i="50"/>
  <c r="M3" i="50" s="1"/>
  <c r="T59" i="59"/>
  <c r="T63" i="59"/>
  <c r="T14" i="59"/>
  <c r="T12" i="59"/>
  <c r="T28" i="59"/>
  <c r="T46" i="59"/>
  <c r="T55" i="59"/>
  <c r="T25" i="59"/>
  <c r="T61" i="59"/>
  <c r="T23" i="59"/>
  <c r="T42" i="59"/>
  <c r="T44" i="59"/>
  <c r="T65" i="59"/>
  <c r="T16" i="59"/>
  <c r="T39" i="59"/>
  <c r="T36" i="59"/>
  <c r="T30" i="59"/>
  <c r="T67" i="59"/>
  <c r="T13" i="59"/>
  <c r="T62" i="59"/>
  <c r="T51" i="59"/>
  <c r="T66" i="59"/>
  <c r="T38" i="59"/>
  <c r="T56" i="59"/>
  <c r="T18" i="59"/>
  <c r="T52" i="59"/>
  <c r="T58" i="59"/>
  <c r="T50" i="59"/>
  <c r="T60" i="59"/>
  <c r="T43" i="59"/>
  <c r="T54" i="59"/>
  <c r="T15" i="59"/>
  <c r="T64" i="59"/>
  <c r="T47" i="59"/>
  <c r="T41" i="59"/>
  <c r="T33" i="59"/>
  <c r="T27" i="59"/>
  <c r="T37" i="59"/>
  <c r="T35" i="59"/>
  <c r="T17" i="59"/>
  <c r="T34" i="59"/>
  <c r="D10" i="50"/>
  <c r="T68" i="59"/>
  <c r="T57" i="59"/>
  <c r="T26" i="59"/>
  <c r="T20" i="59"/>
  <c r="T40" i="59"/>
  <c r="T21" i="59"/>
  <c r="T24" i="59"/>
  <c r="T31" i="59"/>
  <c r="T69" i="59"/>
  <c r="T32" i="59"/>
  <c r="T51" i="57"/>
  <c r="T42" i="58"/>
  <c r="T19" i="57"/>
  <c r="T45" i="59"/>
  <c r="T20" i="58"/>
  <c r="T17" i="57"/>
  <c r="T19" i="59"/>
  <c r="F6" i="50"/>
  <c r="U6" i="50"/>
  <c r="V6" i="50" s="1"/>
  <c r="G6" i="50" s="1"/>
  <c r="T46" i="58"/>
  <c r="T19" i="58"/>
  <c r="T49" i="58"/>
  <c r="T38" i="58"/>
  <c r="D9" i="50"/>
  <c r="T52" i="58"/>
  <c r="T21" i="58"/>
  <c r="T57" i="58"/>
  <c r="T65" i="58"/>
  <c r="T11" i="58"/>
  <c r="T23" i="58"/>
  <c r="T59" i="58"/>
  <c r="T40" i="58"/>
  <c r="T64" i="58"/>
  <c r="T62" i="58"/>
  <c r="T60" i="58"/>
  <c r="T36" i="58"/>
  <c r="T15" i="58"/>
  <c r="T69" i="58"/>
  <c r="T16" i="58"/>
  <c r="T55" i="58"/>
  <c r="T68" i="58"/>
  <c r="T37" i="58"/>
  <c r="T25" i="58"/>
  <c r="T28" i="58"/>
  <c r="T29" i="58"/>
  <c r="T14" i="58"/>
  <c r="T48" i="58"/>
  <c r="T53" i="58"/>
  <c r="T67" i="58"/>
  <c r="T63" i="58"/>
  <c r="T12" i="58"/>
  <c r="T50" i="58"/>
  <c r="T41" i="58"/>
  <c r="T13" i="58"/>
  <c r="T34" i="58"/>
  <c r="T54" i="58"/>
  <c r="T44" i="58"/>
  <c r="T61" i="58"/>
  <c r="T26" i="58"/>
  <c r="T39" i="58"/>
  <c r="T66" i="58"/>
  <c r="T58" i="58"/>
  <c r="T18" i="58"/>
  <c r="T64" i="57"/>
  <c r="T34" i="57"/>
  <c r="T51" i="58"/>
  <c r="T27" i="58"/>
  <c r="T58" i="57"/>
  <c r="T29" i="59"/>
  <c r="T22" i="58"/>
  <c r="T48" i="59"/>
  <c r="F12" i="50"/>
  <c r="O12" i="50"/>
  <c r="P12" i="50" s="1"/>
  <c r="G12" i="50" s="1"/>
  <c r="T33" i="57"/>
  <c r="T30" i="58"/>
  <c r="T28" i="57"/>
  <c r="T47" i="58"/>
  <c r="T49" i="59"/>
  <c r="T2" i="54"/>
  <c r="T39" i="60" l="1"/>
  <c r="D11" i="50"/>
  <c r="T46" i="60"/>
  <c r="T59" i="60"/>
  <c r="T56" i="60"/>
  <c r="T27" i="60"/>
  <c r="T33" i="60"/>
  <c r="T25" i="60"/>
  <c r="T47" i="60"/>
  <c r="T32" i="60"/>
  <c r="T37" i="60"/>
  <c r="T67" i="60"/>
  <c r="T49" i="60"/>
  <c r="T17" i="60"/>
  <c r="T18" i="60"/>
  <c r="T36" i="60"/>
  <c r="T14" i="60"/>
  <c r="T31" i="60"/>
  <c r="T43" i="60"/>
  <c r="T40" i="60"/>
  <c r="T58" i="60"/>
  <c r="T41" i="60"/>
  <c r="T24" i="60"/>
  <c r="T52" i="60"/>
  <c r="T44" i="60"/>
  <c r="T48" i="60"/>
  <c r="T23" i="60"/>
  <c r="T42" i="60"/>
  <c r="T22" i="60"/>
  <c r="T34" i="60"/>
  <c r="T19" i="60"/>
  <c r="T50" i="60"/>
  <c r="T60" i="60"/>
  <c r="T45" i="60"/>
  <c r="T54" i="60"/>
  <c r="T69" i="60"/>
  <c r="T21" i="60"/>
  <c r="T53" i="60"/>
  <c r="T64" i="60"/>
  <c r="T16" i="60"/>
  <c r="T51" i="60"/>
  <c r="T62" i="60"/>
  <c r="T55" i="60"/>
  <c r="T26" i="60"/>
  <c r="T29" i="60"/>
  <c r="T65" i="60"/>
  <c r="T13" i="60"/>
  <c r="T38" i="60"/>
  <c r="T35" i="60"/>
  <c r="T63" i="60"/>
  <c r="T66" i="60"/>
  <c r="T30" i="60"/>
  <c r="T28" i="60"/>
  <c r="T15" i="60"/>
  <c r="T57" i="60"/>
  <c r="L12" i="50"/>
  <c r="M12" i="50" s="1"/>
  <c r="S70" i="61"/>
  <c r="T61" i="60"/>
  <c r="T20" i="60"/>
  <c r="T68" i="60"/>
  <c r="T18" i="54"/>
  <c r="T34" i="54"/>
  <c r="T36" i="54"/>
  <c r="T15" i="54"/>
  <c r="T11" i="54"/>
  <c r="T55" i="54"/>
  <c r="T56" i="54"/>
  <c r="T57" i="54"/>
  <c r="T66" i="54"/>
  <c r="T64" i="54"/>
  <c r="T32" i="54"/>
  <c r="T21" i="54"/>
  <c r="T10" i="54"/>
  <c r="T8" i="54"/>
  <c r="D5" i="50"/>
  <c r="T17" i="54"/>
  <c r="T54" i="54"/>
  <c r="T38" i="54"/>
  <c r="T69" i="54"/>
  <c r="T44" i="54"/>
  <c r="T7" i="54"/>
  <c r="T30" i="54"/>
  <c r="T20" i="54"/>
  <c r="T45" i="54"/>
  <c r="T48" i="54"/>
  <c r="T31" i="54"/>
  <c r="T12" i="54"/>
  <c r="T41" i="54"/>
  <c r="T53" i="54"/>
  <c r="T52" i="54"/>
  <c r="T25" i="54"/>
  <c r="T14" i="54"/>
  <c r="T29" i="54"/>
  <c r="T65" i="54"/>
  <c r="T42" i="54"/>
  <c r="T39" i="54"/>
  <c r="T58" i="54"/>
  <c r="T37" i="54"/>
  <c r="T68" i="54"/>
  <c r="T35" i="54"/>
  <c r="T40" i="54"/>
  <c r="T33" i="54"/>
  <c r="T60" i="54"/>
  <c r="T22" i="54"/>
  <c r="T13" i="54"/>
  <c r="T46" i="54"/>
  <c r="T28" i="54"/>
  <c r="T49" i="54"/>
  <c r="T61" i="54"/>
  <c r="T63" i="54"/>
  <c r="T59" i="54"/>
  <c r="T16" i="54"/>
  <c r="T67" i="54"/>
  <c r="T26" i="54"/>
  <c r="T24" i="54"/>
  <c r="T47" i="54"/>
  <c r="T50" i="54"/>
  <c r="T27" i="54"/>
  <c r="T9" i="54"/>
  <c r="T51" i="54"/>
  <c r="T23" i="54"/>
  <c r="T19" i="54"/>
  <c r="T43" i="54"/>
  <c r="T62" i="54"/>
  <c r="S70" i="58"/>
  <c r="T23" i="53"/>
  <c r="T14" i="53"/>
  <c r="T59" i="53"/>
  <c r="T63" i="53"/>
  <c r="T52" i="53"/>
  <c r="T20" i="53"/>
  <c r="T49" i="53"/>
  <c r="T57" i="53"/>
  <c r="T9" i="53"/>
  <c r="T68" i="53"/>
  <c r="T30" i="53"/>
  <c r="T12" i="53"/>
  <c r="T35" i="53"/>
  <c r="T33" i="53"/>
  <c r="T48" i="53"/>
  <c r="T41" i="53"/>
  <c r="T60" i="53"/>
  <c r="T69" i="53"/>
  <c r="D4" i="50"/>
  <c r="T7" i="53"/>
  <c r="T24" i="53"/>
  <c r="T36" i="53"/>
  <c r="T50" i="53"/>
  <c r="T39" i="53"/>
  <c r="T67" i="53"/>
  <c r="T16" i="53"/>
  <c r="T56" i="53"/>
  <c r="T55" i="53"/>
  <c r="T51" i="53"/>
  <c r="T25" i="53"/>
  <c r="T53" i="53"/>
  <c r="T43" i="53"/>
  <c r="T66" i="53"/>
  <c r="T44" i="53"/>
  <c r="T8" i="53"/>
  <c r="T6" i="53"/>
  <c r="T46" i="53"/>
  <c r="T21" i="53"/>
  <c r="T27" i="53"/>
  <c r="T17" i="53"/>
  <c r="T18" i="53"/>
  <c r="T62" i="53"/>
  <c r="T32" i="53"/>
  <c r="T42" i="53"/>
  <c r="T19" i="53"/>
  <c r="T13" i="53"/>
  <c r="T38" i="53"/>
  <c r="T15" i="53"/>
  <c r="T45" i="53"/>
  <c r="T11" i="53"/>
  <c r="T47" i="53"/>
  <c r="T61" i="53"/>
  <c r="T10" i="53"/>
  <c r="T28" i="53"/>
  <c r="T64" i="53"/>
  <c r="T58" i="53"/>
  <c r="T65" i="53"/>
  <c r="T37" i="53"/>
  <c r="T40" i="53"/>
  <c r="T34" i="53"/>
  <c r="T31" i="53"/>
  <c r="T26" i="53"/>
  <c r="T29" i="53"/>
  <c r="T22" i="53"/>
  <c r="S70" i="57"/>
  <c r="O8" i="50"/>
  <c r="P8" i="50" s="1"/>
  <c r="O10" i="50"/>
  <c r="P10" i="50" s="1"/>
  <c r="F8" i="50"/>
  <c r="O9" i="50"/>
  <c r="P9" i="50" s="1"/>
  <c r="R10" i="50"/>
  <c r="S10" i="50" s="1"/>
  <c r="R9" i="50"/>
  <c r="S9" i="50" s="1"/>
  <c r="G9" i="50" s="1"/>
  <c r="F9" i="50"/>
  <c r="U10" i="50"/>
  <c r="V10" i="50" s="1"/>
  <c r="G10" i="50" s="1"/>
  <c r="F10" i="50"/>
  <c r="S70" i="59"/>
  <c r="F7" i="50"/>
  <c r="L10" i="50"/>
  <c r="M10" i="50" s="1"/>
  <c r="L9" i="50"/>
  <c r="M9" i="50" s="1"/>
  <c r="L8" i="50"/>
  <c r="M8" i="50" s="1"/>
  <c r="L7" i="50"/>
  <c r="M7" i="50" s="1"/>
  <c r="S70" i="56"/>
  <c r="T54" i="53"/>
  <c r="S70" i="60" l="1"/>
  <c r="F11" i="50"/>
  <c r="L11" i="50"/>
  <c r="M11" i="50" s="1"/>
  <c r="G11" i="50" s="1"/>
  <c r="G8" i="50"/>
  <c r="F5" i="50"/>
  <c r="R6" i="50"/>
  <c r="S6" i="50" s="1"/>
  <c r="R5" i="50"/>
  <c r="S5" i="50" s="1"/>
  <c r="G5" i="50" s="1"/>
  <c r="G7" i="50"/>
  <c r="S70" i="53"/>
  <c r="O6" i="50"/>
  <c r="P6" i="50" s="1"/>
  <c r="F4" i="50"/>
  <c r="O5" i="50"/>
  <c r="P5" i="50" s="1"/>
  <c r="O4" i="50"/>
  <c r="P4" i="50" s="1"/>
  <c r="G4" i="50" s="1"/>
  <c r="L6" i="50"/>
  <c r="M6" i="50" s="1"/>
  <c r="L5" i="50"/>
  <c r="M5" i="50" s="1"/>
  <c r="L4" i="50"/>
  <c r="M4" i="50" s="1"/>
  <c r="G3" i="50" s="1"/>
  <c r="S70" i="54"/>
</calcChain>
</file>

<file path=xl/sharedStrings.xml><?xml version="1.0" encoding="utf-8"?>
<sst xmlns="http://schemas.openxmlformats.org/spreadsheetml/2006/main" count="416" uniqueCount="61">
  <si>
    <t>Age</t>
  </si>
  <si>
    <t>Experience Adjustment</t>
  </si>
  <si>
    <t>Expected Pretax Income</t>
  </si>
  <si>
    <t>Experience Premium</t>
  </si>
  <si>
    <t>Experience Normalization</t>
  </si>
  <si>
    <t>Years of Education</t>
  </si>
  <si>
    <t>Expected Compensation</t>
  </si>
  <si>
    <t>Tuition</t>
  </si>
  <si>
    <t>Completion Probability</t>
  </si>
  <si>
    <t>Unemployment Probability</t>
  </si>
  <si>
    <t>2011 Tax Table, standard deduction 5800, personal exemption 3700, 10% state taxes &amp; local taxes, FICA, $300/week unemployment benefit</t>
  </si>
  <si>
    <t>Start Age</t>
  </si>
  <si>
    <t xml:space="preserve">Taxable Income </t>
  </si>
  <si>
    <t>Return to Education</t>
  </si>
  <si>
    <t>Expected Value</t>
  </si>
  <si>
    <t>Expected Present Value</t>
  </si>
  <si>
    <t>Years of Experience</t>
  </si>
  <si>
    <t>School Happiness</t>
  </si>
  <si>
    <t xml:space="preserve">Expected After-Tax Income </t>
  </si>
  <si>
    <t xml:space="preserve">Expected Taxes </t>
  </si>
  <si>
    <t>Initial Unemployment</t>
  </si>
  <si>
    <t>Return Rate</t>
  </si>
  <si>
    <t>Year 1 Probability Distribution</t>
  </si>
  <si>
    <t>Year 2 Probability Distribution</t>
  </si>
  <si>
    <t>Year 3 Probability Distribution</t>
  </si>
  <si>
    <t>Year 4 Probability Distribution</t>
  </si>
  <si>
    <t>Year 1 Stopping Return</t>
  </si>
  <si>
    <t>Year 2 Stopping Return</t>
  </si>
  <si>
    <t>Year 3 Stopping Return</t>
  </si>
  <si>
    <t>Year 4 Stopping Return</t>
  </si>
  <si>
    <t>Year 1 Stopping Rate</t>
  </si>
  <si>
    <t>Year 2 Stopping Rate</t>
  </si>
  <si>
    <t>Year 3 Stopping Rate</t>
  </si>
  <si>
    <t>Year 4 Stopping Rate</t>
  </si>
  <si>
    <t>Degree Return</t>
  </si>
  <si>
    <t xml:space="preserve"> Pretax Income</t>
  </si>
  <si>
    <t>Benefits</t>
  </si>
  <si>
    <t xml:space="preserve"> Pretax Income if Employed (including student earnings)</t>
  </si>
  <si>
    <t xml:space="preserve"> Benefits if Employed</t>
  </si>
  <si>
    <t>High School Tuition</t>
  </si>
  <si>
    <t>College Tuition</t>
  </si>
  <si>
    <t>School Feelings</t>
  </si>
  <si>
    <t>Participation Rate</t>
  </si>
  <si>
    <t>Social Income</t>
  </si>
  <si>
    <t>Social Benefits</t>
  </si>
  <si>
    <t>Social Unemployment</t>
  </si>
  <si>
    <t>Social Participation</t>
  </si>
  <si>
    <t>Average Net Tax Rate</t>
  </si>
  <si>
    <t>Expected Productivity if Participating</t>
  </si>
  <si>
    <t>Participation</t>
  </si>
  <si>
    <t>Nonparticipation Transfers</t>
  </si>
  <si>
    <t>Crime Risk Factor</t>
  </si>
  <si>
    <t>Crime Risk Factor from crimeworksheet.xls</t>
  </si>
  <si>
    <t>Social Crime Cost</t>
  </si>
  <si>
    <t>Expected Crime Costs</t>
  </si>
  <si>
    <t>Enhanced Participation Benefit</t>
  </si>
  <si>
    <t>Initial Social Participation</t>
  </si>
  <si>
    <t>Social Return to Education</t>
  </si>
  <si>
    <t>Crime Reduction Benefit</t>
  </si>
  <si>
    <t>Expected Productivity Benefit</t>
  </si>
  <si>
    <t>All other variables from metapartf.xls and 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</si>
</sst>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8" formatCode="0.000"/>
    <numFmt numFmtId="170" formatCode="0.0000000"/>
    <numFmt numFmtId="171" formatCode="0.0000"/>
    <numFmt numFmtId="173" formatCode="0.0"/>
    <numFmt numFmtId="174" formatCode="0.0%"/>
  </numFmts>
  <fonts count="8" x14ac:knownFonts="1">
    <font>
      <sz val="10"/>
      <name val="Arial"/>
      <family val="2"/>
    </font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168" fontId="3" fillId="0" borderId="0" applyFont="0" applyAlignment="0"/>
    <xf numFmtId="3" fontId="3" fillId="0" borderId="0"/>
    <xf numFmtId="1" fontId="3" fillId="0" borderId="0"/>
    <xf numFmtId="174" fontId="3" fillId="0" borderId="0"/>
    <xf numFmtId="168" fontId="6" fillId="0" borderId="0"/>
  </cellStyleXfs>
  <cellXfs count="33">
    <xf numFmtId="0" fontId="0" fillId="0" borderId="0" xfId="0"/>
    <xf numFmtId="168" fontId="0" fillId="0" borderId="0" xfId="0" applyNumberFormat="1"/>
    <xf numFmtId="168" fontId="3" fillId="0" borderId="0" xfId="0" applyNumberFormat="1" applyFont="1"/>
    <xf numFmtId="168" fontId="4" fillId="0" borderId="0" xfId="0" applyNumberFormat="1" applyFont="1"/>
    <xf numFmtId="170" fontId="0" fillId="0" borderId="0" xfId="0" applyNumberFormat="1"/>
    <xf numFmtId="1" fontId="0" fillId="0" borderId="0" xfId="0" applyNumberFormat="1"/>
    <xf numFmtId="171" fontId="0" fillId="0" borderId="0" xfId="0" applyNumberFormat="1"/>
    <xf numFmtId="1" fontId="3" fillId="0" borderId="0" xfId="0" applyNumberFormat="1" applyFont="1"/>
    <xf numFmtId="168" fontId="1" fillId="0" borderId="0" xfId="0" applyNumberFormat="1" applyFont="1"/>
    <xf numFmtId="0" fontId="1" fillId="0" borderId="0" xfId="0" applyFont="1"/>
    <xf numFmtId="168" fontId="1" fillId="0" borderId="0" xfId="0" applyNumberFormat="1" applyFont="1" applyAlignment="1">
      <alignment horizontal="right"/>
    </xf>
    <xf numFmtId="168" fontId="1" fillId="0" borderId="0" xfId="0" applyNumberFormat="1" applyFont="1" applyBorder="1" applyAlignment="1">
      <alignment vertical="top" wrapText="1"/>
    </xf>
    <xf numFmtId="168" fontId="5" fillId="0" borderId="0" xfId="0" applyNumberFormat="1" applyFont="1"/>
    <xf numFmtId="2" fontId="0" fillId="0" borderId="0" xfId="0" applyNumberFormat="1"/>
    <xf numFmtId="0" fontId="3" fillId="0" borderId="0" xfId="0" applyNumberFormat="1" applyFont="1"/>
    <xf numFmtId="173" fontId="1" fillId="0" borderId="0" xfId="0" applyNumberFormat="1" applyFont="1"/>
    <xf numFmtId="0" fontId="3" fillId="0" borderId="0" xfId="0" applyNumberFormat="1" applyFont="1" applyBorder="1"/>
    <xf numFmtId="0" fontId="4" fillId="0" borderId="0" xfId="0" applyNumberFormat="1" applyFont="1" applyBorder="1" applyAlignment="1">
      <alignment vertical="top" wrapText="1"/>
    </xf>
    <xf numFmtId="1" fontId="1" fillId="0" borderId="0" xfId="0" applyNumberFormat="1" applyFont="1"/>
    <xf numFmtId="3" fontId="0" fillId="0" borderId="0" xfId="0" applyNumberFormat="1" applyAlignment="1">
      <alignment horizontal="right" vertical="center"/>
    </xf>
    <xf numFmtId="168" fontId="0" fillId="0" borderId="0" xfId="0" applyNumberFormat="1" applyFont="1"/>
    <xf numFmtId="3" fontId="3" fillId="0" borderId="0" xfId="2"/>
    <xf numFmtId="1" fontId="3" fillId="0" borderId="0" xfId="3"/>
    <xf numFmtId="0" fontId="0" fillId="0" borderId="0" xfId="0" applyAlignment="1">
      <alignment horizontal="right" vertical="center"/>
    </xf>
    <xf numFmtId="168" fontId="0" fillId="0" borderId="0" xfId="1" applyFont="1" applyAlignment="1">
      <alignment horizontal="right" vertical="center"/>
    </xf>
    <xf numFmtId="3" fontId="0" fillId="0" borderId="0" xfId="0" applyNumberFormat="1" applyFont="1"/>
    <xf numFmtId="168" fontId="3" fillId="0" borderId="0" xfId="1"/>
    <xf numFmtId="1" fontId="0" fillId="0" borderId="0" xfId="0" applyNumberFormat="1" applyFont="1"/>
    <xf numFmtId="0" fontId="0" fillId="0" borderId="0" xfId="0" applyNumberFormat="1" applyFont="1" applyBorder="1"/>
    <xf numFmtId="168" fontId="0" fillId="0" borderId="0" xfId="1" applyFont="1"/>
    <xf numFmtId="49" fontId="1" fillId="0" borderId="0" xfId="0" applyNumberFormat="1" applyFont="1"/>
    <xf numFmtId="0" fontId="7" fillId="0" borderId="0" xfId="0" applyFont="1" applyAlignment="1">
      <alignment horizontal="right" vertical="center"/>
    </xf>
    <xf numFmtId="0" fontId="0" fillId="0" borderId="0" xfId="0" applyAlignment="1">
      <alignment vertical="center"/>
    </xf>
  </cellXfs>
  <cellStyles count="6">
    <cellStyle name="3Decimals" xfId="1"/>
    <cellStyle name="NoDecimals" xfId="2"/>
    <cellStyle name="NoDecimalsNoComma" xfId="3"/>
    <cellStyle name="Normal" xfId="0" builtinId="0" customBuiltin="1"/>
    <cellStyle name="PercentOneDecimal" xfId="4"/>
    <cellStyle name="Style 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3"/>
  <sheetViews>
    <sheetView topLeftCell="B1" workbookViewId="0">
      <selection activeCell="P6" sqref="P6"/>
    </sheetView>
  </sheetViews>
  <sheetFormatPr defaultRowHeight="12.75" x14ac:dyDescent="0.2"/>
  <cols>
    <col min="1" max="1" width="9.140625" style="18"/>
    <col min="2" max="3" width="12.42578125" style="8" customWidth="1"/>
    <col min="4" max="7" width="9.140625" style="8"/>
    <col min="8" max="8" width="9.5703125" style="8" customWidth="1"/>
    <col min="9" max="10" width="9.140625" style="8"/>
    <col min="11" max="11" width="9.5703125" style="8" customWidth="1"/>
    <col min="12" max="12" width="9.140625" style="9"/>
    <col min="13" max="16384" width="9.140625" style="8"/>
  </cols>
  <sheetData>
    <row r="1" spans="1:24" x14ac:dyDescent="0.2">
      <c r="A1" s="18" t="s">
        <v>5</v>
      </c>
      <c r="B1" s="20" t="s">
        <v>35</v>
      </c>
      <c r="C1" s="20" t="s">
        <v>36</v>
      </c>
      <c r="D1" s="8" t="s">
        <v>9</v>
      </c>
      <c r="E1" s="8" t="s">
        <v>8</v>
      </c>
      <c r="F1" s="20" t="s">
        <v>42</v>
      </c>
      <c r="H1" s="8" t="s">
        <v>3</v>
      </c>
      <c r="I1" s="8" t="s">
        <v>4</v>
      </c>
      <c r="L1" s="9" t="s">
        <v>16</v>
      </c>
      <c r="M1" s="8" t="s">
        <v>1</v>
      </c>
      <c r="N1" s="20" t="s">
        <v>0</v>
      </c>
      <c r="O1" s="20" t="s">
        <v>51</v>
      </c>
      <c r="P1" s="8" t="s">
        <v>39</v>
      </c>
      <c r="Q1" s="8" t="s">
        <v>40</v>
      </c>
      <c r="R1" s="8" t="s">
        <v>41</v>
      </c>
      <c r="S1" s="20" t="s">
        <v>50</v>
      </c>
      <c r="T1" s="20" t="s">
        <v>43</v>
      </c>
      <c r="U1" s="20" t="s">
        <v>44</v>
      </c>
      <c r="V1" s="20" t="s">
        <v>45</v>
      </c>
      <c r="W1" s="20" t="s">
        <v>53</v>
      </c>
      <c r="X1" s="20" t="s">
        <v>46</v>
      </c>
    </row>
    <row r="2" spans="1:24" x14ac:dyDescent="0.2">
      <c r="A2" s="18">
        <v>8</v>
      </c>
      <c r="B2" s="19">
        <v>23686</v>
      </c>
      <c r="C2" s="19">
        <v>10896</v>
      </c>
      <c r="D2" s="23">
        <v>8.8999999999999996E-2</v>
      </c>
      <c r="E2" s="23">
        <v>1</v>
      </c>
      <c r="F2" s="23">
        <v>0.45100000000000001</v>
      </c>
      <c r="G2" s="24"/>
      <c r="H2" s="8">
        <v>2.5000000000000001E-2</v>
      </c>
      <c r="I2" s="10">
        <f>AVERAGE(M2:M53)</f>
        <v>2.0085479604911836</v>
      </c>
      <c r="J2" s="13"/>
      <c r="K2" s="18"/>
      <c r="L2" s="9">
        <v>0</v>
      </c>
      <c r="M2" s="8">
        <f t="shared" ref="M2:M33" si="0">(1+experiencepremium)^L2</f>
        <v>1</v>
      </c>
      <c r="N2" s="22">
        <v>14</v>
      </c>
      <c r="O2" s="31">
        <v>1.3220000000000001</v>
      </c>
      <c r="P2" s="25">
        <v>11298</v>
      </c>
      <c r="Q2" s="25">
        <v>8279</v>
      </c>
      <c r="R2" s="8">
        <v>0.28000000000000003</v>
      </c>
      <c r="S2" s="22">
        <f>4362+2192</f>
        <v>6554</v>
      </c>
      <c r="T2" s="19">
        <v>29445</v>
      </c>
      <c r="U2" s="19">
        <v>13545</v>
      </c>
      <c r="V2" s="23">
        <v>6.5000000000000002E-2</v>
      </c>
      <c r="W2" s="23">
        <v>379</v>
      </c>
      <c r="X2" s="23">
        <v>0.54</v>
      </c>
    </row>
    <row r="3" spans="1:24" x14ac:dyDescent="0.2">
      <c r="A3" s="18">
        <v>9</v>
      </c>
      <c r="B3" s="19">
        <v>24892</v>
      </c>
      <c r="C3" s="19">
        <v>11450</v>
      </c>
      <c r="D3" s="23">
        <v>8.4000000000000005E-2</v>
      </c>
      <c r="E3" s="23">
        <v>0.95</v>
      </c>
      <c r="F3" s="23">
        <v>0.46899999999999997</v>
      </c>
      <c r="G3" s="24"/>
      <c r="I3" s="10">
        <f>AVERAGE(M2:M52)</f>
        <v>1.978852107996969</v>
      </c>
      <c r="J3" s="13"/>
      <c r="K3" s="18"/>
      <c r="L3" s="9">
        <v>1</v>
      </c>
      <c r="M3" s="8">
        <f t="shared" si="0"/>
        <v>1.0249999999999999</v>
      </c>
      <c r="N3" s="22">
        <v>15</v>
      </c>
      <c r="O3" s="31">
        <v>2.1720000000000002</v>
      </c>
      <c r="Q3" s="15"/>
      <c r="R3" s="15"/>
      <c r="T3" s="19">
        <v>30122</v>
      </c>
      <c r="U3" s="19">
        <v>13856</v>
      </c>
      <c r="V3" s="23">
        <v>6.4000000000000001E-2</v>
      </c>
      <c r="W3" s="23">
        <v>371</v>
      </c>
      <c r="X3" s="23">
        <v>0.55000000000000004</v>
      </c>
    </row>
    <row r="4" spans="1:24" x14ac:dyDescent="0.2">
      <c r="A4" s="18">
        <v>10</v>
      </c>
      <c r="B4" s="19">
        <v>26159</v>
      </c>
      <c r="C4" s="19">
        <v>12033</v>
      </c>
      <c r="D4" s="23">
        <v>7.9000000000000001E-2</v>
      </c>
      <c r="E4" s="23">
        <v>0.95</v>
      </c>
      <c r="F4" s="23">
        <v>0.48899999999999999</v>
      </c>
      <c r="G4" s="24"/>
      <c r="I4" s="10">
        <f>AVERAGE(M2:M51)</f>
        <v>1.9496869757628374</v>
      </c>
      <c r="J4" s="13"/>
      <c r="K4" s="18"/>
      <c r="L4" s="9">
        <v>2</v>
      </c>
      <c r="M4" s="8">
        <f t="shared" si="0"/>
        <v>1.0506249999999999</v>
      </c>
      <c r="N4" s="22">
        <v>16</v>
      </c>
      <c r="O4" s="31">
        <v>2.633</v>
      </c>
      <c r="Q4" s="15"/>
      <c r="R4" s="15"/>
      <c r="T4" s="19">
        <v>30815</v>
      </c>
      <c r="U4" s="19">
        <v>14175</v>
      </c>
      <c r="V4" s="23">
        <v>6.2E-2</v>
      </c>
      <c r="W4" s="23">
        <v>364</v>
      </c>
      <c r="X4" s="23">
        <v>0.56000000000000005</v>
      </c>
    </row>
    <row r="5" spans="1:24" x14ac:dyDescent="0.2">
      <c r="A5" s="18">
        <v>11</v>
      </c>
      <c r="B5" s="19">
        <v>27491</v>
      </c>
      <c r="C5" s="19">
        <v>12646</v>
      </c>
      <c r="D5" s="23">
        <v>7.3999999999999996E-2</v>
      </c>
      <c r="E5" s="23">
        <v>0.95</v>
      </c>
      <c r="F5" s="23">
        <v>0.50900000000000001</v>
      </c>
      <c r="G5" s="24"/>
      <c r="I5" s="10">
        <f>AVERAGE(M2:M50)</f>
        <v>1.9210422854781857</v>
      </c>
      <c r="J5" s="13"/>
      <c r="K5" s="18"/>
      <c r="L5" s="9">
        <v>3</v>
      </c>
      <c r="M5" s="8">
        <f t="shared" si="0"/>
        <v>1.0768906249999999</v>
      </c>
      <c r="N5" s="22">
        <v>17</v>
      </c>
      <c r="O5" s="31">
        <v>2.8919999999999999</v>
      </c>
      <c r="Q5" s="15"/>
      <c r="R5" s="15"/>
      <c r="T5" s="19">
        <v>31524</v>
      </c>
      <c r="U5" s="19">
        <v>14501</v>
      </c>
      <c r="V5" s="23">
        <v>6.0999999999999999E-2</v>
      </c>
      <c r="W5" s="23">
        <v>356</v>
      </c>
      <c r="X5" s="23">
        <v>0.56999999999999995</v>
      </c>
    </row>
    <row r="6" spans="1:24" x14ac:dyDescent="0.2">
      <c r="A6" s="18">
        <v>12</v>
      </c>
      <c r="B6" s="19">
        <v>32249</v>
      </c>
      <c r="C6" s="19">
        <v>14835</v>
      </c>
      <c r="D6" s="23">
        <v>5.8999999999999997E-2</v>
      </c>
      <c r="E6" s="23">
        <v>0.95</v>
      </c>
      <c r="F6" s="23">
        <v>0.58099999999999996</v>
      </c>
      <c r="G6" s="24"/>
      <c r="I6" s="10">
        <f>AVERAGE(M2:M49)</f>
        <v>1.8929079672445346</v>
      </c>
      <c r="J6" s="13"/>
      <c r="K6" s="18"/>
      <c r="L6" s="9">
        <v>4</v>
      </c>
      <c r="M6" s="8">
        <f t="shared" si="0"/>
        <v>1.1038128906249998</v>
      </c>
      <c r="N6" s="22">
        <v>18</v>
      </c>
      <c r="O6" s="31">
        <v>3.383</v>
      </c>
      <c r="Q6" s="15"/>
      <c r="R6" s="15"/>
      <c r="T6" s="19">
        <v>32249</v>
      </c>
      <c r="U6" s="19">
        <v>14835</v>
      </c>
      <c r="V6" s="23">
        <v>5.8999999999999997E-2</v>
      </c>
      <c r="W6" s="23">
        <v>349</v>
      </c>
      <c r="X6" s="23">
        <v>0.58099999999999996</v>
      </c>
    </row>
    <row r="7" spans="1:24" x14ac:dyDescent="0.2">
      <c r="A7" s="18">
        <v>13</v>
      </c>
      <c r="B7" s="19">
        <v>33585</v>
      </c>
      <c r="C7" s="19">
        <v>15366</v>
      </c>
      <c r="D7" s="23">
        <v>5.7000000000000002E-2</v>
      </c>
      <c r="E7" s="23">
        <v>0.64800000000000002</v>
      </c>
      <c r="F7" s="23">
        <v>0.58799999999999997</v>
      </c>
      <c r="G7" s="24"/>
      <c r="I7" s="10">
        <f>AVERAGE(M2:M48)</f>
        <v>1.8652741552202943</v>
      </c>
      <c r="J7" s="13"/>
      <c r="K7" s="18"/>
      <c r="L7" s="9">
        <v>5</v>
      </c>
      <c r="M7" s="8">
        <f t="shared" si="0"/>
        <v>1.1314082128906247</v>
      </c>
      <c r="N7" s="22">
        <v>19</v>
      </c>
      <c r="O7" s="31">
        <v>3.641</v>
      </c>
      <c r="Q7" s="15"/>
      <c r="R7" s="15"/>
      <c r="T7" s="19">
        <v>32941</v>
      </c>
      <c r="U7" s="19">
        <v>15108</v>
      </c>
      <c r="V7" s="23">
        <v>5.8000000000000003E-2</v>
      </c>
      <c r="W7" s="23">
        <v>346</v>
      </c>
      <c r="X7" s="23">
        <v>0.58399999999999996</v>
      </c>
    </row>
    <row r="8" spans="1:24" x14ac:dyDescent="0.2">
      <c r="A8" s="18">
        <v>14</v>
      </c>
      <c r="B8" s="19">
        <v>34977</v>
      </c>
      <c r="C8" s="19">
        <v>15917</v>
      </c>
      <c r="D8" s="23">
        <v>5.6000000000000001E-2</v>
      </c>
      <c r="E8" s="23">
        <v>0.64800000000000002</v>
      </c>
      <c r="F8" s="23">
        <v>0.59399999999999997</v>
      </c>
      <c r="G8" s="24"/>
      <c r="I8" s="10">
        <f>AVERAGE(M2:M47)</f>
        <v>1.8381311833585117</v>
      </c>
      <c r="J8" s="13"/>
      <c r="K8" s="18"/>
      <c r="L8" s="9">
        <v>6</v>
      </c>
      <c r="M8" s="8">
        <f t="shared" si="0"/>
        <v>1.1596934182128902</v>
      </c>
      <c r="N8" s="22">
        <v>20</v>
      </c>
      <c r="O8" s="31">
        <v>3.4809999999999999</v>
      </c>
      <c r="Q8" s="15"/>
      <c r="R8" s="15"/>
      <c r="T8" s="19">
        <v>33648</v>
      </c>
      <c r="U8" s="19">
        <v>15386</v>
      </c>
      <c r="V8" s="23">
        <v>5.8000000000000003E-2</v>
      </c>
      <c r="W8" s="23">
        <v>344</v>
      </c>
      <c r="X8" s="23">
        <v>0.58799999999999997</v>
      </c>
    </row>
    <row r="9" spans="1:24" x14ac:dyDescent="0.2">
      <c r="A9" s="18">
        <v>15</v>
      </c>
      <c r="B9" s="19">
        <v>36426</v>
      </c>
      <c r="C9" s="19">
        <v>16488</v>
      </c>
      <c r="D9" s="23">
        <v>5.5E-2</v>
      </c>
      <c r="E9" s="23">
        <v>0.64800000000000002</v>
      </c>
      <c r="F9" s="23">
        <v>0.60099999999999998</v>
      </c>
      <c r="G9" s="24"/>
      <c r="I9" s="10">
        <f>AVERAGE(M2:M46)</f>
        <v>1.8114695812355892</v>
      </c>
      <c r="J9" s="13"/>
      <c r="K9" s="18"/>
      <c r="L9" s="9">
        <v>7</v>
      </c>
      <c r="M9" s="8">
        <f t="shared" si="0"/>
        <v>1.1886857536682125</v>
      </c>
      <c r="N9" s="22">
        <v>21</v>
      </c>
      <c r="O9" s="31">
        <v>3.117</v>
      </c>
      <c r="Q9" s="15"/>
      <c r="R9" s="15"/>
      <c r="T9" s="19">
        <v>34369</v>
      </c>
      <c r="U9" s="19">
        <v>15669</v>
      </c>
      <c r="V9" s="23">
        <v>5.7000000000000002E-2</v>
      </c>
      <c r="W9" s="23">
        <v>341</v>
      </c>
      <c r="X9" s="23">
        <v>0.59099999999999997</v>
      </c>
    </row>
    <row r="10" spans="1:24" x14ac:dyDescent="0.2">
      <c r="A10" s="18">
        <v>16</v>
      </c>
      <c r="B10" s="19">
        <v>46540</v>
      </c>
      <c r="C10" s="19">
        <v>20447</v>
      </c>
      <c r="D10" s="23">
        <v>4.4999999999999998E-2</v>
      </c>
      <c r="E10" s="23">
        <v>0.64800000000000002</v>
      </c>
      <c r="F10" s="23">
        <v>0.64700000000000002</v>
      </c>
      <c r="G10" s="24"/>
      <c r="I10" s="10">
        <f>AVERAGE(M2:M45)</f>
        <v>1.7852800699689915</v>
      </c>
      <c r="J10" s="13"/>
      <c r="K10" s="18"/>
      <c r="L10" s="9">
        <v>8</v>
      </c>
      <c r="M10" s="8">
        <f t="shared" si="0"/>
        <v>1.2184028975099177</v>
      </c>
      <c r="N10" s="22">
        <v>22</v>
      </c>
      <c r="O10" s="31">
        <v>2.871</v>
      </c>
      <c r="Q10" s="15"/>
      <c r="R10" s="15"/>
      <c r="T10" s="19">
        <v>35107</v>
      </c>
      <c r="U10" s="19">
        <v>15957</v>
      </c>
      <c r="V10" s="23">
        <v>5.6000000000000001E-2</v>
      </c>
      <c r="W10" s="23">
        <v>338</v>
      </c>
      <c r="X10" s="23">
        <v>0.59399999999999997</v>
      </c>
    </row>
    <row r="11" spans="1:24" x14ac:dyDescent="0.2">
      <c r="A11" s="18">
        <v>17</v>
      </c>
      <c r="B11" s="19">
        <v>47332</v>
      </c>
      <c r="C11" s="19">
        <v>20713</v>
      </c>
      <c r="D11" s="23">
        <v>4.3999999999999997E-2</v>
      </c>
      <c r="E11" s="23">
        <v>0.36299999999999999</v>
      </c>
      <c r="F11" s="23">
        <v>0.64700000000000002</v>
      </c>
      <c r="G11" s="24"/>
      <c r="I11" s="10">
        <f>AVERAGE(M2:M44)</f>
        <v>1.7595535582220223</v>
      </c>
      <c r="J11" s="13"/>
      <c r="K11" s="18"/>
      <c r="L11" s="9">
        <v>9</v>
      </c>
      <c r="M11" s="8">
        <f t="shared" si="0"/>
        <v>1.2488629699476654</v>
      </c>
      <c r="N11" s="22">
        <v>23</v>
      </c>
      <c r="O11" s="31">
        <v>2.6869999999999998</v>
      </c>
      <c r="Q11" s="15"/>
      <c r="R11" s="15"/>
      <c r="T11" s="19">
        <v>35571</v>
      </c>
      <c r="U11" s="19">
        <v>16118</v>
      </c>
      <c r="V11" s="23">
        <v>5.6000000000000001E-2</v>
      </c>
      <c r="W11" s="23">
        <v>338</v>
      </c>
      <c r="X11" s="23">
        <v>0.59399999999999997</v>
      </c>
    </row>
    <row r="12" spans="1:24" x14ac:dyDescent="0.2">
      <c r="A12" s="18">
        <v>18</v>
      </c>
      <c r="B12" s="19">
        <v>52731</v>
      </c>
      <c r="C12" s="19">
        <v>22518</v>
      </c>
      <c r="D12" s="23">
        <v>3.9E-2</v>
      </c>
      <c r="E12" s="23">
        <v>0.36299999999999999</v>
      </c>
      <c r="F12" s="23">
        <v>0.64700000000000002</v>
      </c>
      <c r="G12" s="24"/>
      <c r="I12" s="10">
        <f>AVERAGE(M2:M43)</f>
        <v>1.7342811382937739</v>
      </c>
      <c r="J12" s="13"/>
      <c r="K12" s="18"/>
      <c r="L12" s="9">
        <v>10</v>
      </c>
      <c r="M12" s="8">
        <f t="shared" si="0"/>
        <v>1.2800845441963571</v>
      </c>
      <c r="N12" s="22">
        <v>24</v>
      </c>
      <c r="O12" s="31">
        <v>2.573</v>
      </c>
      <c r="Q12" s="15"/>
      <c r="R12" s="15"/>
      <c r="T12" s="19">
        <v>36041</v>
      </c>
      <c r="U12" s="19">
        <v>16280</v>
      </c>
      <c r="V12" s="23">
        <v>5.5E-2</v>
      </c>
      <c r="W12" s="23">
        <v>338</v>
      </c>
      <c r="X12" s="23">
        <v>0.59399999999999997</v>
      </c>
    </row>
    <row r="13" spans="1:24" x14ac:dyDescent="0.2">
      <c r="B13"/>
      <c r="C13"/>
      <c r="F13" s="2"/>
      <c r="L13" s="9">
        <v>11</v>
      </c>
      <c r="M13" s="8">
        <f t="shared" si="0"/>
        <v>1.312086657801266</v>
      </c>
      <c r="N13" s="22">
        <v>25</v>
      </c>
      <c r="O13" s="31">
        <v>2.1779999999999999</v>
      </c>
    </row>
    <row r="14" spans="1:24" x14ac:dyDescent="0.2">
      <c r="B14" s="14"/>
      <c r="C14" s="14"/>
      <c r="D14" s="16"/>
      <c r="E14" s="16"/>
      <c r="F14" s="16"/>
      <c r="L14" s="9">
        <v>12</v>
      </c>
      <c r="M14" s="8">
        <f t="shared" si="0"/>
        <v>1.3448888242462975</v>
      </c>
      <c r="N14" s="22">
        <v>26</v>
      </c>
      <c r="O14" s="31">
        <v>2.1779999999999999</v>
      </c>
    </row>
    <row r="15" spans="1:24" ht="14.25" x14ac:dyDescent="0.2">
      <c r="B15" s="14"/>
      <c r="C15" s="14"/>
      <c r="D15" s="17"/>
      <c r="E15" s="17"/>
      <c r="F15" s="28"/>
      <c r="L15" s="9">
        <v>13</v>
      </c>
      <c r="M15" s="8">
        <f t="shared" si="0"/>
        <v>1.3785110448524549</v>
      </c>
      <c r="N15" s="22">
        <v>27</v>
      </c>
      <c r="O15" s="31">
        <v>2.1779999999999999</v>
      </c>
    </row>
    <row r="16" spans="1:24" ht="14.25" x14ac:dyDescent="0.2">
      <c r="B16" s="14"/>
      <c r="C16" s="14"/>
      <c r="D16" s="17"/>
      <c r="E16" s="17"/>
      <c r="F16" s="16" t="s">
        <v>52</v>
      </c>
      <c r="L16" s="9">
        <v>14</v>
      </c>
      <c r="M16" s="8">
        <f t="shared" si="0"/>
        <v>1.4129738209737661</v>
      </c>
      <c r="N16" s="22">
        <v>28</v>
      </c>
      <c r="O16" s="31">
        <v>2.1779999999999999</v>
      </c>
    </row>
    <row r="17" spans="2:15" ht="14.25" x14ac:dyDescent="0.2">
      <c r="B17" s="14"/>
      <c r="C17" s="14"/>
      <c r="D17" s="17"/>
      <c r="E17" s="17"/>
      <c r="F17" s="28" t="s">
        <v>60</v>
      </c>
      <c r="L17" s="9">
        <v>15</v>
      </c>
      <c r="M17" s="8">
        <f t="shared" si="0"/>
        <v>1.4482981664981105</v>
      </c>
      <c r="N17" s="22">
        <v>29</v>
      </c>
      <c r="O17" s="31">
        <v>2.1779999999999999</v>
      </c>
    </row>
    <row r="18" spans="2:15" ht="14.25" x14ac:dyDescent="0.2">
      <c r="B18" s="14"/>
      <c r="C18" s="14"/>
      <c r="D18" s="17"/>
      <c r="E18" s="17"/>
      <c r="F18" s="16"/>
      <c r="L18" s="9">
        <v>16</v>
      </c>
      <c r="M18" s="8">
        <f t="shared" si="0"/>
        <v>1.4845056206605631</v>
      </c>
      <c r="N18" s="22">
        <v>30</v>
      </c>
      <c r="O18" s="31">
        <v>1.718</v>
      </c>
    </row>
    <row r="19" spans="2:15" ht="14.25" x14ac:dyDescent="0.2">
      <c r="B19" s="14"/>
      <c r="C19" s="14"/>
      <c r="D19" s="17"/>
      <c r="E19" s="17"/>
      <c r="F19" s="16"/>
      <c r="L19" s="9">
        <v>17</v>
      </c>
      <c r="M19" s="8">
        <f t="shared" si="0"/>
        <v>1.521618261177077</v>
      </c>
      <c r="N19" s="22">
        <v>31</v>
      </c>
      <c r="O19" s="31">
        <v>1.718</v>
      </c>
    </row>
    <row r="20" spans="2:15" ht="14.25" x14ac:dyDescent="0.2">
      <c r="B20" s="14"/>
      <c r="C20" s="14"/>
      <c r="D20" s="17"/>
      <c r="E20" s="17"/>
      <c r="F20" s="16"/>
      <c r="L20" s="9">
        <v>18</v>
      </c>
      <c r="M20" s="8">
        <f t="shared" si="0"/>
        <v>1.559658717706504</v>
      </c>
      <c r="N20" s="22">
        <v>32</v>
      </c>
      <c r="O20" s="31">
        <v>1.718</v>
      </c>
    </row>
    <row r="21" spans="2:15" ht="14.25" x14ac:dyDescent="0.2">
      <c r="B21" s="14"/>
      <c r="C21" s="14"/>
      <c r="D21" s="17"/>
      <c r="E21" s="17"/>
      <c r="F21" s="16"/>
      <c r="L21" s="9">
        <v>19</v>
      </c>
      <c r="M21" s="8">
        <f t="shared" si="0"/>
        <v>1.5986501856491666</v>
      </c>
      <c r="N21" s="22">
        <v>33</v>
      </c>
      <c r="O21" s="31">
        <v>1.718</v>
      </c>
    </row>
    <row r="22" spans="2:15" ht="14.25" x14ac:dyDescent="0.2">
      <c r="B22" s="14"/>
      <c r="C22" s="14"/>
      <c r="D22" s="17"/>
      <c r="E22" s="17"/>
      <c r="F22" s="16"/>
      <c r="L22" s="9">
        <v>20</v>
      </c>
      <c r="M22" s="8">
        <f t="shared" si="0"/>
        <v>1.6386164402903955</v>
      </c>
      <c r="N22" s="22">
        <v>34</v>
      </c>
      <c r="O22" s="31">
        <v>1.718</v>
      </c>
    </row>
    <row r="23" spans="2:15" ht="14.25" x14ac:dyDescent="0.2">
      <c r="B23" s="14"/>
      <c r="C23" s="14"/>
      <c r="D23" s="17"/>
      <c r="E23" s="17"/>
      <c r="F23" s="16"/>
      <c r="L23" s="9">
        <v>21</v>
      </c>
      <c r="M23" s="8">
        <f t="shared" si="0"/>
        <v>1.6795818512976552</v>
      </c>
      <c r="N23" s="22">
        <v>35</v>
      </c>
      <c r="O23" s="31">
        <v>1.3680000000000001</v>
      </c>
    </row>
    <row r="24" spans="2:15" ht="14.25" x14ac:dyDescent="0.2">
      <c r="B24" s="14"/>
      <c r="C24" s="14"/>
      <c r="D24" s="17"/>
      <c r="E24" s="17"/>
      <c r="F24" s="16"/>
      <c r="L24" s="9">
        <v>22</v>
      </c>
      <c r="M24" s="8">
        <f t="shared" si="0"/>
        <v>1.7215713975800966</v>
      </c>
      <c r="N24" s="22">
        <v>36</v>
      </c>
      <c r="O24" s="31">
        <v>1.3680000000000001</v>
      </c>
    </row>
    <row r="25" spans="2:15" ht="14.25" x14ac:dyDescent="0.2">
      <c r="B25" s="14"/>
      <c r="C25" s="14"/>
      <c r="D25" s="17"/>
      <c r="E25" s="17"/>
      <c r="F25" s="16"/>
      <c r="L25" s="9">
        <v>23</v>
      </c>
      <c r="M25" s="8">
        <f t="shared" si="0"/>
        <v>1.7646106825195991</v>
      </c>
      <c r="N25" s="22">
        <v>37</v>
      </c>
      <c r="O25" s="31">
        <v>1.3680000000000001</v>
      </c>
    </row>
    <row r="26" spans="2:15" x14ac:dyDescent="0.2">
      <c r="B26" s="14"/>
      <c r="C26" s="14"/>
      <c r="D26" s="16"/>
      <c r="E26" s="16"/>
      <c r="F26" s="16"/>
      <c r="L26" s="9">
        <v>24</v>
      </c>
      <c r="M26" s="8">
        <f t="shared" si="0"/>
        <v>1.8087259495825889</v>
      </c>
      <c r="N26" s="22">
        <v>38</v>
      </c>
      <c r="O26" s="31">
        <v>1.3680000000000001</v>
      </c>
    </row>
    <row r="27" spans="2:15" x14ac:dyDescent="0.2">
      <c r="B27" s="2"/>
      <c r="C27" s="2"/>
      <c r="D27" s="2"/>
      <c r="E27" s="2"/>
      <c r="F27" s="2"/>
      <c r="L27" s="9">
        <v>25</v>
      </c>
      <c r="M27" s="8">
        <f t="shared" si="0"/>
        <v>1.8539440983221533</v>
      </c>
      <c r="N27" s="22">
        <v>39</v>
      </c>
      <c r="O27" s="31">
        <v>1.3680000000000001</v>
      </c>
    </row>
    <row r="28" spans="2:15" x14ac:dyDescent="0.2">
      <c r="B28" s="2"/>
      <c r="C28" s="2"/>
      <c r="D28" s="2"/>
      <c r="E28" s="2"/>
      <c r="F28" s="2"/>
      <c r="L28" s="9">
        <v>26</v>
      </c>
      <c r="M28" s="8">
        <f t="shared" si="0"/>
        <v>1.9002927007802071</v>
      </c>
      <c r="N28" s="22">
        <v>40</v>
      </c>
      <c r="O28" s="31">
        <v>1.1739999999999999</v>
      </c>
    </row>
    <row r="29" spans="2:15" x14ac:dyDescent="0.2">
      <c r="L29" s="9">
        <v>27</v>
      </c>
      <c r="M29" s="8">
        <f t="shared" si="0"/>
        <v>1.9478000182997122</v>
      </c>
      <c r="N29" s="22">
        <v>41</v>
      </c>
      <c r="O29" s="31">
        <v>1.1739999999999999</v>
      </c>
    </row>
    <row r="30" spans="2:15" x14ac:dyDescent="0.2">
      <c r="L30" s="9">
        <v>28</v>
      </c>
      <c r="M30" s="8">
        <f t="shared" si="0"/>
        <v>1.9964950187572048</v>
      </c>
      <c r="N30" s="22">
        <v>42</v>
      </c>
      <c r="O30" s="31">
        <v>1.1739999999999999</v>
      </c>
    </row>
    <row r="31" spans="2:15" x14ac:dyDescent="0.2">
      <c r="L31" s="9">
        <v>29</v>
      </c>
      <c r="M31" s="8">
        <f t="shared" si="0"/>
        <v>2.0464073942261352</v>
      </c>
      <c r="N31" s="22">
        <v>43</v>
      </c>
      <c r="O31" s="31">
        <v>1.1739999999999999</v>
      </c>
    </row>
    <row r="32" spans="2:15" x14ac:dyDescent="0.2">
      <c r="L32" s="9">
        <v>30</v>
      </c>
      <c r="M32" s="8">
        <f t="shared" si="0"/>
        <v>2.097567579081788</v>
      </c>
      <c r="N32" s="22">
        <v>44</v>
      </c>
      <c r="O32" s="31">
        <v>1.1739999999999999</v>
      </c>
    </row>
    <row r="33" spans="12:15" x14ac:dyDescent="0.2">
      <c r="L33" s="9">
        <v>31</v>
      </c>
      <c r="M33" s="8">
        <f t="shared" si="0"/>
        <v>2.1500067685588333</v>
      </c>
      <c r="N33" s="22">
        <v>45</v>
      </c>
      <c r="O33" s="31">
        <v>0.90400000000000003</v>
      </c>
    </row>
    <row r="34" spans="12:15" x14ac:dyDescent="0.2">
      <c r="L34" s="9">
        <v>32</v>
      </c>
      <c r="M34" s="8">
        <f t="shared" ref="M34:M53" si="1">(1+experiencepremium)^L34</f>
        <v>2.2037569377728037</v>
      </c>
      <c r="N34" s="22">
        <v>46</v>
      </c>
      <c r="O34" s="31">
        <v>0.90400000000000003</v>
      </c>
    </row>
    <row r="35" spans="12:15" x14ac:dyDescent="0.2">
      <c r="L35" s="9">
        <v>33</v>
      </c>
      <c r="M35" s="8">
        <f t="shared" si="1"/>
        <v>2.2588508612171236</v>
      </c>
      <c r="N35" s="22">
        <v>47</v>
      </c>
      <c r="O35" s="31">
        <v>0.90400000000000003</v>
      </c>
    </row>
    <row r="36" spans="12:15" x14ac:dyDescent="0.2">
      <c r="L36" s="9">
        <v>34</v>
      </c>
      <c r="M36" s="8">
        <f t="shared" si="1"/>
        <v>2.3153221327475517</v>
      </c>
      <c r="N36" s="22">
        <v>48</v>
      </c>
      <c r="O36" s="31">
        <v>0.90400000000000003</v>
      </c>
    </row>
    <row r="37" spans="12:15" x14ac:dyDescent="0.2">
      <c r="L37" s="9">
        <v>35</v>
      </c>
      <c r="M37" s="8">
        <f t="shared" si="1"/>
        <v>2.3732051860662402</v>
      </c>
      <c r="N37" s="22">
        <v>49</v>
      </c>
      <c r="O37" s="31">
        <v>0.90400000000000003</v>
      </c>
    </row>
    <row r="38" spans="12:15" x14ac:dyDescent="0.2">
      <c r="L38" s="9">
        <v>36</v>
      </c>
      <c r="M38" s="8">
        <f t="shared" si="1"/>
        <v>2.4325353157178964</v>
      </c>
      <c r="N38" s="22">
        <v>50</v>
      </c>
      <c r="O38" s="31">
        <v>0.54900000000000004</v>
      </c>
    </row>
    <row r="39" spans="12:15" x14ac:dyDescent="0.2">
      <c r="L39" s="9">
        <v>37</v>
      </c>
      <c r="M39" s="8">
        <f t="shared" si="1"/>
        <v>2.4933486986108435</v>
      </c>
      <c r="N39" s="22">
        <v>51</v>
      </c>
      <c r="O39" s="31">
        <v>0.54900000000000004</v>
      </c>
    </row>
    <row r="40" spans="12:15" x14ac:dyDescent="0.2">
      <c r="L40" s="9">
        <v>38</v>
      </c>
      <c r="M40" s="8">
        <f t="shared" si="1"/>
        <v>2.555682416076114</v>
      </c>
      <c r="N40" s="22">
        <v>52</v>
      </c>
      <c r="O40" s="31">
        <v>0.54900000000000004</v>
      </c>
    </row>
    <row r="41" spans="12:15" x14ac:dyDescent="0.2">
      <c r="L41" s="9">
        <v>39</v>
      </c>
      <c r="M41" s="8">
        <f t="shared" si="1"/>
        <v>2.6195744764780171</v>
      </c>
      <c r="N41" s="22">
        <v>53</v>
      </c>
      <c r="O41" s="31">
        <v>0.54900000000000004</v>
      </c>
    </row>
    <row r="42" spans="12:15" x14ac:dyDescent="0.2">
      <c r="L42" s="9">
        <v>40</v>
      </c>
      <c r="M42" s="8">
        <f t="shared" si="1"/>
        <v>2.6850638383899672</v>
      </c>
      <c r="N42" s="22">
        <v>54</v>
      </c>
      <c r="O42" s="31">
        <v>0.54900000000000004</v>
      </c>
    </row>
    <row r="43" spans="12:15" x14ac:dyDescent="0.2">
      <c r="L43" s="9">
        <v>41</v>
      </c>
      <c r="M43" s="8">
        <f t="shared" si="1"/>
        <v>2.7521904343497163</v>
      </c>
      <c r="N43" s="22">
        <v>55</v>
      </c>
      <c r="O43" s="31">
        <v>0.27400000000000002</v>
      </c>
    </row>
    <row r="44" spans="12:15" x14ac:dyDescent="0.2">
      <c r="L44" s="9">
        <v>42</v>
      </c>
      <c r="M44" s="8">
        <f t="shared" si="1"/>
        <v>2.8209951952084591</v>
      </c>
      <c r="N44" s="22">
        <v>56</v>
      </c>
      <c r="O44" s="31">
        <v>0.27400000000000002</v>
      </c>
    </row>
    <row r="45" spans="12:15" x14ac:dyDescent="0.2">
      <c r="L45" s="9">
        <v>43</v>
      </c>
      <c r="M45" s="8">
        <f t="shared" si="1"/>
        <v>2.8915200750886707</v>
      </c>
      <c r="N45" s="22">
        <v>57</v>
      </c>
      <c r="O45" s="31">
        <v>0.27400000000000002</v>
      </c>
    </row>
    <row r="46" spans="12:15" x14ac:dyDescent="0.2">
      <c r="L46" s="9">
        <v>44</v>
      </c>
      <c r="M46" s="8">
        <f t="shared" si="1"/>
        <v>2.9638080769658868</v>
      </c>
      <c r="N46" s="22">
        <v>58</v>
      </c>
      <c r="O46" s="31">
        <v>0.27400000000000002</v>
      </c>
    </row>
    <row r="47" spans="12:15" x14ac:dyDescent="0.2">
      <c r="L47" s="9">
        <v>45</v>
      </c>
      <c r="M47" s="8">
        <f t="shared" si="1"/>
        <v>3.0379032788900342</v>
      </c>
      <c r="N47" s="22">
        <v>59</v>
      </c>
      <c r="O47" s="31">
        <v>0.27400000000000002</v>
      </c>
    </row>
    <row r="48" spans="12:15" x14ac:dyDescent="0.2">
      <c r="L48" s="9">
        <v>46</v>
      </c>
      <c r="M48" s="8">
        <f t="shared" si="1"/>
        <v>3.1138508608622844</v>
      </c>
      <c r="N48" s="22">
        <v>60</v>
      </c>
      <c r="O48" s="31">
        <v>0.13700000000000001</v>
      </c>
    </row>
    <row r="49" spans="12:15" x14ac:dyDescent="0.2">
      <c r="L49" s="9">
        <v>47</v>
      </c>
      <c r="M49" s="8">
        <f t="shared" si="1"/>
        <v>3.1916971323838421</v>
      </c>
      <c r="N49" s="22">
        <v>61</v>
      </c>
      <c r="O49" s="31">
        <v>0.13700000000000001</v>
      </c>
    </row>
    <row r="50" spans="12:15" x14ac:dyDescent="0.2">
      <c r="L50" s="9">
        <v>48</v>
      </c>
      <c r="M50" s="8">
        <f t="shared" si="1"/>
        <v>3.2714895606934378</v>
      </c>
      <c r="N50" s="22">
        <v>62</v>
      </c>
      <c r="O50" s="31">
        <v>0.13700000000000001</v>
      </c>
    </row>
    <row r="51" spans="12:15" x14ac:dyDescent="0.2">
      <c r="L51" s="9">
        <v>49</v>
      </c>
      <c r="M51" s="8">
        <f t="shared" si="1"/>
        <v>3.3532767997107733</v>
      </c>
      <c r="N51" s="22">
        <v>63</v>
      </c>
      <c r="O51" s="31">
        <v>0.13700000000000001</v>
      </c>
    </row>
    <row r="52" spans="12:15" x14ac:dyDescent="0.2">
      <c r="L52" s="9">
        <v>50</v>
      </c>
      <c r="M52" s="8">
        <f t="shared" si="1"/>
        <v>3.4371087197035428</v>
      </c>
      <c r="N52" s="22">
        <v>64</v>
      </c>
      <c r="O52" s="31">
        <v>0.13700000000000001</v>
      </c>
    </row>
    <row r="53" spans="12:15" x14ac:dyDescent="0.2">
      <c r="L53" s="9">
        <v>51</v>
      </c>
      <c r="M53" s="8">
        <f t="shared" si="1"/>
        <v>3.5230364376961316</v>
      </c>
      <c r="N53" s="22">
        <v>65</v>
      </c>
      <c r="O53" s="31">
        <v>3.7999999999999999E-2</v>
      </c>
    </row>
    <row r="54" spans="12:15" x14ac:dyDescent="0.2">
      <c r="N54" s="22">
        <v>66</v>
      </c>
      <c r="O54" s="31">
        <v>3.7999999999999999E-2</v>
      </c>
    </row>
    <row r="55" spans="12:15" x14ac:dyDescent="0.2">
      <c r="N55" s="22">
        <v>67</v>
      </c>
      <c r="O55" s="31">
        <v>3.7999999999999999E-2</v>
      </c>
    </row>
    <row r="56" spans="12:15" x14ac:dyDescent="0.2">
      <c r="N56" s="22">
        <v>68</v>
      </c>
      <c r="O56" s="31">
        <v>3.7999999999999999E-2</v>
      </c>
    </row>
    <row r="57" spans="12:15" x14ac:dyDescent="0.2">
      <c r="N57" s="22">
        <v>69</v>
      </c>
      <c r="O57" s="31">
        <v>3.7999999999999999E-2</v>
      </c>
    </row>
    <row r="58" spans="12:15" x14ac:dyDescent="0.2">
      <c r="N58" s="22">
        <v>70</v>
      </c>
      <c r="O58" s="31">
        <v>3.7999999999999999E-2</v>
      </c>
    </row>
    <row r="59" spans="12:15" x14ac:dyDescent="0.2">
      <c r="N59" s="22">
        <v>71</v>
      </c>
      <c r="O59" s="31">
        <v>3.7999999999999999E-2</v>
      </c>
    </row>
    <row r="60" spans="12:15" x14ac:dyDescent="0.2">
      <c r="N60" s="22">
        <v>72</v>
      </c>
      <c r="O60" s="31">
        <v>3.7999999999999999E-2</v>
      </c>
    </row>
    <row r="61" spans="12:15" x14ac:dyDescent="0.2">
      <c r="N61" s="22">
        <v>73</v>
      </c>
      <c r="O61" s="31">
        <v>3.7999999999999999E-2</v>
      </c>
    </row>
    <row r="62" spans="12:15" x14ac:dyDescent="0.2">
      <c r="N62" s="22">
        <v>74</v>
      </c>
      <c r="O62" s="31">
        <v>3.7999999999999999E-2</v>
      </c>
    </row>
    <row r="63" spans="12:15" x14ac:dyDescent="0.2">
      <c r="N63" s="22">
        <v>75</v>
      </c>
      <c r="O63" s="31">
        <v>3.7999999999999999E-2</v>
      </c>
    </row>
    <row r="64" spans="12:15" x14ac:dyDescent="0.2">
      <c r="N64" s="22">
        <v>76</v>
      </c>
      <c r="O64" s="31">
        <v>3.7999999999999999E-2</v>
      </c>
    </row>
    <row r="65" spans="14:15" x14ac:dyDescent="0.2">
      <c r="N65" s="22">
        <v>77</v>
      </c>
      <c r="O65" s="31">
        <v>3.7999999999999999E-2</v>
      </c>
    </row>
    <row r="66" spans="14:15" x14ac:dyDescent="0.2">
      <c r="N66" s="22">
        <v>78</v>
      </c>
      <c r="O66" s="31">
        <v>3.7999999999999999E-2</v>
      </c>
    </row>
    <row r="67" spans="14:15" x14ac:dyDescent="0.2">
      <c r="N67" s="22">
        <v>79</v>
      </c>
      <c r="O67" s="31">
        <v>3.7999999999999999E-2</v>
      </c>
    </row>
    <row r="68" spans="14:15" x14ac:dyDescent="0.2">
      <c r="N68" s="22">
        <v>80</v>
      </c>
      <c r="O68" s="31">
        <v>3.7999999999999999E-2</v>
      </c>
    </row>
    <row r="69" spans="14:15" x14ac:dyDescent="0.2">
      <c r="N69" s="22">
        <v>81</v>
      </c>
      <c r="O69" s="31">
        <v>3.7999999999999999E-2</v>
      </c>
    </row>
    <row r="70" spans="14:15" x14ac:dyDescent="0.2">
      <c r="N70" s="22">
        <v>82</v>
      </c>
      <c r="O70" s="31">
        <v>3.7999999999999999E-2</v>
      </c>
    </row>
    <row r="71" spans="14:15" x14ac:dyDescent="0.2">
      <c r="N71" s="22">
        <v>83</v>
      </c>
      <c r="O71" s="31">
        <v>3.7999999999999999E-2</v>
      </c>
    </row>
    <row r="72" spans="14:15" x14ac:dyDescent="0.2">
      <c r="N72" s="22">
        <v>84</v>
      </c>
      <c r="O72" s="31">
        <v>3.7999999999999999E-2</v>
      </c>
    </row>
    <row r="73" spans="14:15" x14ac:dyDescent="0.2">
      <c r="O73" s="32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Q2" sqref="Q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Meta!A9+6</f>
        <v>21</v>
      </c>
      <c r="C2" s="7">
        <f>Meta!B9</f>
        <v>36426</v>
      </c>
      <c r="D2" s="7">
        <f>Meta!C9</f>
        <v>16488</v>
      </c>
      <c r="E2" s="1">
        <f>Meta!D9</f>
        <v>5.5E-2</v>
      </c>
      <c r="F2" s="1">
        <f>Meta!F9</f>
        <v>0.60099999999999998</v>
      </c>
      <c r="G2" s="1">
        <f>Meta!I9</f>
        <v>1.8114695812355892</v>
      </c>
      <c r="H2" s="1">
        <f>Meta!E9</f>
        <v>0.64800000000000002</v>
      </c>
      <c r="I2" s="13"/>
      <c r="J2" s="1">
        <f>Meta!X8</f>
        <v>0.58799999999999997</v>
      </c>
      <c r="K2" s="1">
        <f>Meta!D8</f>
        <v>5.6000000000000001E-2</v>
      </c>
      <c r="L2" s="29"/>
      <c r="N2" s="22">
        <f>Meta!T9</f>
        <v>34369</v>
      </c>
      <c r="O2" s="22">
        <f>Meta!U9</f>
        <v>15669</v>
      </c>
      <c r="P2" s="1">
        <f>Meta!V9</f>
        <v>5.7000000000000002E-2</v>
      </c>
      <c r="Q2" s="1">
        <f>Meta!X9</f>
        <v>0.59099999999999997</v>
      </c>
      <c r="R2" s="22">
        <f>Meta!W9</f>
        <v>341</v>
      </c>
      <c r="T2" s="12">
        <f>IRR(S5:S69)+1</f>
        <v>0.96379110500739751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B11" s="1">
        <v>1</v>
      </c>
      <c r="C11" s="5">
        <f>0.1*Grade14!C11</f>
        <v>1902.8565706661011</v>
      </c>
      <c r="D11" s="5">
        <f t="shared" ref="D11:D36" si="0">IF(A11&lt;startage,1,0)*(C11*(1-initialunempprob))+IF(A11=startage,1,0)*(C11*(1-unempprob))+IF(A11&gt;startage,1,0)*(C11*(1-unempprob)+unempprob*300*52)</f>
        <v>1796.2966027087994</v>
      </c>
      <c r="E11" s="5">
        <f t="shared" ref="E11:E56" si="1">IF(D11-9500&gt;0,1,0)*(D11-9500)</f>
        <v>0</v>
      </c>
      <c r="F11" s="5">
        <f t="shared" ref="F11:F56" si="2">IF(E11&lt;=8500,1,0)*(0.1*E11+0.1*E11+0.0765*D11)+IF(AND(E11&gt;8500,E11&lt;=34500),1,0)*(850+0.15*(E11-8500)+0.1*E11+0.0765*D11)+IF(AND(E11&gt;34500,E11&lt;=83600),1,0)*(4750+0.25*(E11-34500)+0.1*E11+0.0765*D11)+IF(AND(E11&gt;83600,E11&lt;=174400,D11&lt;=106800),1,0)*(17025+0.28*(E11-83600)+0.1*E11+0.0765*D11)+IF(AND(E11&gt;83600,E11&lt;=174400,D11&gt;106800),1,0)*(17025+0.28*(E11-83600)+0.1*E11+8170.2+0.0145*(D11-106800))+IF(AND(E11&gt;174400,E11&lt;=379150),1,0)*(42449+0.33*(E11-174400)+0.1*E11+8170.2+0.0145*(D11-106800))+IF(E11&gt;379150,1,0)*(110016.5+0.35*(E11-379150)+0.1*E11+8170.2+0.0145*(D11-106800))</f>
        <v>137.41669010722316</v>
      </c>
      <c r="G11" s="5">
        <f t="shared" ref="G11:G56" si="3">D11-F11</f>
        <v>1658.8799126015763</v>
      </c>
      <c r="H11" s="22">
        <f>0.1*Grade14!H11</f>
        <v>865.93384324820136</v>
      </c>
      <c r="I11" s="5">
        <f t="shared" ref="I11:I36" si="4">G11+IF(A11&lt;startage,1,0)*(H11*(1-initialunempprob))+IF(A11&gt;=startage,1,0)*(H11*(1-unempprob))</f>
        <v>2476.3214606278784</v>
      </c>
      <c r="J11" s="26">
        <f t="shared" ref="J11:J56" si="5">(F11-(IF(A11&gt;startage,1,0)*(unempprob*300*52)))/(IF(A11&lt;startage,1,0)*((C11+H11)*(1-initialunempprob))+IF(A11&gt;=startage,1,0)*((C11+H11)*(1-unempprob)))</f>
        <v>5.2574773057727821E-2</v>
      </c>
      <c r="L11" s="22">
        <f>0.1*Grade14!L11</f>
        <v>2512.8798432984877</v>
      </c>
      <c r="M11" s="5">
        <f>scrimecost*Meta!O8</f>
        <v>1187.021</v>
      </c>
      <c r="N11" s="5">
        <f>L11-Grade14!L11</f>
        <v>-22615.918589686386</v>
      </c>
      <c r="O11" s="5"/>
      <c r="P11" s="22"/>
      <c r="Q11" s="22">
        <f>0.05*feel*Grade14!G11</f>
        <v>208.54688288837434</v>
      </c>
      <c r="R11" s="22">
        <f>coltuition</f>
        <v>8279</v>
      </c>
      <c r="S11" s="22">
        <f t="shared" ref="S11:S42" si="6">IF(A11&lt;startage,1,0)*(N11-Q11-R11)+IF(A11&gt;=startage,1,0)*completionprob*(N11*spart+O11+P11)</f>
        <v>-31103.46547257476</v>
      </c>
      <c r="T11" s="22">
        <f t="shared" ref="T11:T42" si="7">S11/sreturn^(A11-startage+1)</f>
        <v>-31103.46547257476</v>
      </c>
    </row>
    <row r="12" spans="1:20" x14ac:dyDescent="0.2">
      <c r="A12" s="5">
        <v>21</v>
      </c>
      <c r="B12" s="1">
        <f t="shared" ref="B12:B36" si="8">(1+experiencepremium)^(A12-startage)</f>
        <v>1</v>
      </c>
      <c r="C12" s="5">
        <f t="shared" ref="C12:C36" si="9">pretaxincome*B12/expnorm</f>
        <v>20108.535289427335</v>
      </c>
      <c r="D12" s="5">
        <f t="shared" si="0"/>
        <v>19002.565848508832</v>
      </c>
      <c r="E12" s="5">
        <f t="shared" si="1"/>
        <v>9502.5658485088316</v>
      </c>
      <c r="F12" s="5">
        <f t="shared" si="2"/>
        <v>3404.3377495381337</v>
      </c>
      <c r="G12" s="5">
        <f t="shared" si="3"/>
        <v>15598.228098970698</v>
      </c>
      <c r="H12" s="22">
        <f t="shared" ref="H12:H36" si="10">benefits*B12/expnorm</f>
        <v>9102.0021372667288</v>
      </c>
      <c r="I12" s="5">
        <f t="shared" si="4"/>
        <v>24199.620118687759</v>
      </c>
      <c r="J12" s="26">
        <f t="shared" si="5"/>
        <v>0.12332788529056436</v>
      </c>
      <c r="L12" s="22">
        <f t="shared" ref="L12:L36" si="11">(sincome+sbenefits)*(1-sunemp)*B12/expnorm</f>
        <v>26048.372265690992</v>
      </c>
      <c r="M12" s="5">
        <f>scrimecost*Meta!O9</f>
        <v>1062.8969999999999</v>
      </c>
      <c r="N12" s="5">
        <f>L12-Grade14!L12</f>
        <v>291.3538718814998</v>
      </c>
      <c r="O12" s="5">
        <f>Grade14!M12-M12</f>
        <v>9.3510000000001128</v>
      </c>
      <c r="P12" s="22">
        <f t="shared" ref="P12:P56" si="12">(spart-initialspart)*(L12*J12+nptrans)</f>
        <v>29.299472000367199</v>
      </c>
      <c r="Q12" s="22"/>
      <c r="R12" s="22"/>
      <c r="S12" s="22">
        <f t="shared" si="6"/>
        <v>136.62471546295222</v>
      </c>
      <c r="T12" s="22">
        <f t="shared" si="7"/>
        <v>141.75760157270136</v>
      </c>
    </row>
    <row r="13" spans="1:20" x14ac:dyDescent="0.2">
      <c r="A13" s="5">
        <v>22</v>
      </c>
      <c r="B13" s="1">
        <f t="shared" si="8"/>
        <v>1.0249999999999999</v>
      </c>
      <c r="C13" s="5">
        <f t="shared" si="9"/>
        <v>20611.248671663016</v>
      </c>
      <c r="D13" s="5">
        <f t="shared" si="0"/>
        <v>20335.629994721548</v>
      </c>
      <c r="E13" s="5">
        <f t="shared" si="1"/>
        <v>10835.629994721548</v>
      </c>
      <c r="F13" s="5">
        <f t="shared" si="2"/>
        <v>3839.5831932765855</v>
      </c>
      <c r="G13" s="5">
        <f t="shared" si="3"/>
        <v>16496.046801444962</v>
      </c>
      <c r="H13" s="22">
        <f t="shared" si="10"/>
        <v>9329.5521906983959</v>
      </c>
      <c r="I13" s="5">
        <f t="shared" si="4"/>
        <v>25312.473621654943</v>
      </c>
      <c r="J13" s="26">
        <f t="shared" si="5"/>
        <v>0.10537842674095162</v>
      </c>
      <c r="L13" s="22">
        <f t="shared" si="11"/>
        <v>26699.581572333263</v>
      </c>
      <c r="M13" s="5">
        <f>scrimecost*Meta!O10</f>
        <v>979.01099999999997</v>
      </c>
      <c r="N13" s="5">
        <f>L13-Grade14!L13</f>
        <v>298.63771867853211</v>
      </c>
      <c r="O13" s="5">
        <f>Grade14!M13-M13</f>
        <v>8.6130000000000564</v>
      </c>
      <c r="P13" s="22">
        <f t="shared" si="12"/>
        <v>28.102679702202572</v>
      </c>
      <c r="Q13" s="22"/>
      <c r="R13" s="22"/>
      <c r="S13" s="22">
        <f t="shared" si="6"/>
        <v>138.16045029390739</v>
      </c>
      <c r="T13" s="22">
        <f t="shared" si="7"/>
        <v>148.73662149650073</v>
      </c>
    </row>
    <row r="14" spans="1:20" x14ac:dyDescent="0.2">
      <c r="A14" s="5">
        <v>23</v>
      </c>
      <c r="B14" s="1">
        <f t="shared" si="8"/>
        <v>1.0506249999999999</v>
      </c>
      <c r="C14" s="5">
        <f t="shared" si="9"/>
        <v>21126.529888454592</v>
      </c>
      <c r="D14" s="5">
        <f t="shared" si="0"/>
        <v>20822.57074458959</v>
      </c>
      <c r="E14" s="5">
        <f t="shared" si="1"/>
        <v>11322.57074458959</v>
      </c>
      <c r="F14" s="5">
        <f t="shared" si="2"/>
        <v>3998.5693481085009</v>
      </c>
      <c r="G14" s="5">
        <f t="shared" si="3"/>
        <v>16824.00139648109</v>
      </c>
      <c r="H14" s="22">
        <f t="shared" si="10"/>
        <v>9562.7909954658571</v>
      </c>
      <c r="I14" s="5">
        <f t="shared" si="4"/>
        <v>25860.838887196325</v>
      </c>
      <c r="J14" s="26">
        <f t="shared" si="5"/>
        <v>0.10829023620602442</v>
      </c>
      <c r="L14" s="22">
        <f t="shared" si="11"/>
        <v>27367.071111641595</v>
      </c>
      <c r="M14" s="5">
        <f>scrimecost*Meta!O11</f>
        <v>916.26699999999994</v>
      </c>
      <c r="N14" s="5">
        <f>L14-Grade14!L14</f>
        <v>306.10366164549487</v>
      </c>
      <c r="O14" s="5">
        <f>Grade14!M14-M14</f>
        <v>8.0610000000000355</v>
      </c>
      <c r="P14" s="22">
        <f t="shared" si="12"/>
        <v>28.55275978484023</v>
      </c>
      <c r="Q14" s="22"/>
      <c r="R14" s="22"/>
      <c r="S14" s="22">
        <f t="shared" si="6"/>
        <v>140.95362343362837</v>
      </c>
      <c r="T14" s="22">
        <f t="shared" si="7"/>
        <v>157.44450329940625</v>
      </c>
    </row>
    <row r="15" spans="1:20" x14ac:dyDescent="0.2">
      <c r="A15" s="5">
        <v>24</v>
      </c>
      <c r="B15" s="1">
        <f t="shared" si="8"/>
        <v>1.0768906249999999</v>
      </c>
      <c r="C15" s="5">
        <f t="shared" si="9"/>
        <v>21654.693135665955</v>
      </c>
      <c r="D15" s="5">
        <f t="shared" si="0"/>
        <v>21321.685013204326</v>
      </c>
      <c r="E15" s="5">
        <f t="shared" si="1"/>
        <v>11821.685013204326</v>
      </c>
      <c r="F15" s="5">
        <f t="shared" si="2"/>
        <v>4161.5301568112118</v>
      </c>
      <c r="G15" s="5">
        <f t="shared" si="3"/>
        <v>17160.154856393114</v>
      </c>
      <c r="H15" s="22">
        <f t="shared" si="10"/>
        <v>9801.8607703525031</v>
      </c>
      <c r="I15" s="5">
        <f t="shared" si="4"/>
        <v>26422.913284376227</v>
      </c>
      <c r="J15" s="26">
        <f t="shared" si="5"/>
        <v>0.11113102592804658</v>
      </c>
      <c r="L15" s="22">
        <f t="shared" si="11"/>
        <v>28051.247889432634</v>
      </c>
      <c r="M15" s="5">
        <f>scrimecost*Meta!O12</f>
        <v>877.39300000000003</v>
      </c>
      <c r="N15" s="5">
        <f>L15-Grade14!L15</f>
        <v>313.75625318663515</v>
      </c>
      <c r="O15" s="5">
        <f>Grade14!M15-M15</f>
        <v>7.7189999999999372</v>
      </c>
      <c r="P15" s="22">
        <f t="shared" si="12"/>
        <v>29.014091869543826</v>
      </c>
      <c r="Q15" s="22"/>
      <c r="R15" s="22"/>
      <c r="S15" s="22">
        <f t="shared" si="6"/>
        <v>143.96164830184364</v>
      </c>
      <c r="T15" s="22">
        <f t="shared" si="7"/>
        <v>166.84575260115156</v>
      </c>
    </row>
    <row r="16" spans="1:20" x14ac:dyDescent="0.2">
      <c r="A16" s="5">
        <v>25</v>
      </c>
      <c r="B16" s="1">
        <f t="shared" si="8"/>
        <v>1.1038128906249998</v>
      </c>
      <c r="C16" s="5">
        <f t="shared" si="9"/>
        <v>22196.060464057602</v>
      </c>
      <c r="D16" s="5">
        <f t="shared" si="0"/>
        <v>21833.277138534431</v>
      </c>
      <c r="E16" s="5">
        <f t="shared" si="1"/>
        <v>12333.277138534431</v>
      </c>
      <c r="F16" s="5">
        <f t="shared" si="2"/>
        <v>4328.564985731492</v>
      </c>
      <c r="G16" s="5">
        <f t="shared" si="3"/>
        <v>17504.712152802938</v>
      </c>
      <c r="H16" s="22">
        <f t="shared" si="10"/>
        <v>10046.907289611314</v>
      </c>
      <c r="I16" s="5">
        <f t="shared" si="4"/>
        <v>26999.039541485632</v>
      </c>
      <c r="J16" s="26">
        <f t="shared" si="5"/>
        <v>0.11390252809587315</v>
      </c>
      <c r="L16" s="22">
        <f t="shared" si="11"/>
        <v>28752.529086668445</v>
      </c>
      <c r="M16" s="5">
        <f>scrimecost*Meta!O13</f>
        <v>742.69799999999998</v>
      </c>
      <c r="N16" s="5">
        <f>L16-Grade14!L16</f>
        <v>321.60015951629975</v>
      </c>
      <c r="O16" s="5">
        <f>Grade14!M16-M16</f>
        <v>6.5339999999999918</v>
      </c>
      <c r="P16" s="22">
        <f t="shared" si="12"/>
        <v>29.486957256365013</v>
      </c>
      <c r="Q16" s="22"/>
      <c r="R16" s="22"/>
      <c r="S16" s="22">
        <f t="shared" si="6"/>
        <v>146.50415019176279</v>
      </c>
      <c r="T16" s="22">
        <f t="shared" si="7"/>
        <v>176.17138092995006</v>
      </c>
    </row>
    <row r="17" spans="1:20" x14ac:dyDescent="0.2">
      <c r="A17" s="5">
        <v>26</v>
      </c>
      <c r="B17" s="1">
        <f t="shared" si="8"/>
        <v>1.1314082128906247</v>
      </c>
      <c r="C17" s="5">
        <f t="shared" si="9"/>
        <v>22750.96197565904</v>
      </c>
      <c r="D17" s="5">
        <f t="shared" si="0"/>
        <v>22357.659066997792</v>
      </c>
      <c r="E17" s="5">
        <f t="shared" si="1"/>
        <v>12857.659066997792</v>
      </c>
      <c r="F17" s="5">
        <f t="shared" si="2"/>
        <v>4499.7756853747796</v>
      </c>
      <c r="G17" s="5">
        <f t="shared" si="3"/>
        <v>17857.883381623011</v>
      </c>
      <c r="H17" s="22">
        <f t="shared" si="10"/>
        <v>10298.079971851595</v>
      </c>
      <c r="I17" s="5">
        <f t="shared" si="4"/>
        <v>27589.568955022769</v>
      </c>
      <c r="J17" s="26">
        <f t="shared" si="5"/>
        <v>0.11660643264985029</v>
      </c>
      <c r="L17" s="22">
        <f t="shared" si="11"/>
        <v>29471.342313835154</v>
      </c>
      <c r="M17" s="5">
        <f>scrimecost*Meta!O14</f>
        <v>742.69799999999998</v>
      </c>
      <c r="N17" s="5">
        <f>L17-Grade14!L17</f>
        <v>329.6401635042057</v>
      </c>
      <c r="O17" s="5">
        <f>Grade14!M17-M17</f>
        <v>6.5339999999999918</v>
      </c>
      <c r="P17" s="22">
        <f t="shared" si="12"/>
        <v>29.971644277856729</v>
      </c>
      <c r="Q17" s="22"/>
      <c r="R17" s="22"/>
      <c r="S17" s="22">
        <f t="shared" si="6"/>
        <v>149.89729162892979</v>
      </c>
      <c r="T17" s="22">
        <f t="shared" si="7"/>
        <v>187.02355294799364</v>
      </c>
    </row>
    <row r="18" spans="1:20" x14ac:dyDescent="0.2">
      <c r="A18" s="5">
        <v>27</v>
      </c>
      <c r="B18" s="1">
        <f t="shared" si="8"/>
        <v>1.1596934182128902</v>
      </c>
      <c r="C18" s="5">
        <f t="shared" si="9"/>
        <v>23319.736025050512</v>
      </c>
      <c r="D18" s="5">
        <f t="shared" si="0"/>
        <v>22895.150543672731</v>
      </c>
      <c r="E18" s="5">
        <f t="shared" si="1"/>
        <v>13395.150543672731</v>
      </c>
      <c r="F18" s="5">
        <f t="shared" si="2"/>
        <v>4675.2666525091463</v>
      </c>
      <c r="G18" s="5">
        <f t="shared" si="3"/>
        <v>18219.883891163583</v>
      </c>
      <c r="H18" s="22">
        <f t="shared" si="10"/>
        <v>10555.531971147886</v>
      </c>
      <c r="I18" s="5">
        <f t="shared" si="4"/>
        <v>28194.861603898335</v>
      </c>
      <c r="J18" s="26">
        <f t="shared" si="5"/>
        <v>0.11924438831226693</v>
      </c>
      <c r="L18" s="22">
        <f t="shared" si="11"/>
        <v>30208.12587168103</v>
      </c>
      <c r="M18" s="5">
        <f>scrimecost*Meta!O15</f>
        <v>742.69799999999998</v>
      </c>
      <c r="N18" s="5">
        <f>L18-Grade14!L18</f>
        <v>337.88116759180775</v>
      </c>
      <c r="O18" s="5">
        <f>Grade14!M18-M18</f>
        <v>6.5339999999999918</v>
      </c>
      <c r="P18" s="22">
        <f t="shared" si="12"/>
        <v>30.468448474885736</v>
      </c>
      <c r="Q18" s="22"/>
      <c r="R18" s="22"/>
      <c r="S18" s="22">
        <f t="shared" si="6"/>
        <v>153.3752616020254</v>
      </c>
      <c r="T18" s="22">
        <f t="shared" si="7"/>
        <v>198.55229890799845</v>
      </c>
    </row>
    <row r="19" spans="1:20" x14ac:dyDescent="0.2">
      <c r="A19" s="5">
        <v>28</v>
      </c>
      <c r="B19" s="1">
        <f t="shared" si="8"/>
        <v>1.1886857536682125</v>
      </c>
      <c r="C19" s="5">
        <f t="shared" si="9"/>
        <v>23902.729425676778</v>
      </c>
      <c r="D19" s="5">
        <f t="shared" si="0"/>
        <v>23446.079307264554</v>
      </c>
      <c r="E19" s="5">
        <f t="shared" si="1"/>
        <v>13946.079307264554</v>
      </c>
      <c r="F19" s="5">
        <f t="shared" si="2"/>
        <v>4855.1448938218764</v>
      </c>
      <c r="G19" s="5">
        <f t="shared" si="3"/>
        <v>18590.934413442679</v>
      </c>
      <c r="H19" s="22">
        <f t="shared" si="10"/>
        <v>10819.420270426583</v>
      </c>
      <c r="I19" s="5">
        <f t="shared" si="4"/>
        <v>28815.286568995798</v>
      </c>
      <c r="J19" s="26">
        <f t="shared" si="5"/>
        <v>0.1218180035926735</v>
      </c>
      <c r="L19" s="22">
        <f t="shared" si="11"/>
        <v>30963.329018473061</v>
      </c>
      <c r="M19" s="5">
        <f>scrimecost*Meta!O16</f>
        <v>742.69799999999998</v>
      </c>
      <c r="N19" s="5">
        <f>L19-Grade14!L19</f>
        <v>346.32819678161104</v>
      </c>
      <c r="O19" s="5">
        <f>Grade14!M19-M19</f>
        <v>6.5339999999999918</v>
      </c>
      <c r="P19" s="22">
        <f t="shared" si="12"/>
        <v>30.977672776840475</v>
      </c>
      <c r="Q19" s="22"/>
      <c r="R19" s="22"/>
      <c r="S19" s="22">
        <f t="shared" si="6"/>
        <v>156.94018082445265</v>
      </c>
      <c r="T19" s="22">
        <f t="shared" si="7"/>
        <v>210.80011245167211</v>
      </c>
    </row>
    <row r="20" spans="1:20" x14ac:dyDescent="0.2">
      <c r="A20" s="5">
        <v>29</v>
      </c>
      <c r="B20" s="1">
        <f t="shared" si="8"/>
        <v>1.2184028975099177</v>
      </c>
      <c r="C20" s="5">
        <f t="shared" si="9"/>
        <v>24500.297661318695</v>
      </c>
      <c r="D20" s="5">
        <f t="shared" si="0"/>
        <v>24010.781289946164</v>
      </c>
      <c r="E20" s="5">
        <f t="shared" si="1"/>
        <v>14510.781289946164</v>
      </c>
      <c r="F20" s="5">
        <f t="shared" si="2"/>
        <v>5039.5200911674228</v>
      </c>
      <c r="G20" s="5">
        <f t="shared" si="3"/>
        <v>18971.261198778742</v>
      </c>
      <c r="H20" s="22">
        <f t="shared" si="10"/>
        <v>11089.905777187247</v>
      </c>
      <c r="I20" s="5">
        <f t="shared" si="4"/>
        <v>29451.222158220691</v>
      </c>
      <c r="J20" s="26">
        <f t="shared" si="5"/>
        <v>0.12432884776867989</v>
      </c>
      <c r="L20" s="22">
        <f t="shared" si="11"/>
        <v>31737.412243934883</v>
      </c>
      <c r="M20" s="5">
        <f>scrimecost*Meta!O17</f>
        <v>742.69799999999998</v>
      </c>
      <c r="N20" s="5">
        <f>L20-Grade14!L20</f>
        <v>354.98640170115323</v>
      </c>
      <c r="O20" s="5">
        <f>Grade14!M20-M20</f>
        <v>6.5339999999999918</v>
      </c>
      <c r="P20" s="22">
        <f t="shared" si="12"/>
        <v>31.499627686344084</v>
      </c>
      <c r="Q20" s="22"/>
      <c r="R20" s="22"/>
      <c r="S20" s="22">
        <f t="shared" si="6"/>
        <v>160.5942230274382</v>
      </c>
      <c r="T20" s="22">
        <f t="shared" si="7"/>
        <v>223.81216809892797</v>
      </c>
    </row>
    <row r="21" spans="1:20" x14ac:dyDescent="0.2">
      <c r="A21" s="5">
        <v>30</v>
      </c>
      <c r="B21" s="1">
        <f t="shared" si="8"/>
        <v>1.2488629699476654</v>
      </c>
      <c r="C21" s="5">
        <f t="shared" si="9"/>
        <v>25112.80510285166</v>
      </c>
      <c r="D21" s="5">
        <f t="shared" si="0"/>
        <v>24589.600822194818</v>
      </c>
      <c r="E21" s="5">
        <f t="shared" si="1"/>
        <v>15089.600822194818</v>
      </c>
      <c r="F21" s="5">
        <f t="shared" si="2"/>
        <v>5228.5046684466079</v>
      </c>
      <c r="G21" s="5">
        <f t="shared" si="3"/>
        <v>19361.096153748211</v>
      </c>
      <c r="H21" s="22">
        <f t="shared" si="10"/>
        <v>11367.153421616928</v>
      </c>
      <c r="I21" s="5">
        <f t="shared" si="4"/>
        <v>30103.056137176209</v>
      </c>
      <c r="J21" s="26">
        <f t="shared" si="5"/>
        <v>0.12677845184283243</v>
      </c>
      <c r="L21" s="22">
        <f t="shared" si="11"/>
        <v>32530.84755003325</v>
      </c>
      <c r="M21" s="5">
        <f>scrimecost*Meta!O18</f>
        <v>585.83799999999997</v>
      </c>
      <c r="N21" s="5">
        <f>L21-Grade14!L21</f>
        <v>363.86106174367524</v>
      </c>
      <c r="O21" s="5">
        <f>Grade14!M21-M21</f>
        <v>5.1539999999999964</v>
      </c>
      <c r="P21" s="22">
        <f t="shared" si="12"/>
        <v>32.034631468585268</v>
      </c>
      <c r="Q21" s="22"/>
      <c r="R21" s="22"/>
      <c r="S21" s="22">
        <f t="shared" si="6"/>
        <v>163.44537628549509</v>
      </c>
      <c r="T21" s="22">
        <f t="shared" si="7"/>
        <v>236.34341214766425</v>
      </c>
    </row>
    <row r="22" spans="1:20" x14ac:dyDescent="0.2">
      <c r="A22" s="5">
        <v>31</v>
      </c>
      <c r="B22" s="1">
        <f t="shared" si="8"/>
        <v>1.2800845441963571</v>
      </c>
      <c r="C22" s="5">
        <f t="shared" si="9"/>
        <v>25740.625230422953</v>
      </c>
      <c r="D22" s="5">
        <f t="shared" si="0"/>
        <v>25182.89084274969</v>
      </c>
      <c r="E22" s="5">
        <f t="shared" si="1"/>
        <v>15682.89084274969</v>
      </c>
      <c r="F22" s="5">
        <f t="shared" si="2"/>
        <v>5422.2138601577735</v>
      </c>
      <c r="G22" s="5">
        <f t="shared" si="3"/>
        <v>19760.676982591918</v>
      </c>
      <c r="H22" s="22">
        <f t="shared" si="10"/>
        <v>11651.332257157348</v>
      </c>
      <c r="I22" s="5">
        <f t="shared" si="4"/>
        <v>30771.185965605611</v>
      </c>
      <c r="J22" s="26">
        <f t="shared" si="5"/>
        <v>0.12916830947615204</v>
      </c>
      <c r="L22" s="22">
        <f t="shared" si="11"/>
        <v>33344.118738784084</v>
      </c>
      <c r="M22" s="5">
        <f>scrimecost*Meta!O19</f>
        <v>585.83799999999997</v>
      </c>
      <c r="N22" s="5">
        <f>L22-Grade14!L22</f>
        <v>372.95758828727412</v>
      </c>
      <c r="O22" s="5">
        <f>Grade14!M22-M22</f>
        <v>5.1539999999999964</v>
      </c>
      <c r="P22" s="22">
        <f t="shared" si="12"/>
        <v>32.583010345382498</v>
      </c>
      <c r="Q22" s="22"/>
      <c r="R22" s="22"/>
      <c r="S22" s="22">
        <f t="shared" si="6"/>
        <v>167.28440437500865</v>
      </c>
      <c r="T22" s="22">
        <f t="shared" si="7"/>
        <v>250.98247778555498</v>
      </c>
    </row>
    <row r="23" spans="1:20" x14ac:dyDescent="0.2">
      <c r="A23" s="5">
        <v>32</v>
      </c>
      <c r="B23" s="1">
        <f t="shared" si="8"/>
        <v>1.312086657801266</v>
      </c>
      <c r="C23" s="5">
        <f t="shared" si="9"/>
        <v>26384.140861183525</v>
      </c>
      <c r="D23" s="5">
        <f t="shared" si="0"/>
        <v>25791.01311381843</v>
      </c>
      <c r="E23" s="5">
        <f t="shared" si="1"/>
        <v>16291.01311381843</v>
      </c>
      <c r="F23" s="5">
        <f t="shared" si="2"/>
        <v>5620.7657816617175</v>
      </c>
      <c r="G23" s="5">
        <f t="shared" si="3"/>
        <v>20170.247332156712</v>
      </c>
      <c r="H23" s="22">
        <f t="shared" si="10"/>
        <v>11942.615563586281</v>
      </c>
      <c r="I23" s="5">
        <f t="shared" si="4"/>
        <v>31456.019039745748</v>
      </c>
      <c r="J23" s="26">
        <f t="shared" si="5"/>
        <v>0.13149987789890286</v>
      </c>
      <c r="L23" s="22">
        <f t="shared" si="11"/>
        <v>34177.721707253681</v>
      </c>
      <c r="M23" s="5">
        <f>scrimecost*Meta!O20</f>
        <v>585.83799999999997</v>
      </c>
      <c r="N23" s="5">
        <f>L23-Grade14!L23</f>
        <v>382.28152799444797</v>
      </c>
      <c r="O23" s="5">
        <f>Grade14!M23-M23</f>
        <v>5.1539999999999964</v>
      </c>
      <c r="P23" s="22">
        <f t="shared" si="12"/>
        <v>33.145098694099651</v>
      </c>
      <c r="Q23" s="22"/>
      <c r="R23" s="22"/>
      <c r="S23" s="22">
        <f t="shared" si="6"/>
        <v>171.21940816675431</v>
      </c>
      <c r="T23" s="22">
        <f t="shared" si="7"/>
        <v>266.53731953759768</v>
      </c>
    </row>
    <row r="24" spans="1:20" x14ac:dyDescent="0.2">
      <c r="A24" s="5">
        <v>33</v>
      </c>
      <c r="B24" s="1">
        <f t="shared" si="8"/>
        <v>1.3448888242462975</v>
      </c>
      <c r="C24" s="5">
        <f t="shared" si="9"/>
        <v>27043.74438271311</v>
      </c>
      <c r="D24" s="5">
        <f t="shared" si="0"/>
        <v>26414.338441663887</v>
      </c>
      <c r="E24" s="5">
        <f t="shared" si="1"/>
        <v>16914.338441663887</v>
      </c>
      <c r="F24" s="5">
        <f t="shared" si="2"/>
        <v>5824.2815012032588</v>
      </c>
      <c r="G24" s="5">
        <f t="shared" si="3"/>
        <v>20590.056940460629</v>
      </c>
      <c r="H24" s="22">
        <f t="shared" si="10"/>
        <v>12241.180952675939</v>
      </c>
      <c r="I24" s="5">
        <f t="shared" si="4"/>
        <v>32157.97294073939</v>
      </c>
      <c r="J24" s="26">
        <f t="shared" si="5"/>
        <v>0.13377457879914748</v>
      </c>
      <c r="L24" s="22">
        <f t="shared" si="11"/>
        <v>35032.164749935022</v>
      </c>
      <c r="M24" s="5">
        <f>scrimecost*Meta!O21</f>
        <v>585.83799999999997</v>
      </c>
      <c r="N24" s="5">
        <f>L24-Grade14!L24</f>
        <v>391.83856619431026</v>
      </c>
      <c r="O24" s="5">
        <f>Grade14!M24-M24</f>
        <v>5.1539999999999964</v>
      </c>
      <c r="P24" s="22">
        <f t="shared" si="12"/>
        <v>33.721239251534726</v>
      </c>
      <c r="Q24" s="22"/>
      <c r="R24" s="22"/>
      <c r="S24" s="22">
        <f t="shared" si="6"/>
        <v>175.25278705329708</v>
      </c>
      <c r="T24" s="22">
        <f t="shared" si="7"/>
        <v>283.06557365750359</v>
      </c>
    </row>
    <row r="25" spans="1:20" x14ac:dyDescent="0.2">
      <c r="A25" s="5">
        <v>34</v>
      </c>
      <c r="B25" s="1">
        <f t="shared" si="8"/>
        <v>1.3785110448524549</v>
      </c>
      <c r="C25" s="5">
        <f t="shared" si="9"/>
        <v>27719.837992280933</v>
      </c>
      <c r="D25" s="5">
        <f t="shared" si="0"/>
        <v>27053.246902705479</v>
      </c>
      <c r="E25" s="5">
        <f t="shared" si="1"/>
        <v>17553.246902705479</v>
      </c>
      <c r="F25" s="5">
        <f t="shared" si="2"/>
        <v>6032.8851137333386</v>
      </c>
      <c r="G25" s="5">
        <f t="shared" si="3"/>
        <v>21020.361788972143</v>
      </c>
      <c r="H25" s="22">
        <f t="shared" si="10"/>
        <v>12547.210476492837</v>
      </c>
      <c r="I25" s="5">
        <f t="shared" si="4"/>
        <v>32877.475689257873</v>
      </c>
      <c r="J25" s="26">
        <f t="shared" si="5"/>
        <v>0.13599379918963009</v>
      </c>
      <c r="L25" s="22">
        <f t="shared" si="11"/>
        <v>35907.968868683391</v>
      </c>
      <c r="M25" s="5">
        <f>scrimecost*Meta!O22</f>
        <v>585.83799999999997</v>
      </c>
      <c r="N25" s="5">
        <f>L25-Grade14!L25</f>
        <v>401.63453034916893</v>
      </c>
      <c r="O25" s="5">
        <f>Grade14!M25-M25</f>
        <v>5.1539999999999964</v>
      </c>
      <c r="P25" s="22">
        <f t="shared" si="12"/>
        <v>34.31178332290569</v>
      </c>
      <c r="Q25" s="22"/>
      <c r="R25" s="22"/>
      <c r="S25" s="22">
        <f t="shared" si="6"/>
        <v>179.3870004120034</v>
      </c>
      <c r="T25" s="22">
        <f t="shared" si="7"/>
        <v>300.62851712970848</v>
      </c>
    </row>
    <row r="26" spans="1:20" x14ac:dyDescent="0.2">
      <c r="A26" s="5">
        <v>35</v>
      </c>
      <c r="B26" s="1">
        <f t="shared" si="8"/>
        <v>1.4129738209737661</v>
      </c>
      <c r="C26" s="5">
        <f t="shared" si="9"/>
        <v>28412.833942087957</v>
      </c>
      <c r="D26" s="5">
        <f t="shared" si="0"/>
        <v>27708.128075273118</v>
      </c>
      <c r="E26" s="5">
        <f t="shared" si="1"/>
        <v>18208.128075273118</v>
      </c>
      <c r="F26" s="5">
        <f t="shared" si="2"/>
        <v>6246.7038165766735</v>
      </c>
      <c r="G26" s="5">
        <f t="shared" si="3"/>
        <v>21461.424258696446</v>
      </c>
      <c r="H26" s="22">
        <f t="shared" si="10"/>
        <v>12860.890738405156</v>
      </c>
      <c r="I26" s="5">
        <f t="shared" si="4"/>
        <v>33614.966006489318</v>
      </c>
      <c r="J26" s="26">
        <f t="shared" si="5"/>
        <v>0.13815889225351563</v>
      </c>
      <c r="L26" s="22">
        <f t="shared" si="11"/>
        <v>36805.668090400475</v>
      </c>
      <c r="M26" s="5">
        <f>scrimecost*Meta!O23</f>
        <v>466.48800000000006</v>
      </c>
      <c r="N26" s="5">
        <f>L26-Grade14!L26</f>
        <v>411.67539360788942</v>
      </c>
      <c r="O26" s="5">
        <f>Grade14!M26-M26</f>
        <v>4.103999999999985</v>
      </c>
      <c r="P26" s="22">
        <f t="shared" si="12"/>
        <v>34.917090996060928</v>
      </c>
      <c r="Q26" s="22"/>
      <c r="R26" s="22"/>
      <c r="S26" s="22">
        <f t="shared" si="6"/>
        <v>182.94416910467368</v>
      </c>
      <c r="T26" s="22">
        <f t="shared" si="7"/>
        <v>318.10820048131131</v>
      </c>
    </row>
    <row r="27" spans="1:20" x14ac:dyDescent="0.2">
      <c r="A27" s="5">
        <v>36</v>
      </c>
      <c r="B27" s="1">
        <f t="shared" si="8"/>
        <v>1.4482981664981105</v>
      </c>
      <c r="C27" s="5">
        <f t="shared" si="9"/>
        <v>29123.154790640157</v>
      </c>
      <c r="D27" s="5">
        <f t="shared" si="0"/>
        <v>28379.381277154946</v>
      </c>
      <c r="E27" s="5">
        <f t="shared" si="1"/>
        <v>18879.381277154946</v>
      </c>
      <c r="F27" s="5">
        <f t="shared" si="2"/>
        <v>6465.8679869910902</v>
      </c>
      <c r="G27" s="5">
        <f t="shared" si="3"/>
        <v>21913.513290163857</v>
      </c>
      <c r="H27" s="22">
        <f t="shared" si="10"/>
        <v>13182.413006865288</v>
      </c>
      <c r="I27" s="5">
        <f t="shared" si="4"/>
        <v>34370.893581651559</v>
      </c>
      <c r="J27" s="26">
        <f t="shared" si="5"/>
        <v>0.14027117816950146</v>
      </c>
      <c r="L27" s="22">
        <f t="shared" si="11"/>
        <v>37725.80979266049</v>
      </c>
      <c r="M27" s="5">
        <f>scrimecost*Meta!O24</f>
        <v>466.48800000000006</v>
      </c>
      <c r="N27" s="5">
        <f>L27-Grade14!L27</f>
        <v>421.96727844809357</v>
      </c>
      <c r="O27" s="5">
        <f>Grade14!M27-M27</f>
        <v>4.103999999999985</v>
      </c>
      <c r="P27" s="22">
        <f t="shared" si="12"/>
        <v>35.537531361045041</v>
      </c>
      <c r="Q27" s="22"/>
      <c r="R27" s="22"/>
      <c r="S27" s="22">
        <f t="shared" si="6"/>
        <v>187.28767701466668</v>
      </c>
      <c r="T27" s="22">
        <f t="shared" si="7"/>
        <v>337.89563546235365</v>
      </c>
    </row>
    <row r="28" spans="1:20" x14ac:dyDescent="0.2">
      <c r="A28" s="5">
        <v>37</v>
      </c>
      <c r="B28" s="1">
        <f t="shared" si="8"/>
        <v>1.4845056206605631</v>
      </c>
      <c r="C28" s="5">
        <f t="shared" si="9"/>
        <v>29851.23366040616</v>
      </c>
      <c r="D28" s="5">
        <f t="shared" si="0"/>
        <v>29067.415809083821</v>
      </c>
      <c r="E28" s="5">
        <f t="shared" si="1"/>
        <v>19567.415809083821</v>
      </c>
      <c r="F28" s="5">
        <f t="shared" si="2"/>
        <v>6690.511261665868</v>
      </c>
      <c r="G28" s="5">
        <f t="shared" si="3"/>
        <v>22376.904547417951</v>
      </c>
      <c r="H28" s="22">
        <f t="shared" si="10"/>
        <v>13511.973332036918</v>
      </c>
      <c r="I28" s="5">
        <f t="shared" si="4"/>
        <v>35145.71934619284</v>
      </c>
      <c r="J28" s="26">
        <f t="shared" si="5"/>
        <v>0.14233194491680476</v>
      </c>
      <c r="L28" s="22">
        <f t="shared" si="11"/>
        <v>38668.955037477004</v>
      </c>
      <c r="M28" s="5">
        <f>scrimecost*Meta!O25</f>
        <v>466.48800000000006</v>
      </c>
      <c r="N28" s="5">
        <f>L28-Grade14!L28</f>
        <v>432.51646040930791</v>
      </c>
      <c r="O28" s="5">
        <f>Grade14!M28-M28</f>
        <v>4.103999999999985</v>
      </c>
      <c r="P28" s="22">
        <f t="shared" si="12"/>
        <v>36.173482735153762</v>
      </c>
      <c r="Q28" s="22"/>
      <c r="R28" s="22"/>
      <c r="S28" s="22">
        <f t="shared" si="6"/>
        <v>191.73977262241144</v>
      </c>
      <c r="T28" s="22">
        <f t="shared" si="7"/>
        <v>358.92414401446183</v>
      </c>
    </row>
    <row r="29" spans="1:20" x14ac:dyDescent="0.2">
      <c r="A29" s="5">
        <v>38</v>
      </c>
      <c r="B29" s="1">
        <f t="shared" si="8"/>
        <v>1.521618261177077</v>
      </c>
      <c r="C29" s="5">
        <f t="shared" si="9"/>
        <v>30597.51450191631</v>
      </c>
      <c r="D29" s="5">
        <f t="shared" si="0"/>
        <v>29772.651204310911</v>
      </c>
      <c r="E29" s="5">
        <f t="shared" si="1"/>
        <v>20272.651204310911</v>
      </c>
      <c r="F29" s="5">
        <f t="shared" si="2"/>
        <v>6920.7706182075126</v>
      </c>
      <c r="G29" s="5">
        <f t="shared" si="3"/>
        <v>22851.880586103398</v>
      </c>
      <c r="H29" s="22">
        <f t="shared" si="10"/>
        <v>13849.772665337839</v>
      </c>
      <c r="I29" s="5">
        <f t="shared" si="4"/>
        <v>35939.915754847658</v>
      </c>
      <c r="J29" s="26">
        <f t="shared" si="5"/>
        <v>0.14434244906051522</v>
      </c>
      <c r="L29" s="22">
        <f t="shared" si="11"/>
        <v>39635.678913413925</v>
      </c>
      <c r="M29" s="5">
        <f>scrimecost*Meta!O26</f>
        <v>466.48800000000006</v>
      </c>
      <c r="N29" s="5">
        <f>L29-Grade14!L29</f>
        <v>443.32937191952806</v>
      </c>
      <c r="O29" s="5">
        <f>Grade14!M29-M29</f>
        <v>4.103999999999985</v>
      </c>
      <c r="P29" s="22">
        <f t="shared" si="12"/>
        <v>36.825332893615197</v>
      </c>
      <c r="Q29" s="22"/>
      <c r="R29" s="22"/>
      <c r="S29" s="22">
        <f t="shared" si="6"/>
        <v>196.30317062034047</v>
      </c>
      <c r="T29" s="22">
        <f t="shared" si="7"/>
        <v>381.27195888404503</v>
      </c>
    </row>
    <row r="30" spans="1:20" x14ac:dyDescent="0.2">
      <c r="A30" s="5">
        <v>39</v>
      </c>
      <c r="B30" s="1">
        <f t="shared" si="8"/>
        <v>1.559658717706504</v>
      </c>
      <c r="C30" s="5">
        <f t="shared" si="9"/>
        <v>31362.452364464221</v>
      </c>
      <c r="D30" s="5">
        <f t="shared" si="0"/>
        <v>30495.517484418688</v>
      </c>
      <c r="E30" s="5">
        <f t="shared" si="1"/>
        <v>20995.517484418688</v>
      </c>
      <c r="F30" s="5">
        <f t="shared" si="2"/>
        <v>7156.786458662702</v>
      </c>
      <c r="G30" s="5">
        <f t="shared" si="3"/>
        <v>23338.731025755988</v>
      </c>
      <c r="H30" s="22">
        <f t="shared" si="10"/>
        <v>14196.016981971285</v>
      </c>
      <c r="I30" s="5">
        <f t="shared" si="4"/>
        <v>36753.96707371885</v>
      </c>
      <c r="J30" s="26">
        <f t="shared" si="5"/>
        <v>0.14630391651779379</v>
      </c>
      <c r="L30" s="22">
        <f t="shared" si="11"/>
        <v>40626.570886249268</v>
      </c>
      <c r="M30" s="5">
        <f>scrimecost*Meta!O27</f>
        <v>466.48800000000006</v>
      </c>
      <c r="N30" s="5">
        <f>L30-Grade14!L30</f>
        <v>454.4126062175128</v>
      </c>
      <c r="O30" s="5">
        <f>Grade14!M30-M30</f>
        <v>4.103999999999985</v>
      </c>
      <c r="P30" s="22">
        <f t="shared" si="12"/>
        <v>37.493479306038161</v>
      </c>
      <c r="Q30" s="22"/>
      <c r="R30" s="22"/>
      <c r="S30" s="22">
        <f t="shared" si="6"/>
        <v>200.98065356822116</v>
      </c>
      <c r="T30" s="22">
        <f t="shared" si="7"/>
        <v>405.02225924625873</v>
      </c>
    </row>
    <row r="31" spans="1:20" x14ac:dyDescent="0.2">
      <c r="A31" s="5">
        <v>40</v>
      </c>
      <c r="B31" s="1">
        <f t="shared" si="8"/>
        <v>1.5986501856491666</v>
      </c>
      <c r="C31" s="5">
        <f t="shared" si="9"/>
        <v>32146.513673575824</v>
      </c>
      <c r="D31" s="5">
        <f t="shared" si="0"/>
        <v>31236.455421529154</v>
      </c>
      <c r="E31" s="5">
        <f t="shared" si="1"/>
        <v>21736.455421529154</v>
      </c>
      <c r="F31" s="5">
        <f t="shared" si="2"/>
        <v>7398.7026951292682</v>
      </c>
      <c r="G31" s="5">
        <f t="shared" si="3"/>
        <v>23837.752726399885</v>
      </c>
      <c r="H31" s="22">
        <f t="shared" si="10"/>
        <v>14550.91740652057</v>
      </c>
      <c r="I31" s="5">
        <f t="shared" si="4"/>
        <v>37588.369675561822</v>
      </c>
      <c r="J31" s="26">
        <f t="shared" si="5"/>
        <v>0.14821754330538259</v>
      </c>
      <c r="L31" s="22">
        <f t="shared" si="11"/>
        <v>41642.235158405507</v>
      </c>
      <c r="M31" s="5">
        <f>scrimecost*Meta!O28</f>
        <v>400.334</v>
      </c>
      <c r="N31" s="5">
        <f>L31-Grade14!L31</f>
        <v>465.77292137296899</v>
      </c>
      <c r="O31" s="5">
        <f>Grade14!M31-M31</f>
        <v>3.5219999999999914</v>
      </c>
      <c r="P31" s="22">
        <f t="shared" si="12"/>
        <v>38.178329378771714</v>
      </c>
      <c r="Q31" s="22"/>
      <c r="R31" s="22"/>
      <c r="S31" s="22">
        <f t="shared" si="6"/>
        <v>205.39793758980727</v>
      </c>
      <c r="T31" s="22">
        <f t="shared" si="7"/>
        <v>429.47491499226521</v>
      </c>
    </row>
    <row r="32" spans="1:20" x14ac:dyDescent="0.2">
      <c r="A32" s="5">
        <v>41</v>
      </c>
      <c r="B32" s="1">
        <f t="shared" si="8"/>
        <v>1.6386164402903955</v>
      </c>
      <c r="C32" s="5">
        <f t="shared" si="9"/>
        <v>32950.176515415216</v>
      </c>
      <c r="D32" s="5">
        <f t="shared" si="0"/>
        <v>31995.916807067377</v>
      </c>
      <c r="E32" s="5">
        <f t="shared" si="1"/>
        <v>22495.916807067377</v>
      </c>
      <c r="F32" s="5">
        <f t="shared" si="2"/>
        <v>7646.6668375074987</v>
      </c>
      <c r="G32" s="5">
        <f t="shared" si="3"/>
        <v>24349.249969559878</v>
      </c>
      <c r="H32" s="22">
        <f t="shared" si="10"/>
        <v>14914.690341683579</v>
      </c>
      <c r="I32" s="5">
        <f t="shared" si="4"/>
        <v>38443.632342450859</v>
      </c>
      <c r="J32" s="26">
        <f t="shared" si="5"/>
        <v>0.15008449626888387</v>
      </c>
      <c r="L32" s="22">
        <f t="shared" si="11"/>
        <v>42683.291037365634</v>
      </c>
      <c r="M32" s="5">
        <f>scrimecost*Meta!O29</f>
        <v>400.334</v>
      </c>
      <c r="N32" s="5">
        <f>L32-Grade14!L32</f>
        <v>477.41724440728285</v>
      </c>
      <c r="O32" s="5">
        <f>Grade14!M32-M32</f>
        <v>3.5219999999999914</v>
      </c>
      <c r="P32" s="22">
        <f t="shared" si="12"/>
        <v>38.880300703323591</v>
      </c>
      <c r="Q32" s="22"/>
      <c r="R32" s="22"/>
      <c r="S32" s="22">
        <f t="shared" si="6"/>
        <v>210.31221811192199</v>
      </c>
      <c r="T32" s="22">
        <f t="shared" si="7"/>
        <v>456.27147007689484</v>
      </c>
    </row>
    <row r="33" spans="1:20" x14ac:dyDescent="0.2">
      <c r="A33" s="5">
        <v>42</v>
      </c>
      <c r="B33" s="1">
        <f t="shared" si="8"/>
        <v>1.6795818512976552</v>
      </c>
      <c r="C33" s="5">
        <f t="shared" si="9"/>
        <v>33773.930928300593</v>
      </c>
      <c r="D33" s="5">
        <f t="shared" si="0"/>
        <v>32774.364727244058</v>
      </c>
      <c r="E33" s="5">
        <f t="shared" si="1"/>
        <v>23274.364727244058</v>
      </c>
      <c r="F33" s="5">
        <f t="shared" si="2"/>
        <v>7900.8300834451848</v>
      </c>
      <c r="G33" s="5">
        <f t="shared" si="3"/>
        <v>24873.534643798874</v>
      </c>
      <c r="H33" s="22">
        <f t="shared" si="10"/>
        <v>15287.557600225668</v>
      </c>
      <c r="I33" s="5">
        <f t="shared" si="4"/>
        <v>39320.276576012126</v>
      </c>
      <c r="J33" s="26">
        <f t="shared" si="5"/>
        <v>0.15190591379425095</v>
      </c>
      <c r="L33" s="22">
        <f t="shared" si="11"/>
        <v>43750.373313299773</v>
      </c>
      <c r="M33" s="5">
        <f>scrimecost*Meta!O30</f>
        <v>400.334</v>
      </c>
      <c r="N33" s="5">
        <f>L33-Grade14!L33</f>
        <v>489.35267551746074</v>
      </c>
      <c r="O33" s="5">
        <f>Grade14!M33-M33</f>
        <v>3.5219999999999914</v>
      </c>
      <c r="P33" s="22">
        <f t="shared" si="12"/>
        <v>39.59982131098927</v>
      </c>
      <c r="Q33" s="22"/>
      <c r="R33" s="22"/>
      <c r="S33" s="22">
        <f t="shared" si="6"/>
        <v>215.34935564709195</v>
      </c>
      <c r="T33" s="22">
        <f t="shared" si="7"/>
        <v>484.75184745426276</v>
      </c>
    </row>
    <row r="34" spans="1:20" x14ac:dyDescent="0.2">
      <c r="A34" s="5">
        <v>43</v>
      </c>
      <c r="B34" s="1">
        <f t="shared" si="8"/>
        <v>1.7215713975800966</v>
      </c>
      <c r="C34" s="5">
        <f t="shared" si="9"/>
        <v>34618.279201508107</v>
      </c>
      <c r="D34" s="5">
        <f t="shared" si="0"/>
        <v>33572.273845425159</v>
      </c>
      <c r="E34" s="5">
        <f t="shared" si="1"/>
        <v>24072.273845425159</v>
      </c>
      <c r="F34" s="5">
        <f t="shared" si="2"/>
        <v>8161.3474105313144</v>
      </c>
      <c r="G34" s="5">
        <f t="shared" si="3"/>
        <v>25410.926434893845</v>
      </c>
      <c r="H34" s="22">
        <f t="shared" si="10"/>
        <v>15669.746540231308</v>
      </c>
      <c r="I34" s="5">
        <f t="shared" si="4"/>
        <v>40218.83691541243</v>
      </c>
      <c r="J34" s="26">
        <f t="shared" si="5"/>
        <v>0.15368290650192618</v>
      </c>
      <c r="L34" s="22">
        <f t="shared" si="11"/>
        <v>44844.132646132268</v>
      </c>
      <c r="M34" s="5">
        <f>scrimecost*Meta!O31</f>
        <v>400.334</v>
      </c>
      <c r="N34" s="5">
        <f>L34-Grade14!L34</f>
        <v>501.58649240539671</v>
      </c>
      <c r="O34" s="5">
        <f>Grade14!M34-M34</f>
        <v>3.5219999999999914</v>
      </c>
      <c r="P34" s="22">
        <f t="shared" si="12"/>
        <v>40.337329933846597</v>
      </c>
      <c r="Q34" s="22"/>
      <c r="R34" s="22"/>
      <c r="S34" s="22">
        <f t="shared" si="6"/>
        <v>220.51242162064256</v>
      </c>
      <c r="T34" s="22">
        <f t="shared" si="7"/>
        <v>515.02230838214405</v>
      </c>
    </row>
    <row r="35" spans="1:20" x14ac:dyDescent="0.2">
      <c r="A35" s="5">
        <v>44</v>
      </c>
      <c r="B35" s="1">
        <f t="shared" si="8"/>
        <v>1.7646106825195991</v>
      </c>
      <c r="C35" s="5">
        <f t="shared" si="9"/>
        <v>35483.736181545813</v>
      </c>
      <c r="D35" s="5">
        <f t="shared" si="0"/>
        <v>34390.130691560793</v>
      </c>
      <c r="E35" s="5">
        <f t="shared" si="1"/>
        <v>24890.130691560793</v>
      </c>
      <c r="F35" s="5">
        <f t="shared" si="2"/>
        <v>8428.3776707945981</v>
      </c>
      <c r="G35" s="5">
        <f t="shared" si="3"/>
        <v>25961.753020766195</v>
      </c>
      <c r="H35" s="22">
        <f t="shared" si="10"/>
        <v>16061.490203737092</v>
      </c>
      <c r="I35" s="5">
        <f t="shared" si="4"/>
        <v>41139.861263297746</v>
      </c>
      <c r="J35" s="26">
        <f t="shared" si="5"/>
        <v>0.15541655792404838</v>
      </c>
      <c r="L35" s="22">
        <f t="shared" si="11"/>
        <v>45965.23596228558</v>
      </c>
      <c r="M35" s="5">
        <f>scrimecost*Meta!O32</f>
        <v>400.334</v>
      </c>
      <c r="N35" s="5">
        <f>L35-Grade14!L35</f>
        <v>514.12615471554454</v>
      </c>
      <c r="O35" s="5">
        <f>Grade14!M35-M35</f>
        <v>3.5219999999999914</v>
      </c>
      <c r="P35" s="22">
        <f t="shared" si="12"/>
        <v>41.093276272275361</v>
      </c>
      <c r="Q35" s="22"/>
      <c r="R35" s="22"/>
      <c r="S35" s="22">
        <f t="shared" si="6"/>
        <v>225.8045642435371</v>
      </c>
      <c r="T35" s="22">
        <f t="shared" si="7"/>
        <v>547.19583722179505</v>
      </c>
    </row>
    <row r="36" spans="1:20" x14ac:dyDescent="0.2">
      <c r="A36" s="5">
        <v>45</v>
      </c>
      <c r="B36" s="1">
        <f t="shared" si="8"/>
        <v>1.8087259495825889</v>
      </c>
      <c r="C36" s="5">
        <f t="shared" si="9"/>
        <v>36370.829586084452</v>
      </c>
      <c r="D36" s="5">
        <f t="shared" si="0"/>
        <v>35228.433958849804</v>
      </c>
      <c r="E36" s="5">
        <f t="shared" si="1"/>
        <v>25728.433958849804</v>
      </c>
      <c r="F36" s="5">
        <f t="shared" si="2"/>
        <v>8702.08368756446</v>
      </c>
      <c r="G36" s="5">
        <f t="shared" si="3"/>
        <v>26526.350271285344</v>
      </c>
      <c r="H36" s="22">
        <f t="shared" si="10"/>
        <v>16463.027458830518</v>
      </c>
      <c r="I36" s="5">
        <f t="shared" si="4"/>
        <v>42083.911219880181</v>
      </c>
      <c r="J36" s="26">
        <f t="shared" si="5"/>
        <v>0.15710792516514313</v>
      </c>
      <c r="L36" s="22">
        <f t="shared" si="11"/>
        <v>47114.366861342707</v>
      </c>
      <c r="M36" s="5">
        <f>scrimecost*Meta!O33</f>
        <v>308.26400000000001</v>
      </c>
      <c r="N36" s="5">
        <f>L36-Grade14!L36</f>
        <v>526.97930858342443</v>
      </c>
      <c r="O36" s="5">
        <f>Grade14!M36-M36</f>
        <v>2.7119999999999891</v>
      </c>
      <c r="P36" s="22">
        <f t="shared" si="12"/>
        <v>41.868121269164824</v>
      </c>
      <c r="Q36" s="22"/>
      <c r="R36" s="22"/>
      <c r="S36" s="22">
        <f t="shared" si="6"/>
        <v>230.70413043199568</v>
      </c>
      <c r="T36" s="22">
        <f t="shared" si="7"/>
        <v>580.07283110571018</v>
      </c>
    </row>
    <row r="37" spans="1:20" x14ac:dyDescent="0.2">
      <c r="A37" s="5">
        <v>46</v>
      </c>
      <c r="B37" s="1">
        <f t="shared" ref="B37:B56" si="13">(1+experiencepremium)^(A37-startage)</f>
        <v>1.8539440983221533</v>
      </c>
      <c r="C37" s="5">
        <f t="shared" ref="C37:C56" si="14">pretaxincome*B37/expnorm</f>
        <v>37280.100325736559</v>
      </c>
      <c r="D37" s="5">
        <f t="shared" ref="D37:D56" si="15">IF(A37&lt;startage,1,0)*(C37*(1-initialunempprob))+IF(A37=startage,1,0)*(C37*(1-unempprob))+IF(A37&gt;startage,1,0)*(C37*(1-unempprob)+unempprob*300*52)</f>
        <v>36087.694807821048</v>
      </c>
      <c r="E37" s="5">
        <f t="shared" si="1"/>
        <v>26587.694807821048</v>
      </c>
      <c r="F37" s="5">
        <f t="shared" si="2"/>
        <v>8982.6323547535721</v>
      </c>
      <c r="G37" s="5">
        <f t="shared" si="3"/>
        <v>27105.062453067476</v>
      </c>
      <c r="H37" s="22">
        <f t="shared" ref="H37:H56" si="16">benefits*B37/expnorm</f>
        <v>16874.603145301277</v>
      </c>
      <c r="I37" s="5">
        <f t="shared" ref="I37:I56" si="17">G37+IF(A37&lt;startage,1,0)*(H37*(1-initialunempprob))+IF(A37&gt;=startage,1,0)*(H37*(1-unempprob))</f>
        <v>43051.562425377182</v>
      </c>
      <c r="J37" s="26">
        <f t="shared" si="5"/>
        <v>0.15875803954669906</v>
      </c>
      <c r="L37" s="22">
        <f t="shared" ref="L37:L56" si="18">(sincome+sbenefits)*(1-sunemp)*B37/expnorm</f>
        <v>48292.226032876271</v>
      </c>
      <c r="M37" s="5">
        <f>scrimecost*Meta!O34</f>
        <v>308.26400000000001</v>
      </c>
      <c r="N37" s="5">
        <f>L37-Grade14!L37</f>
        <v>540.15379129801295</v>
      </c>
      <c r="O37" s="5">
        <f>Grade14!M37-M37</f>
        <v>2.7119999999999891</v>
      </c>
      <c r="P37" s="22">
        <f t="shared" si="12"/>
        <v>42.662337390976539</v>
      </c>
      <c r="Q37" s="22"/>
      <c r="R37" s="22"/>
      <c r="S37" s="22">
        <f t="shared" si="6"/>
        <v>236.2641877751702</v>
      </c>
      <c r="T37" s="22">
        <f t="shared" si="7"/>
        <v>616.37091690201555</v>
      </c>
    </row>
    <row r="38" spans="1:20" x14ac:dyDescent="0.2">
      <c r="A38" s="5">
        <v>47</v>
      </c>
      <c r="B38" s="1">
        <f t="shared" si="13"/>
        <v>1.9002927007802071</v>
      </c>
      <c r="C38" s="5">
        <f t="shared" si="14"/>
        <v>38212.102833879966</v>
      </c>
      <c r="D38" s="5">
        <f t="shared" si="15"/>
        <v>36968.437178016567</v>
      </c>
      <c r="E38" s="5">
        <f t="shared" si="1"/>
        <v>27468.437178016567</v>
      </c>
      <c r="F38" s="5">
        <f t="shared" si="2"/>
        <v>9270.1947386224092</v>
      </c>
      <c r="G38" s="5">
        <f t="shared" si="3"/>
        <v>27698.242439394158</v>
      </c>
      <c r="H38" s="22">
        <f t="shared" si="16"/>
        <v>17296.468223933811</v>
      </c>
      <c r="I38" s="5">
        <f t="shared" si="17"/>
        <v>44043.40491101161</v>
      </c>
      <c r="J38" s="26">
        <f t="shared" si="5"/>
        <v>0.16036790723602184</v>
      </c>
      <c r="L38" s="22">
        <f t="shared" si="18"/>
        <v>49499.531683698173</v>
      </c>
      <c r="M38" s="5">
        <f>scrimecost*Meta!O35</f>
        <v>308.26400000000001</v>
      </c>
      <c r="N38" s="5">
        <f>L38-Grade14!L38</f>
        <v>553.65763608045381</v>
      </c>
      <c r="O38" s="5">
        <f>Grade14!M38-M38</f>
        <v>2.7119999999999891</v>
      </c>
      <c r="P38" s="22">
        <f t="shared" si="12"/>
        <v>43.476408915833538</v>
      </c>
      <c r="Q38" s="22"/>
      <c r="R38" s="22"/>
      <c r="S38" s="22">
        <f t="shared" si="6"/>
        <v>241.96324655191935</v>
      </c>
      <c r="T38" s="22">
        <f t="shared" si="7"/>
        <v>654.95389659364196</v>
      </c>
    </row>
    <row r="39" spans="1:20" x14ac:dyDescent="0.2">
      <c r="A39" s="5">
        <v>48</v>
      </c>
      <c r="B39" s="1">
        <f t="shared" si="13"/>
        <v>1.9478000182997122</v>
      </c>
      <c r="C39" s="5">
        <f t="shared" si="14"/>
        <v>39167.405404726967</v>
      </c>
      <c r="D39" s="5">
        <f t="shared" si="15"/>
        <v>37871.198107466982</v>
      </c>
      <c r="E39" s="5">
        <f t="shared" si="1"/>
        <v>28371.198107466982</v>
      </c>
      <c r="F39" s="5">
        <f t="shared" si="2"/>
        <v>9564.9461820879696</v>
      </c>
      <c r="G39" s="5">
        <f t="shared" si="3"/>
        <v>28306.251925379012</v>
      </c>
      <c r="H39" s="22">
        <f t="shared" si="16"/>
        <v>17728.879929532155</v>
      </c>
      <c r="I39" s="5">
        <f t="shared" si="17"/>
        <v>45060.043458786895</v>
      </c>
      <c r="J39" s="26">
        <f t="shared" si="5"/>
        <v>0.16193850985975147</v>
      </c>
      <c r="L39" s="22">
        <f t="shared" si="18"/>
        <v>50737.019975790623</v>
      </c>
      <c r="M39" s="5">
        <f>scrimecost*Meta!O36</f>
        <v>308.26400000000001</v>
      </c>
      <c r="N39" s="5">
        <f>L39-Grade14!L39</f>
        <v>567.49907698247262</v>
      </c>
      <c r="O39" s="5">
        <f>Grade14!M39-M39</f>
        <v>2.7119999999999891</v>
      </c>
      <c r="P39" s="22">
        <f t="shared" si="12"/>
        <v>44.310832228811975</v>
      </c>
      <c r="Q39" s="22"/>
      <c r="R39" s="22"/>
      <c r="S39" s="22">
        <f t="shared" si="6"/>
        <v>247.80478179809373</v>
      </c>
      <c r="T39" s="22">
        <f t="shared" si="7"/>
        <v>695.96611605939665</v>
      </c>
    </row>
    <row r="40" spans="1:20" x14ac:dyDescent="0.2">
      <c r="A40" s="5">
        <v>49</v>
      </c>
      <c r="B40" s="1">
        <f t="shared" si="13"/>
        <v>1.9964950187572048</v>
      </c>
      <c r="C40" s="5">
        <f t="shared" si="14"/>
        <v>40146.590539845136</v>
      </c>
      <c r="D40" s="5">
        <f t="shared" si="15"/>
        <v>38796.528060153651</v>
      </c>
      <c r="E40" s="5">
        <f t="shared" si="1"/>
        <v>29296.528060153651</v>
      </c>
      <c r="F40" s="5">
        <f t="shared" si="2"/>
        <v>9867.0664116401676</v>
      </c>
      <c r="G40" s="5">
        <f t="shared" si="3"/>
        <v>28929.461648513483</v>
      </c>
      <c r="H40" s="22">
        <f t="shared" si="16"/>
        <v>18172.101927770458</v>
      </c>
      <c r="I40" s="5">
        <f t="shared" si="17"/>
        <v>46102.097970256567</v>
      </c>
      <c r="J40" s="26">
        <f t="shared" si="5"/>
        <v>0.16347080510241449</v>
      </c>
      <c r="L40" s="22">
        <f t="shared" si="18"/>
        <v>52005.445475185385</v>
      </c>
      <c r="M40" s="5">
        <f>scrimecost*Meta!O37</f>
        <v>308.26400000000001</v>
      </c>
      <c r="N40" s="5">
        <f>L40-Grade14!L40</f>
        <v>581.68655390702042</v>
      </c>
      <c r="O40" s="5">
        <f>Grade14!M40-M40</f>
        <v>2.7119999999999891</v>
      </c>
      <c r="P40" s="22">
        <f t="shared" si="12"/>
        <v>45.166116124614859</v>
      </c>
      <c r="Q40" s="22"/>
      <c r="R40" s="22"/>
      <c r="S40" s="22">
        <f t="shared" si="6"/>
        <v>253.79235542541423</v>
      </c>
      <c r="T40" s="22">
        <f t="shared" si="7"/>
        <v>739.56105965193183</v>
      </c>
    </row>
    <row r="41" spans="1:20" x14ac:dyDescent="0.2">
      <c r="A41" s="5">
        <v>50</v>
      </c>
      <c r="B41" s="1">
        <f t="shared" si="13"/>
        <v>2.0464073942261352</v>
      </c>
      <c r="C41" s="5">
        <f t="shared" si="14"/>
        <v>41150.255303341277</v>
      </c>
      <c r="D41" s="5">
        <f t="shared" si="15"/>
        <v>39744.991261657502</v>
      </c>
      <c r="E41" s="5">
        <f t="shared" si="1"/>
        <v>30244.991261657502</v>
      </c>
      <c r="F41" s="5">
        <f t="shared" si="2"/>
        <v>10176.739646931175</v>
      </c>
      <c r="G41" s="5">
        <f t="shared" si="3"/>
        <v>29568.251614726327</v>
      </c>
      <c r="H41" s="22">
        <f t="shared" si="16"/>
        <v>18626.404475964719</v>
      </c>
      <c r="I41" s="5">
        <f t="shared" si="17"/>
        <v>47170.203844512987</v>
      </c>
      <c r="J41" s="26">
        <f t="shared" si="5"/>
        <v>0.16496572729037845</v>
      </c>
      <c r="L41" s="22">
        <f t="shared" si="18"/>
        <v>53305.581612065027</v>
      </c>
      <c r="M41" s="5">
        <f>scrimecost*Meta!O38</f>
        <v>187.209</v>
      </c>
      <c r="N41" s="5">
        <f>L41-Grade14!L41</f>
        <v>596.22871775471867</v>
      </c>
      <c r="O41" s="5">
        <f>Grade14!M41-M41</f>
        <v>1.6470000000000198</v>
      </c>
      <c r="P41" s="22">
        <f t="shared" si="12"/>
        <v>46.042782117812834</v>
      </c>
      <c r="Q41" s="22"/>
      <c r="R41" s="22"/>
      <c r="S41" s="22">
        <f t="shared" si="6"/>
        <v>259.2394983934318</v>
      </c>
      <c r="T41" s="22">
        <f t="shared" si="7"/>
        <v>783.81533911601275</v>
      </c>
    </row>
    <row r="42" spans="1:20" x14ac:dyDescent="0.2">
      <c r="A42" s="5">
        <v>51</v>
      </c>
      <c r="B42" s="1">
        <f t="shared" si="13"/>
        <v>2.097567579081788</v>
      </c>
      <c r="C42" s="5">
        <f t="shared" si="14"/>
        <v>42179.011685924794</v>
      </c>
      <c r="D42" s="5">
        <f t="shared" si="15"/>
        <v>40717.166043198929</v>
      </c>
      <c r="E42" s="5">
        <f t="shared" si="1"/>
        <v>31217.166043198929</v>
      </c>
      <c r="F42" s="5">
        <f t="shared" si="2"/>
        <v>10494.15471310445</v>
      </c>
      <c r="G42" s="5">
        <f t="shared" si="3"/>
        <v>30223.011330094479</v>
      </c>
      <c r="H42" s="22">
        <f t="shared" si="16"/>
        <v>19092.064587863835</v>
      </c>
      <c r="I42" s="5">
        <f t="shared" si="17"/>
        <v>48265.012365625807</v>
      </c>
      <c r="J42" s="26">
        <f t="shared" si="5"/>
        <v>0.16642418796156272</v>
      </c>
      <c r="L42" s="22">
        <f t="shared" si="18"/>
        <v>54638.221152366641</v>
      </c>
      <c r="M42" s="5">
        <f>scrimecost*Meta!O39</f>
        <v>187.209</v>
      </c>
      <c r="N42" s="5">
        <f>L42-Grade14!L42</f>
        <v>611.13443569855735</v>
      </c>
      <c r="O42" s="5">
        <f>Grade14!M42-M42</f>
        <v>1.6470000000000198</v>
      </c>
      <c r="P42" s="22">
        <f t="shared" si="12"/>
        <v>46.941364760840735</v>
      </c>
      <c r="Q42" s="22"/>
      <c r="R42" s="22"/>
      <c r="S42" s="22">
        <f t="shared" si="6"/>
        <v>265.53019293562988</v>
      </c>
      <c r="T42" s="22">
        <f t="shared" si="7"/>
        <v>832.99727951912371</v>
      </c>
    </row>
    <row r="43" spans="1:20" x14ac:dyDescent="0.2">
      <c r="A43" s="5">
        <v>52</v>
      </c>
      <c r="B43" s="1">
        <f t="shared" si="13"/>
        <v>2.1500067685588333</v>
      </c>
      <c r="C43" s="5">
        <f t="shared" si="14"/>
        <v>43233.48697807292</v>
      </c>
      <c r="D43" s="5">
        <f t="shared" si="15"/>
        <v>41713.645194278906</v>
      </c>
      <c r="E43" s="5">
        <f t="shared" si="1"/>
        <v>32213.645194278906</v>
      </c>
      <c r="F43" s="5">
        <f t="shared" si="2"/>
        <v>10819.505155932064</v>
      </c>
      <c r="G43" s="5">
        <f t="shared" si="3"/>
        <v>30894.140038346843</v>
      </c>
      <c r="H43" s="22">
        <f t="shared" si="16"/>
        <v>19569.366202560435</v>
      </c>
      <c r="I43" s="5">
        <f t="shared" si="17"/>
        <v>49387.191099766453</v>
      </c>
      <c r="J43" s="26">
        <f t="shared" si="5"/>
        <v>0.16784707642125474</v>
      </c>
      <c r="L43" s="22">
        <f t="shared" si="18"/>
        <v>56004.176681175828</v>
      </c>
      <c r="M43" s="5">
        <f>scrimecost*Meta!O40</f>
        <v>187.209</v>
      </c>
      <c r="N43" s="5">
        <f>L43-Grade14!L43</f>
        <v>626.41279659105203</v>
      </c>
      <c r="O43" s="5">
        <f>Grade14!M43-M43</f>
        <v>1.6470000000000198</v>
      </c>
      <c r="P43" s="22">
        <f t="shared" si="12"/>
        <v>47.862411969944354</v>
      </c>
      <c r="Q43" s="22"/>
      <c r="R43" s="22"/>
      <c r="S43" s="22">
        <f t="shared" ref="S43:S69" si="19">IF(A43&lt;startage,1,0)*(N43-Q43-R43)+IF(A43&gt;=startage,1,0)*completionprob*(N43*spart+O43+P43)</f>
        <v>271.97815484140597</v>
      </c>
      <c r="T43" s="22">
        <f t="shared" ref="T43:T69" si="20">S43/sreturn^(A43-startage+1)</f>
        <v>885.28026183537156</v>
      </c>
    </row>
    <row r="44" spans="1:20" x14ac:dyDescent="0.2">
      <c r="A44" s="5">
        <v>53</v>
      </c>
      <c r="B44" s="1">
        <f t="shared" si="13"/>
        <v>2.2037569377728037</v>
      </c>
      <c r="C44" s="5">
        <f t="shared" si="14"/>
        <v>44314.324152524743</v>
      </c>
      <c r="D44" s="5">
        <f t="shared" si="15"/>
        <v>42735.036324135879</v>
      </c>
      <c r="E44" s="5">
        <f t="shared" si="1"/>
        <v>33235.036324135879</v>
      </c>
      <c r="F44" s="5">
        <f t="shared" si="2"/>
        <v>11152.989359830364</v>
      </c>
      <c r="G44" s="5">
        <f t="shared" si="3"/>
        <v>31582.046964305515</v>
      </c>
      <c r="H44" s="22">
        <f t="shared" si="16"/>
        <v>20058.60035762444</v>
      </c>
      <c r="I44" s="5">
        <f t="shared" si="17"/>
        <v>50537.42430226061</v>
      </c>
      <c r="J44" s="26">
        <f t="shared" si="5"/>
        <v>0.16923526028436889</v>
      </c>
      <c r="L44" s="22">
        <f t="shared" si="18"/>
        <v>57404.281098205211</v>
      </c>
      <c r="M44" s="5">
        <f>scrimecost*Meta!O41</f>
        <v>187.209</v>
      </c>
      <c r="N44" s="5">
        <f>L44-Grade14!L44</f>
        <v>642.07311650582415</v>
      </c>
      <c r="O44" s="5">
        <f>Grade14!M44-M44</f>
        <v>1.6470000000000198</v>
      </c>
      <c r="P44" s="22">
        <f t="shared" si="12"/>
        <v>48.806485359275548</v>
      </c>
      <c r="Q44" s="22"/>
      <c r="R44" s="22"/>
      <c r="S44" s="22">
        <f t="shared" si="19"/>
        <v>278.58731579481304</v>
      </c>
      <c r="T44" s="22">
        <f t="shared" si="20"/>
        <v>940.86038588935151</v>
      </c>
    </row>
    <row r="45" spans="1:20" x14ac:dyDescent="0.2">
      <c r="A45" s="5">
        <v>54</v>
      </c>
      <c r="B45" s="1">
        <f t="shared" si="13"/>
        <v>2.2588508612171236</v>
      </c>
      <c r="C45" s="5">
        <f t="shared" si="14"/>
        <v>45422.182256337859</v>
      </c>
      <c r="D45" s="5">
        <f t="shared" si="15"/>
        <v>43781.962232239275</v>
      </c>
      <c r="E45" s="5">
        <f t="shared" si="1"/>
        <v>34281.962232239275</v>
      </c>
      <c r="F45" s="5">
        <f t="shared" si="2"/>
        <v>11494.810668826123</v>
      </c>
      <c r="G45" s="5">
        <f t="shared" si="3"/>
        <v>32287.15156341315</v>
      </c>
      <c r="H45" s="22">
        <f t="shared" si="16"/>
        <v>20560.065366565053</v>
      </c>
      <c r="I45" s="5">
        <f t="shared" si="17"/>
        <v>51716.413334817124</v>
      </c>
      <c r="J45" s="26">
        <f t="shared" si="5"/>
        <v>0.17058958600448026</v>
      </c>
      <c r="L45" s="22">
        <f t="shared" si="18"/>
        <v>58839.388125660334</v>
      </c>
      <c r="M45" s="5">
        <f>scrimecost*Meta!O42</f>
        <v>187.209</v>
      </c>
      <c r="N45" s="5">
        <f>L45-Grade14!L45</f>
        <v>658.12494441846502</v>
      </c>
      <c r="O45" s="5">
        <f>Grade14!M45-M45</f>
        <v>1.6470000000000198</v>
      </c>
      <c r="P45" s="22">
        <f t="shared" si="12"/>
        <v>49.774160583340034</v>
      </c>
      <c r="Q45" s="22"/>
      <c r="R45" s="22"/>
      <c r="S45" s="22">
        <f t="shared" si="19"/>
        <v>285.36170577205507</v>
      </c>
      <c r="T45" s="22">
        <f t="shared" si="20"/>
        <v>999.94617384942262</v>
      </c>
    </row>
    <row r="46" spans="1:20" x14ac:dyDescent="0.2">
      <c r="A46" s="5">
        <v>55</v>
      </c>
      <c r="B46" s="1">
        <f t="shared" si="13"/>
        <v>2.3153221327475517</v>
      </c>
      <c r="C46" s="5">
        <f t="shared" si="14"/>
        <v>46557.736812746305</v>
      </c>
      <c r="D46" s="5">
        <f t="shared" si="15"/>
        <v>44855.061288045254</v>
      </c>
      <c r="E46" s="5">
        <f t="shared" si="1"/>
        <v>35355.061288045254</v>
      </c>
      <c r="F46" s="5">
        <f t="shared" si="2"/>
        <v>11930.6836393513</v>
      </c>
      <c r="G46" s="5">
        <f t="shared" si="3"/>
        <v>32924.377648693953</v>
      </c>
      <c r="H46" s="22">
        <f t="shared" si="16"/>
        <v>21074.067000729177</v>
      </c>
      <c r="I46" s="5">
        <f t="shared" si="17"/>
        <v>52839.370964383023</v>
      </c>
      <c r="J46" s="26">
        <f t="shared" si="5"/>
        <v>0.17324875108465584</v>
      </c>
      <c r="L46" s="22">
        <f t="shared" si="18"/>
        <v>60310.372828801846</v>
      </c>
      <c r="M46" s="5">
        <f>scrimecost*Meta!O43</f>
        <v>93.434000000000012</v>
      </c>
      <c r="N46" s="5">
        <f>L46-Grade14!L46</f>
        <v>674.57806802893901</v>
      </c>
      <c r="O46" s="5">
        <f>Grade14!M46-M46</f>
        <v>0.82199999999998852</v>
      </c>
      <c r="P46" s="22">
        <f t="shared" si="12"/>
        <v>51.008090310119691</v>
      </c>
      <c r="Q46" s="22"/>
      <c r="R46" s="22"/>
      <c r="S46" s="22">
        <f t="shared" si="19"/>
        <v>291.92771207786427</v>
      </c>
      <c r="T46" s="22">
        <f t="shared" si="20"/>
        <v>1061.3859646577985</v>
      </c>
    </row>
    <row r="47" spans="1:20" x14ac:dyDescent="0.2">
      <c r="A47" s="5">
        <v>56</v>
      </c>
      <c r="B47" s="1">
        <f t="shared" si="13"/>
        <v>2.3732051860662402</v>
      </c>
      <c r="C47" s="5">
        <f t="shared" si="14"/>
        <v>47721.680233064959</v>
      </c>
      <c r="D47" s="5">
        <f t="shared" si="15"/>
        <v>45954.987820246381</v>
      </c>
      <c r="E47" s="5">
        <f t="shared" si="1"/>
        <v>36454.987820246381</v>
      </c>
      <c r="F47" s="5">
        <f t="shared" si="2"/>
        <v>12399.802305335083</v>
      </c>
      <c r="G47" s="5">
        <f t="shared" si="3"/>
        <v>33555.185514911296</v>
      </c>
      <c r="H47" s="22">
        <f t="shared" si="16"/>
        <v>21600.918675747405</v>
      </c>
      <c r="I47" s="5">
        <f t="shared" si="17"/>
        <v>53968.053663492596</v>
      </c>
      <c r="J47" s="26">
        <f t="shared" si="5"/>
        <v>0.17618421128611783</v>
      </c>
      <c r="L47" s="22">
        <f t="shared" si="18"/>
        <v>61818.132149521873</v>
      </c>
      <c r="M47" s="5">
        <f>scrimecost*Meta!O44</f>
        <v>93.434000000000012</v>
      </c>
      <c r="N47" s="5">
        <f>L47-Grade14!L47</f>
        <v>691.44251972963684</v>
      </c>
      <c r="O47" s="5">
        <f>Grade14!M47-M47</f>
        <v>0.82199999999998852</v>
      </c>
      <c r="P47" s="22">
        <f t="shared" si="12"/>
        <v>52.336136567833599</v>
      </c>
      <c r="Q47" s="22"/>
      <c r="R47" s="22"/>
      <c r="S47" s="22">
        <f t="shared" si="19"/>
        <v>299.24683139177574</v>
      </c>
      <c r="T47" s="22">
        <f t="shared" si="20"/>
        <v>1128.8719022087566</v>
      </c>
    </row>
    <row r="48" spans="1:20" x14ac:dyDescent="0.2">
      <c r="A48" s="5">
        <v>57</v>
      </c>
      <c r="B48" s="1">
        <f t="shared" si="13"/>
        <v>2.4325353157178964</v>
      </c>
      <c r="C48" s="5">
        <f t="shared" si="14"/>
        <v>48914.722238891576</v>
      </c>
      <c r="D48" s="5">
        <f t="shared" si="15"/>
        <v>47082.412515752534</v>
      </c>
      <c r="E48" s="5">
        <f t="shared" si="1"/>
        <v>37582.412515752534</v>
      </c>
      <c r="F48" s="5">
        <f t="shared" si="2"/>
        <v>12880.648937968455</v>
      </c>
      <c r="G48" s="5">
        <f t="shared" si="3"/>
        <v>34201.763577784077</v>
      </c>
      <c r="H48" s="22">
        <f t="shared" si="16"/>
        <v>22140.941642641093</v>
      </c>
      <c r="I48" s="5">
        <f t="shared" si="17"/>
        <v>55124.953430079913</v>
      </c>
      <c r="J48" s="26">
        <f t="shared" si="5"/>
        <v>0.17904807489730015</v>
      </c>
      <c r="L48" s="22">
        <f t="shared" si="18"/>
        <v>63363.585453259933</v>
      </c>
      <c r="M48" s="5">
        <f>scrimecost*Meta!O45</f>
        <v>93.434000000000012</v>
      </c>
      <c r="N48" s="5">
        <f>L48-Grade14!L48</f>
        <v>708.72858272289886</v>
      </c>
      <c r="O48" s="5">
        <f>Grade14!M48-M48</f>
        <v>0.82199999999998852</v>
      </c>
      <c r="P48" s="22">
        <f t="shared" si="12"/>
        <v>53.697383981990342</v>
      </c>
      <c r="Q48" s="22"/>
      <c r="R48" s="22"/>
      <c r="S48" s="22">
        <f t="shared" si="19"/>
        <v>306.74892868855289</v>
      </c>
      <c r="T48" s="22">
        <f t="shared" si="20"/>
        <v>1200.6467339727681</v>
      </c>
    </row>
    <row r="49" spans="1:20" x14ac:dyDescent="0.2">
      <c r="A49" s="5">
        <v>58</v>
      </c>
      <c r="B49" s="1">
        <f t="shared" si="13"/>
        <v>2.4933486986108435</v>
      </c>
      <c r="C49" s="5">
        <f t="shared" si="14"/>
        <v>50137.590294863861</v>
      </c>
      <c r="D49" s="5">
        <f t="shared" si="15"/>
        <v>48238.022828646346</v>
      </c>
      <c r="E49" s="5">
        <f t="shared" si="1"/>
        <v>38738.022828646346</v>
      </c>
      <c r="F49" s="5">
        <f t="shared" si="2"/>
        <v>13373.516736417667</v>
      </c>
      <c r="G49" s="5">
        <f t="shared" si="3"/>
        <v>34864.506092228679</v>
      </c>
      <c r="H49" s="22">
        <f t="shared" si="16"/>
        <v>22694.465183707114</v>
      </c>
      <c r="I49" s="5">
        <f t="shared" si="17"/>
        <v>56310.775690831899</v>
      </c>
      <c r="J49" s="26">
        <f t="shared" si="5"/>
        <v>0.18184208817650255</v>
      </c>
      <c r="L49" s="22">
        <f t="shared" si="18"/>
        <v>64947.675089591423</v>
      </c>
      <c r="M49" s="5">
        <f>scrimecost*Meta!O46</f>
        <v>93.434000000000012</v>
      </c>
      <c r="N49" s="5">
        <f>L49-Grade14!L49</f>
        <v>726.44679729097697</v>
      </c>
      <c r="O49" s="5">
        <f>Grade14!M49-M49</f>
        <v>0.82199999999998852</v>
      </c>
      <c r="P49" s="22">
        <f t="shared" si="12"/>
        <v>55.092662581501017</v>
      </c>
      <c r="Q49" s="22"/>
      <c r="R49" s="22"/>
      <c r="S49" s="22">
        <f t="shared" si="19"/>
        <v>314.43857841774354</v>
      </c>
      <c r="T49" s="22">
        <f t="shared" si="20"/>
        <v>1276.9829524671572</v>
      </c>
    </row>
    <row r="50" spans="1:20" x14ac:dyDescent="0.2">
      <c r="A50" s="5">
        <v>59</v>
      </c>
      <c r="B50" s="1">
        <f t="shared" si="13"/>
        <v>2.555682416076114</v>
      </c>
      <c r="C50" s="5">
        <f t="shared" si="14"/>
        <v>51391.030052235452</v>
      </c>
      <c r="D50" s="5">
        <f t="shared" si="15"/>
        <v>49422.523399362501</v>
      </c>
      <c r="E50" s="5">
        <f t="shared" si="1"/>
        <v>39922.523399362501</v>
      </c>
      <c r="F50" s="5">
        <f t="shared" si="2"/>
        <v>13878.706229828107</v>
      </c>
      <c r="G50" s="5">
        <f t="shared" si="3"/>
        <v>35543.817169534392</v>
      </c>
      <c r="H50" s="22">
        <f t="shared" si="16"/>
        <v>23261.826813299791</v>
      </c>
      <c r="I50" s="5">
        <f t="shared" si="17"/>
        <v>57526.243508102692</v>
      </c>
      <c r="J50" s="26">
        <f t="shared" si="5"/>
        <v>0.18456795479035853</v>
      </c>
      <c r="L50" s="22">
        <f t="shared" si="18"/>
        <v>66571.366966831192</v>
      </c>
      <c r="M50" s="5">
        <f>scrimecost*Meta!O47</f>
        <v>93.434000000000012</v>
      </c>
      <c r="N50" s="5">
        <f>L50-Grade14!L50</f>
        <v>744.60796722322993</v>
      </c>
      <c r="O50" s="5">
        <f>Grade14!M50-M50</f>
        <v>0.82199999999998852</v>
      </c>
      <c r="P50" s="22">
        <f t="shared" si="12"/>
        <v>56.522823145999453</v>
      </c>
      <c r="Q50" s="22"/>
      <c r="R50" s="22"/>
      <c r="S50" s="22">
        <f t="shared" si="19"/>
        <v>322.32046939015356</v>
      </c>
      <c r="T50" s="22">
        <f t="shared" si="20"/>
        <v>1358.1703599772907</v>
      </c>
    </row>
    <row r="51" spans="1:20" x14ac:dyDescent="0.2">
      <c r="A51" s="5">
        <v>60</v>
      </c>
      <c r="B51" s="1">
        <f t="shared" si="13"/>
        <v>2.6195744764780171</v>
      </c>
      <c r="C51" s="5">
        <f t="shared" si="14"/>
        <v>52675.805803541341</v>
      </c>
      <c r="D51" s="5">
        <f t="shared" si="15"/>
        <v>50636.636484346564</v>
      </c>
      <c r="E51" s="5">
        <f t="shared" si="1"/>
        <v>41136.636484346564</v>
      </c>
      <c r="F51" s="5">
        <f t="shared" si="2"/>
        <v>14396.525460573808</v>
      </c>
      <c r="G51" s="5">
        <f t="shared" si="3"/>
        <v>36240.111023772755</v>
      </c>
      <c r="H51" s="22">
        <f t="shared" si="16"/>
        <v>23843.372483632284</v>
      </c>
      <c r="I51" s="5">
        <f t="shared" si="17"/>
        <v>58772.098020805264</v>
      </c>
      <c r="J51" s="26">
        <f t="shared" si="5"/>
        <v>0.18722733685265702</v>
      </c>
      <c r="L51" s="22">
        <f t="shared" si="18"/>
        <v>68235.651141001974</v>
      </c>
      <c r="M51" s="5">
        <f>scrimecost*Meta!O48</f>
        <v>46.717000000000006</v>
      </c>
      <c r="N51" s="5">
        <f>L51-Grade14!L51</f>
        <v>763.22316640381177</v>
      </c>
      <c r="O51" s="5">
        <f>Grade14!M51-M51</f>
        <v>0.41099999999999426</v>
      </c>
      <c r="P51" s="22">
        <f t="shared" si="12"/>
        <v>57.98873772461036</v>
      </c>
      <c r="Q51" s="22"/>
      <c r="R51" s="22"/>
      <c r="S51" s="22">
        <f t="shared" si="19"/>
        <v>330.13307963688248</v>
      </c>
      <c r="T51" s="22">
        <f t="shared" si="20"/>
        <v>1443.3527731818099</v>
      </c>
    </row>
    <row r="52" spans="1:20" x14ac:dyDescent="0.2">
      <c r="A52" s="5">
        <v>61</v>
      </c>
      <c r="B52" s="1">
        <f t="shared" si="13"/>
        <v>2.6850638383899672</v>
      </c>
      <c r="C52" s="5">
        <f t="shared" si="14"/>
        <v>53992.700948629863</v>
      </c>
      <c r="D52" s="5">
        <f t="shared" si="15"/>
        <v>51881.102396455215</v>
      </c>
      <c r="E52" s="5">
        <f t="shared" si="1"/>
        <v>42381.102396455215</v>
      </c>
      <c r="F52" s="5">
        <f t="shared" si="2"/>
        <v>14927.290172088149</v>
      </c>
      <c r="G52" s="5">
        <f t="shared" si="3"/>
        <v>36953.812224367066</v>
      </c>
      <c r="H52" s="22">
        <f t="shared" si="16"/>
        <v>24439.45679572309</v>
      </c>
      <c r="I52" s="5">
        <f t="shared" si="17"/>
        <v>60049.098896325384</v>
      </c>
      <c r="J52" s="26">
        <f t="shared" si="5"/>
        <v>0.18982185593782622</v>
      </c>
      <c r="L52" s="22">
        <f t="shared" si="18"/>
        <v>69941.542419527017</v>
      </c>
      <c r="M52" s="5">
        <f>scrimecost*Meta!O49</f>
        <v>46.717000000000006</v>
      </c>
      <c r="N52" s="5">
        <f>L52-Grade14!L52</f>
        <v>782.3037455638987</v>
      </c>
      <c r="O52" s="5">
        <f>Grade14!M52-M52</f>
        <v>0.41099999999999426</v>
      </c>
      <c r="P52" s="22">
        <f t="shared" si="12"/>
        <v>59.491300167686511</v>
      </c>
      <c r="Q52" s="22"/>
      <c r="R52" s="22"/>
      <c r="S52" s="22">
        <f t="shared" si="19"/>
        <v>338.41399133977598</v>
      </c>
      <c r="T52" s="22">
        <f t="shared" si="20"/>
        <v>1535.1430264295675</v>
      </c>
    </row>
    <row r="53" spans="1:20" x14ac:dyDescent="0.2">
      <c r="A53" s="5">
        <v>62</v>
      </c>
      <c r="B53" s="1">
        <f t="shared" si="13"/>
        <v>2.7521904343497163</v>
      </c>
      <c r="C53" s="5">
        <f t="shared" si="14"/>
        <v>55342.518472345611</v>
      </c>
      <c r="D53" s="5">
        <f t="shared" si="15"/>
        <v>53156.679956366599</v>
      </c>
      <c r="E53" s="5">
        <f t="shared" si="1"/>
        <v>43656.679956366599</v>
      </c>
      <c r="F53" s="5">
        <f t="shared" si="2"/>
        <v>15471.324001390356</v>
      </c>
      <c r="G53" s="5">
        <f t="shared" si="3"/>
        <v>37685.355954976243</v>
      </c>
      <c r="H53" s="22">
        <f t="shared" si="16"/>
        <v>25050.443215616164</v>
      </c>
      <c r="I53" s="5">
        <f t="shared" si="17"/>
        <v>61358.024793733515</v>
      </c>
      <c r="J53" s="26">
        <f t="shared" si="5"/>
        <v>0.19235309406969875</v>
      </c>
      <c r="L53" s="22">
        <f t="shared" si="18"/>
        <v>71690.080980015191</v>
      </c>
      <c r="M53" s="5">
        <f>scrimecost*Meta!O50</f>
        <v>46.717000000000006</v>
      </c>
      <c r="N53" s="5">
        <f>L53-Grade14!L53</f>
        <v>801.86133920300927</v>
      </c>
      <c r="O53" s="5">
        <f>Grade14!M53-M53</f>
        <v>0.41099999999999426</v>
      </c>
      <c r="P53" s="22">
        <f t="shared" si="12"/>
        <v>61.031426671839597</v>
      </c>
      <c r="Q53" s="22"/>
      <c r="R53" s="22"/>
      <c r="S53" s="22">
        <f t="shared" si="19"/>
        <v>346.9019258352501</v>
      </c>
      <c r="T53" s="22">
        <f t="shared" si="20"/>
        <v>1632.7674390101245</v>
      </c>
    </row>
    <row r="54" spans="1:20" x14ac:dyDescent="0.2">
      <c r="A54" s="5">
        <v>63</v>
      </c>
      <c r="B54" s="1">
        <f t="shared" si="13"/>
        <v>2.8209951952084591</v>
      </c>
      <c r="C54" s="5">
        <f t="shared" si="14"/>
        <v>56726.081434154243</v>
      </c>
      <c r="D54" s="5">
        <f t="shared" si="15"/>
        <v>54464.146955275755</v>
      </c>
      <c r="E54" s="5">
        <f t="shared" si="1"/>
        <v>44964.146955275755</v>
      </c>
      <c r="F54" s="5">
        <f t="shared" si="2"/>
        <v>16028.958676425111</v>
      </c>
      <c r="G54" s="5">
        <f t="shared" si="3"/>
        <v>38435.188278850648</v>
      </c>
      <c r="H54" s="22">
        <f t="shared" si="16"/>
        <v>25676.70429600657</v>
      </c>
      <c r="I54" s="5">
        <f t="shared" si="17"/>
        <v>62699.673838576855</v>
      </c>
      <c r="J54" s="26">
        <f t="shared" si="5"/>
        <v>0.19482259468615962</v>
      </c>
      <c r="L54" s="22">
        <f t="shared" si="18"/>
        <v>73482.33300451556</v>
      </c>
      <c r="M54" s="5">
        <f>scrimecost*Meta!O51</f>
        <v>46.717000000000006</v>
      </c>
      <c r="N54" s="5">
        <f>L54-Grade14!L54</f>
        <v>821.90787268307758</v>
      </c>
      <c r="O54" s="5">
        <f>Grade14!M54-M54</f>
        <v>0.41099999999999426</v>
      </c>
      <c r="P54" s="22">
        <f t="shared" si="12"/>
        <v>62.6100563385965</v>
      </c>
      <c r="Q54" s="22"/>
      <c r="R54" s="22"/>
      <c r="S54" s="22">
        <f t="shared" si="19"/>
        <v>355.6020586931034</v>
      </c>
      <c r="T54" s="22">
        <f t="shared" si="20"/>
        <v>1736.5967060527541</v>
      </c>
    </row>
    <row r="55" spans="1:20" x14ac:dyDescent="0.2">
      <c r="A55" s="5">
        <v>64</v>
      </c>
      <c r="B55" s="1">
        <f t="shared" si="13"/>
        <v>2.8915200750886707</v>
      </c>
      <c r="C55" s="5">
        <f t="shared" si="14"/>
        <v>58144.233470008112</v>
      </c>
      <c r="D55" s="5">
        <f t="shared" si="15"/>
        <v>55804.30062915766</v>
      </c>
      <c r="E55" s="5">
        <f t="shared" si="1"/>
        <v>46304.30062915766</v>
      </c>
      <c r="F55" s="5">
        <f t="shared" si="2"/>
        <v>16600.534218335742</v>
      </c>
      <c r="G55" s="5">
        <f t="shared" si="3"/>
        <v>39203.766410821918</v>
      </c>
      <c r="H55" s="22">
        <f t="shared" si="16"/>
        <v>26318.621903406733</v>
      </c>
      <c r="I55" s="5">
        <f t="shared" si="17"/>
        <v>64074.864109541275</v>
      </c>
      <c r="J55" s="26">
        <f t="shared" si="5"/>
        <v>0.1972318635802679</v>
      </c>
      <c r="L55" s="22">
        <f t="shared" si="18"/>
        <v>75319.391329628459</v>
      </c>
      <c r="M55" s="5">
        <f>scrimecost*Meta!O52</f>
        <v>46.717000000000006</v>
      </c>
      <c r="N55" s="5">
        <f>L55-Grade14!L55</f>
        <v>842.4555695001618</v>
      </c>
      <c r="O55" s="5">
        <f>Grade14!M55-M55</f>
        <v>0.41099999999999426</v>
      </c>
      <c r="P55" s="22">
        <f t="shared" si="12"/>
        <v>64.228151747022338</v>
      </c>
      <c r="Q55" s="22"/>
      <c r="R55" s="22"/>
      <c r="S55" s="22">
        <f t="shared" si="19"/>
        <v>364.51969487240842</v>
      </c>
      <c r="T55" s="22">
        <f t="shared" si="20"/>
        <v>1847.025071601407</v>
      </c>
    </row>
    <row r="56" spans="1:20" x14ac:dyDescent="0.2">
      <c r="A56" s="5">
        <v>65</v>
      </c>
      <c r="B56" s="1">
        <f t="shared" si="13"/>
        <v>2.9638080769658868</v>
      </c>
      <c r="C56" s="5">
        <f t="shared" si="14"/>
        <v>59597.839306758302</v>
      </c>
      <c r="D56" s="5">
        <f t="shared" si="15"/>
        <v>57177.958144886594</v>
      </c>
      <c r="E56" s="5">
        <f t="shared" si="1"/>
        <v>47677.958144886594</v>
      </c>
      <c r="F56" s="5">
        <f t="shared" si="2"/>
        <v>17186.399148794131</v>
      </c>
      <c r="G56" s="5">
        <f t="shared" si="3"/>
        <v>39991.558996092463</v>
      </c>
      <c r="H56" s="22">
        <f t="shared" si="16"/>
        <v>26976.587450991894</v>
      </c>
      <c r="I56" s="5">
        <f t="shared" si="17"/>
        <v>65484.434137279801</v>
      </c>
      <c r="J56" s="26">
        <f t="shared" si="5"/>
        <v>0.19958236981842226</v>
      </c>
      <c r="L56" s="22">
        <f t="shared" si="18"/>
        <v>77202.376112869155</v>
      </c>
      <c r="M56" s="5">
        <f>scrimecost*Meta!O53</f>
        <v>12.958</v>
      </c>
      <c r="N56" s="5">
        <f>L56-Grade14!L56</f>
        <v>863.51695873765857</v>
      </c>
      <c r="O56" s="5">
        <f>Grade14!M56-M56</f>
        <v>0.11399999999999899</v>
      </c>
      <c r="P56" s="22">
        <f t="shared" si="12"/>
        <v>65.886699540658796</v>
      </c>
      <c r="Q56" s="22"/>
      <c r="R56" s="22"/>
      <c r="S56" s="22">
        <f t="shared" si="19"/>
        <v>373.46781595619052</v>
      </c>
      <c r="T56" s="22">
        <f t="shared" si="20"/>
        <v>1963.460011235363</v>
      </c>
    </row>
    <row r="57" spans="1:20" x14ac:dyDescent="0.2">
      <c r="A57" s="5">
        <v>66</v>
      </c>
      <c r="C57" s="5"/>
      <c r="H57" s="21"/>
      <c r="I57" s="5"/>
      <c r="M57" s="5">
        <f>scrimecost*Meta!O54</f>
        <v>12.958</v>
      </c>
      <c r="N57" s="5">
        <f>L57-Grade14!L57</f>
        <v>0</v>
      </c>
      <c r="O57" s="5">
        <f>Grade14!M57-M57</f>
        <v>0.11399999999999899</v>
      </c>
      <c r="Q57" s="22"/>
      <c r="R57" s="22"/>
      <c r="S57" s="22">
        <f t="shared" si="19"/>
        <v>7.3871999999999355E-2</v>
      </c>
      <c r="T57" s="22">
        <f t="shared" si="20"/>
        <v>0.40296360405440923</v>
      </c>
    </row>
    <row r="58" spans="1:20" x14ac:dyDescent="0.2">
      <c r="A58" s="5">
        <v>67</v>
      </c>
      <c r="C58" s="5"/>
      <c r="H58" s="21"/>
      <c r="I58" s="5"/>
      <c r="M58" s="5">
        <f>scrimecost*Meta!O55</f>
        <v>12.958</v>
      </c>
      <c r="N58" s="5">
        <f>L58-Grade14!L58</f>
        <v>0</v>
      </c>
      <c r="O58" s="5">
        <f>Grade14!M58-M58</f>
        <v>0.11399999999999899</v>
      </c>
      <c r="Q58" s="22"/>
      <c r="R58" s="22"/>
      <c r="S58" s="22">
        <f t="shared" si="19"/>
        <v>7.3871999999999355E-2</v>
      </c>
      <c r="T58" s="22">
        <f t="shared" si="20"/>
        <v>0.41810263859129132</v>
      </c>
    </row>
    <row r="59" spans="1:20" x14ac:dyDescent="0.2">
      <c r="A59" s="5">
        <v>68</v>
      </c>
      <c r="H59" s="21"/>
      <c r="I59" s="5"/>
      <c r="M59" s="5">
        <f>scrimecost*Meta!O56</f>
        <v>12.958</v>
      </c>
      <c r="N59" s="5">
        <f>L59-Grade14!L59</f>
        <v>0</v>
      </c>
      <c r="O59" s="5">
        <f>Grade14!M59-M59</f>
        <v>0.11399999999999899</v>
      </c>
      <c r="Q59" s="22"/>
      <c r="R59" s="22"/>
      <c r="S59" s="22">
        <f t="shared" si="19"/>
        <v>7.3871999999999355E-2</v>
      </c>
      <c r="T59" s="22">
        <f t="shared" si="20"/>
        <v>0.43381043508186579</v>
      </c>
    </row>
    <row r="60" spans="1:20" x14ac:dyDescent="0.2">
      <c r="A60" s="5">
        <v>69</v>
      </c>
      <c r="H60" s="21"/>
      <c r="I60" s="5"/>
      <c r="M60" s="5">
        <f>scrimecost*Meta!O57</f>
        <v>12.958</v>
      </c>
      <c r="N60" s="5">
        <f>L60-Grade14!L60</f>
        <v>0</v>
      </c>
      <c r="O60" s="5">
        <f>Grade14!M60-M60</f>
        <v>0.11399999999999899</v>
      </c>
      <c r="Q60" s="22"/>
      <c r="R60" s="22"/>
      <c r="S60" s="22">
        <f t="shared" si="19"/>
        <v>7.3871999999999355E-2</v>
      </c>
      <c r="T60" s="22">
        <f t="shared" si="20"/>
        <v>0.45010836147791178</v>
      </c>
    </row>
    <row r="61" spans="1:20" x14ac:dyDescent="0.2">
      <c r="A61" s="5">
        <v>70</v>
      </c>
      <c r="H61" s="21"/>
      <c r="I61" s="5"/>
      <c r="M61" s="5">
        <f>scrimecost*Meta!O58</f>
        <v>12.958</v>
      </c>
      <c r="N61" s="5">
        <f>L61-Grade14!L61</f>
        <v>0</v>
      </c>
      <c r="O61" s="5">
        <f>Grade14!M61-M61</f>
        <v>0.11399999999999899</v>
      </c>
      <c r="Q61" s="22"/>
      <c r="R61" s="22"/>
      <c r="S61" s="22">
        <f t="shared" si="19"/>
        <v>7.3871999999999355E-2</v>
      </c>
      <c r="T61" s="22">
        <f t="shared" si="20"/>
        <v>0.46701858850882122</v>
      </c>
    </row>
    <row r="62" spans="1:20" x14ac:dyDescent="0.2">
      <c r="A62" s="5">
        <v>71</v>
      </c>
      <c r="H62" s="21"/>
      <c r="I62" s="5"/>
      <c r="M62" s="5">
        <f>scrimecost*Meta!O59</f>
        <v>12.958</v>
      </c>
      <c r="N62" s="5">
        <f>L62-Grade14!L62</f>
        <v>0</v>
      </c>
      <c r="O62" s="5">
        <f>Grade14!M62-M62</f>
        <v>0.11399999999999899</v>
      </c>
      <c r="Q62" s="22"/>
      <c r="R62" s="22"/>
      <c r="S62" s="22">
        <f t="shared" si="19"/>
        <v>7.3871999999999355E-2</v>
      </c>
      <c r="T62" s="22">
        <f t="shared" si="20"/>
        <v>0.48456411984133907</v>
      </c>
    </row>
    <row r="63" spans="1:20" x14ac:dyDescent="0.2">
      <c r="A63" s="5">
        <v>72</v>
      </c>
      <c r="H63" s="21"/>
      <c r="M63" s="5">
        <f>scrimecost*Meta!O60</f>
        <v>12.958</v>
      </c>
      <c r="N63" s="5">
        <f>L63-Grade14!L63</f>
        <v>0</v>
      </c>
      <c r="O63" s="5">
        <f>Grade14!M63-M63</f>
        <v>0.11399999999999899</v>
      </c>
      <c r="Q63" s="22"/>
      <c r="R63" s="22"/>
      <c r="S63" s="22">
        <f t="shared" si="19"/>
        <v>7.3871999999999355E-2</v>
      </c>
      <c r="T63" s="22">
        <f t="shared" si="20"/>
        <v>0.50276882337238404</v>
      </c>
    </row>
    <row r="64" spans="1:20" x14ac:dyDescent="0.2">
      <c r="A64" s="5">
        <v>73</v>
      </c>
      <c r="H64" s="21"/>
      <c r="M64" s="5">
        <f>scrimecost*Meta!O61</f>
        <v>12.958</v>
      </c>
      <c r="N64" s="5">
        <f>L64-Grade14!L64</f>
        <v>0</v>
      </c>
      <c r="O64" s="5">
        <f>Grade14!M64-M64</f>
        <v>0.11399999999999899</v>
      </c>
      <c r="Q64" s="22"/>
      <c r="R64" s="22"/>
      <c r="S64" s="22">
        <f t="shared" si="19"/>
        <v>7.3871999999999355E-2</v>
      </c>
      <c r="T64" s="22">
        <f t="shared" si="20"/>
        <v>0.52165746369751476</v>
      </c>
    </row>
    <row r="65" spans="1:20" x14ac:dyDescent="0.2">
      <c r="A65" s="5">
        <v>74</v>
      </c>
      <c r="H65" s="21"/>
      <c r="M65" s="5">
        <f>scrimecost*Meta!O62</f>
        <v>12.958</v>
      </c>
      <c r="N65" s="5">
        <f>L65-Grade14!L65</f>
        <v>0</v>
      </c>
      <c r="O65" s="5">
        <f>Grade14!M65-M65</f>
        <v>0.11399999999999899</v>
      </c>
      <c r="Q65" s="22"/>
      <c r="R65" s="22"/>
      <c r="S65" s="22">
        <f t="shared" si="19"/>
        <v>7.3871999999999355E-2</v>
      </c>
      <c r="T65" s="22">
        <f t="shared" si="20"/>
        <v>0.54125573579921216</v>
      </c>
    </row>
    <row r="66" spans="1:20" x14ac:dyDescent="0.2">
      <c r="A66" s="5">
        <v>75</v>
      </c>
      <c r="H66" s="21"/>
      <c r="M66" s="5">
        <f>scrimecost*Meta!O63</f>
        <v>12.958</v>
      </c>
      <c r="N66" s="5">
        <f>L66-Grade14!L66</f>
        <v>0</v>
      </c>
      <c r="O66" s="5">
        <f>Grade14!M66-M66</f>
        <v>0.11399999999999899</v>
      </c>
      <c r="Q66" s="22"/>
      <c r="R66" s="22"/>
      <c r="S66" s="22">
        <f t="shared" si="19"/>
        <v>7.3871999999999355E-2</v>
      </c>
      <c r="T66" s="22">
        <f t="shared" si="20"/>
        <v>0.56159030000080545</v>
      </c>
    </row>
    <row r="67" spans="1:20" x14ac:dyDescent="0.2">
      <c r="A67" s="5">
        <v>76</v>
      </c>
      <c r="H67" s="21"/>
      <c r="M67" s="5">
        <f>scrimecost*Meta!O64</f>
        <v>12.958</v>
      </c>
      <c r="N67" s="5">
        <f>L67-Grade14!L67</f>
        <v>0</v>
      </c>
      <c r="O67" s="5">
        <f>Grade14!M67-M67</f>
        <v>0.11399999999999899</v>
      </c>
      <c r="Q67" s="22"/>
      <c r="R67" s="22"/>
      <c r="S67" s="22">
        <f t="shared" si="19"/>
        <v>7.3871999999999355E-2</v>
      </c>
      <c r="T67" s="22">
        <f t="shared" si="20"/>
        <v>0.58268881823358909</v>
      </c>
    </row>
    <row r="68" spans="1:20" x14ac:dyDescent="0.2">
      <c r="A68" s="5">
        <v>77</v>
      </c>
      <c r="H68" s="21"/>
      <c r="M68" s="5">
        <f>scrimecost*Meta!O65</f>
        <v>12.958</v>
      </c>
      <c r="N68" s="5">
        <f>L68-Grade14!L68</f>
        <v>0</v>
      </c>
      <c r="O68" s="5">
        <f>Grade14!M68-M68</f>
        <v>0.11399999999999899</v>
      </c>
      <c r="Q68" s="22"/>
      <c r="R68" s="22"/>
      <c r="S68" s="22">
        <f t="shared" si="19"/>
        <v>7.3871999999999355E-2</v>
      </c>
      <c r="T68" s="22">
        <f t="shared" si="20"/>
        <v>0.6045799916664687</v>
      </c>
    </row>
    <row r="69" spans="1:20" x14ac:dyDescent="0.2">
      <c r="A69" s="5">
        <v>78</v>
      </c>
      <c r="H69" s="21"/>
      <c r="M69" s="5">
        <f>scrimecost*Meta!O66</f>
        <v>12.958</v>
      </c>
      <c r="N69" s="5">
        <f>L69-Grade14!L69</f>
        <v>0</v>
      </c>
      <c r="O69" s="5">
        <f>Grade14!M69-M69</f>
        <v>0.11399999999999899</v>
      </c>
      <c r="Q69" s="22"/>
      <c r="R69" s="22"/>
      <c r="S69" s="22">
        <f t="shared" si="19"/>
        <v>7.3871999999999355E-2</v>
      </c>
      <c r="T69" s="22">
        <f t="shared" si="20"/>
        <v>0.62729359974932353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2.2111078523678884E-9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S12" sqref="S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Meta!A10+6</f>
        <v>22</v>
      </c>
      <c r="C2" s="7">
        <f>Meta!B10</f>
        <v>46540</v>
      </c>
      <c r="D2" s="7">
        <f>Meta!C10</f>
        <v>20447</v>
      </c>
      <c r="E2" s="1">
        <f>Meta!D10</f>
        <v>4.4999999999999998E-2</v>
      </c>
      <c r="F2" s="1">
        <f>Meta!F10</f>
        <v>0.64700000000000002</v>
      </c>
      <c r="G2" s="1">
        <f>Meta!I10</f>
        <v>1.7852800699689915</v>
      </c>
      <c r="H2" s="1">
        <f>Meta!E10</f>
        <v>0.64800000000000002</v>
      </c>
      <c r="I2" s="13"/>
      <c r="J2" s="1">
        <f>Meta!X9</f>
        <v>0.59099999999999997</v>
      </c>
      <c r="K2" s="1">
        <f>Meta!D9</f>
        <v>5.5E-2</v>
      </c>
      <c r="L2" s="29"/>
      <c r="N2" s="22">
        <f>Meta!T10</f>
        <v>35107</v>
      </c>
      <c r="O2" s="22">
        <f>Meta!U10</f>
        <v>15957</v>
      </c>
      <c r="P2" s="1">
        <f>Meta!V10</f>
        <v>5.6000000000000001E-2</v>
      </c>
      <c r="Q2" s="1">
        <f>Meta!X10</f>
        <v>0.59399999999999997</v>
      </c>
      <c r="R2" s="22">
        <f>Meta!W10</f>
        <v>338</v>
      </c>
      <c r="T2" s="12">
        <f>IRR(S5:S69)+1</f>
        <v>0.96241753791436579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6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B12" s="1">
        <v>1</v>
      </c>
      <c r="C12" s="5">
        <f>0.1*Grade15!C12</f>
        <v>2010.8535289427336</v>
      </c>
      <c r="D12" s="5">
        <f t="shared" ref="D12:D36" si="0">IF(A12&lt;startage,1,0)*(C12*(1-initialunempprob))+IF(A12=startage,1,0)*(C12*(1-unempprob))+IF(A12&gt;startage,1,0)*(C12*(1-unempprob)+unempprob*300*52)</f>
        <v>1900.2565848508832</v>
      </c>
      <c r="E12" s="5">
        <f t="shared" ref="E12:E56" si="1">IF(D12-9500&gt;0,1,0)*(D12-9500)</f>
        <v>0</v>
      </c>
      <c r="F12" s="5">
        <f t="shared" ref="F12:F56" si="2">IF(E12&lt;=8500,1,0)*(0.1*E12+0.1*E12+0.0765*D12)+IF(AND(E12&gt;8500,E12&lt;=34500),1,0)*(850+0.15*(E12-8500)+0.1*E12+0.0765*D12)+IF(AND(E12&gt;34500,E12&lt;=83600),1,0)*(4750+0.25*(E12-34500)+0.1*E12+0.0765*D12)+IF(AND(E12&gt;83600,E12&lt;=174400,D12&lt;=106800),1,0)*(17025+0.28*(E12-83600)+0.1*E12+0.0765*D12)+IF(AND(E12&gt;83600,E12&lt;=174400,D12&gt;106800),1,0)*(17025+0.28*(E12-83600)+0.1*E12+8170.2+0.0145*(D12-106800))+IF(AND(E12&gt;174400,E12&lt;=379150),1,0)*(42449+0.33*(E12-174400)+0.1*E12+8170.2+0.0145*(D12-106800))+IF(E12&gt;379150,1,0)*(110016.5+0.35*(E12-379150)+0.1*E12+8170.2+0.0145*(D12-106800))</f>
        <v>145.36962874109255</v>
      </c>
      <c r="G12" s="5">
        <f t="shared" ref="G12:G56" si="3">D12-F12</f>
        <v>1754.8869561097906</v>
      </c>
      <c r="H12" s="22">
        <f>0.1*Grade15!H12</f>
        <v>910.20021372667293</v>
      </c>
      <c r="I12" s="5">
        <f t="shared" ref="I12:I36" si="4">G12+IF(A12&lt;startage,1,0)*(H12*(1-initialunempprob))+IF(A12&gt;=startage,1,0)*(H12*(1-unempprob))</f>
        <v>2615.0261580814968</v>
      </c>
      <c r="J12" s="26">
        <f t="shared" ref="J12:J56" si="5">(F12-(IF(A12&gt;startage,1,0)*(unempprob*300*52)))/(IF(A12&lt;startage,1,0)*((C12+H12)*(1-initialunempprob))+IF(A12&gt;=startage,1,0)*((C12+H12)*(1-unempprob)))</f>
        <v>5.2662603469781154E-2</v>
      </c>
      <c r="L12" s="22">
        <f>0.1*Grade15!L12</f>
        <v>2604.8372265690996</v>
      </c>
      <c r="M12" s="5">
        <f>scrimecost*Meta!O9</f>
        <v>1053.546</v>
      </c>
      <c r="N12" s="5">
        <f>L12-Grade15!L12</f>
        <v>-23443.535039121893</v>
      </c>
      <c r="O12" s="5"/>
      <c r="P12" s="22"/>
      <c r="Q12" s="22">
        <f>0.05*feel*Grade15!G12</f>
        <v>218.3751933855898</v>
      </c>
      <c r="R12" s="22">
        <f>coltuition</f>
        <v>8279</v>
      </c>
      <c r="S12" s="22">
        <f t="shared" ref="S12:S43" si="6">IF(A12&lt;startage,1,0)*(N12-Q12-R12)+IF(A12&gt;=startage,1,0)*completionprob*(N12*spart+O12+P12)</f>
        <v>-31940.910232507482</v>
      </c>
      <c r="T12" s="22">
        <f t="shared" ref="T12:T43" si="7">S12/sreturn^(A12-startage+1)</f>
        <v>-31940.910232507482</v>
      </c>
    </row>
    <row r="13" spans="1:20" x14ac:dyDescent="0.2">
      <c r="A13" s="5">
        <v>22</v>
      </c>
      <c r="B13" s="1">
        <f t="shared" ref="B13:B36" si="8">(1+experiencepremium)^(A13-startage)</f>
        <v>1</v>
      </c>
      <c r="C13" s="5">
        <f t="shared" ref="C13:C36" si="9">pretaxincome*B13/expnorm</f>
        <v>26068.738895857587</v>
      </c>
      <c r="D13" s="5">
        <f t="shared" si="0"/>
        <v>24895.645645543995</v>
      </c>
      <c r="E13" s="5">
        <f t="shared" si="1"/>
        <v>15395.645645543995</v>
      </c>
      <c r="F13" s="5">
        <f t="shared" si="2"/>
        <v>5328.4283032701142</v>
      </c>
      <c r="G13" s="5">
        <f t="shared" si="3"/>
        <v>19567.217342273882</v>
      </c>
      <c r="H13" s="22">
        <f t="shared" ref="H13:H36" si="10">benefits*B13/expnorm</f>
        <v>11453.104946360121</v>
      </c>
      <c r="I13" s="5">
        <f t="shared" si="4"/>
        <v>30504.932566047799</v>
      </c>
      <c r="J13" s="26">
        <f t="shared" si="5"/>
        <v>0.1487002104743278</v>
      </c>
      <c r="L13" s="22">
        <f t="shared" ref="L13:L36" si="11">(sincome+sbenefits)*(1-sunemp)*B13/expnorm</f>
        <v>27001.038554604635</v>
      </c>
      <c r="M13" s="5">
        <f>scrimecost*Meta!O10</f>
        <v>970.39800000000002</v>
      </c>
      <c r="N13" s="5">
        <f>L13-Grade15!L13</f>
        <v>301.45698227137109</v>
      </c>
      <c r="O13" s="5">
        <f>Grade15!M13-M13</f>
        <v>8.6129999999999427</v>
      </c>
      <c r="P13" s="22">
        <f t="shared" ref="P13:P56" si="12">(spart-initialspart)*(L13*J13+nptrans)</f>
        <v>31.707180348285473</v>
      </c>
      <c r="Q13" s="22"/>
      <c r="R13" s="22"/>
      <c r="S13" s="22">
        <f t="shared" si="6"/>
        <v>142.16188682572695</v>
      </c>
      <c r="T13" s="22">
        <f t="shared" si="7"/>
        <v>147.71331695991628</v>
      </c>
    </row>
    <row r="14" spans="1:20" x14ac:dyDescent="0.2">
      <c r="A14" s="5">
        <v>23</v>
      </c>
      <c r="B14" s="1">
        <f t="shared" si="8"/>
        <v>1.0249999999999999</v>
      </c>
      <c r="C14" s="5">
        <f t="shared" si="9"/>
        <v>26720.457368254021</v>
      </c>
      <c r="D14" s="5">
        <f t="shared" si="0"/>
        <v>26220.036786682591</v>
      </c>
      <c r="E14" s="5">
        <f t="shared" si="1"/>
        <v>16720.036786682591</v>
      </c>
      <c r="F14" s="5">
        <f t="shared" si="2"/>
        <v>5760.8420108518658</v>
      </c>
      <c r="G14" s="5">
        <f t="shared" si="3"/>
        <v>20459.194775830725</v>
      </c>
      <c r="H14" s="22">
        <f t="shared" si="10"/>
        <v>11739.432570019124</v>
      </c>
      <c r="I14" s="5">
        <f t="shared" si="4"/>
        <v>31670.352880198989</v>
      </c>
      <c r="J14" s="26">
        <f t="shared" si="5"/>
        <v>0.13773353937808377</v>
      </c>
      <c r="L14" s="22">
        <f t="shared" si="11"/>
        <v>27676.06451846975</v>
      </c>
      <c r="M14" s="5">
        <f>scrimecost*Meta!O11</f>
        <v>908.2059999999999</v>
      </c>
      <c r="N14" s="5">
        <f>L14-Grade15!L14</f>
        <v>308.99340682815455</v>
      </c>
      <c r="O14" s="5">
        <f>Grade15!M14-M14</f>
        <v>8.0610000000000355</v>
      </c>
      <c r="P14" s="22">
        <f t="shared" si="12"/>
        <v>31.097766966555149</v>
      </c>
      <c r="Q14" s="22"/>
      <c r="R14" s="22"/>
      <c r="S14" s="22">
        <f t="shared" si="6"/>
        <v>144.31015120336639</v>
      </c>
      <c r="T14" s="22">
        <f t="shared" si="7"/>
        <v>155.80085075568394</v>
      </c>
    </row>
    <row r="15" spans="1:20" x14ac:dyDescent="0.2">
      <c r="A15" s="5">
        <v>24</v>
      </c>
      <c r="B15" s="1">
        <f t="shared" si="8"/>
        <v>1.0506249999999999</v>
      </c>
      <c r="C15" s="5">
        <f t="shared" si="9"/>
        <v>27388.468802460371</v>
      </c>
      <c r="D15" s="5">
        <f t="shared" si="0"/>
        <v>26857.987706349653</v>
      </c>
      <c r="E15" s="5">
        <f t="shared" si="1"/>
        <v>17357.987706349653</v>
      </c>
      <c r="F15" s="5">
        <f t="shared" si="2"/>
        <v>5969.1329861231616</v>
      </c>
      <c r="G15" s="5">
        <f t="shared" si="3"/>
        <v>20888.854720226493</v>
      </c>
      <c r="H15" s="22">
        <f t="shared" si="10"/>
        <v>12032.9183842696</v>
      </c>
      <c r="I15" s="5">
        <f t="shared" si="4"/>
        <v>32380.291777203958</v>
      </c>
      <c r="J15" s="26">
        <f t="shared" si="5"/>
        <v>0.13990686001062014</v>
      </c>
      <c r="L15" s="22">
        <f t="shared" si="11"/>
        <v>28367.966131431494</v>
      </c>
      <c r="M15" s="5">
        <f>scrimecost*Meta!O12</f>
        <v>869.67399999999998</v>
      </c>
      <c r="N15" s="5">
        <f>L15-Grade15!L15</f>
        <v>316.71824199886032</v>
      </c>
      <c r="O15" s="5">
        <f>Grade15!M15-M15</f>
        <v>7.7190000000000509</v>
      </c>
      <c r="P15" s="22">
        <f t="shared" si="12"/>
        <v>31.56861919900863</v>
      </c>
      <c r="Q15" s="22"/>
      <c r="R15" s="22"/>
      <c r="S15" s="22">
        <f t="shared" si="6"/>
        <v>147.36702920522293</v>
      </c>
      <c r="T15" s="22">
        <f t="shared" si="7"/>
        <v>165.31404144289399</v>
      </c>
    </row>
    <row r="16" spans="1:20" x14ac:dyDescent="0.2">
      <c r="A16" s="5">
        <v>25</v>
      </c>
      <c r="B16" s="1">
        <f t="shared" si="8"/>
        <v>1.0768906249999999</v>
      </c>
      <c r="C16" s="5">
        <f t="shared" si="9"/>
        <v>28073.180522521885</v>
      </c>
      <c r="D16" s="5">
        <f t="shared" si="0"/>
        <v>27511.887399008399</v>
      </c>
      <c r="E16" s="5">
        <f t="shared" si="1"/>
        <v>18011.887399008399</v>
      </c>
      <c r="F16" s="5">
        <f t="shared" si="2"/>
        <v>6182.6312357762417</v>
      </c>
      <c r="G16" s="5">
        <f t="shared" si="3"/>
        <v>21329.256163232159</v>
      </c>
      <c r="H16" s="22">
        <f t="shared" si="10"/>
        <v>12333.741343876341</v>
      </c>
      <c r="I16" s="5">
        <f t="shared" si="4"/>
        <v>33107.979146634068</v>
      </c>
      <c r="J16" s="26">
        <f t="shared" si="5"/>
        <v>0.14202717282285077</v>
      </c>
      <c r="L16" s="22">
        <f t="shared" si="11"/>
        <v>29077.165284717277</v>
      </c>
      <c r="M16" s="5">
        <f>scrimecost*Meta!O13</f>
        <v>736.16399999999999</v>
      </c>
      <c r="N16" s="5">
        <f>L16-Grade15!L16</f>
        <v>324.63619804883274</v>
      </c>
      <c r="O16" s="5">
        <f>Grade15!M16-M16</f>
        <v>6.5339999999999918</v>
      </c>
      <c r="P16" s="22">
        <f t="shared" si="12"/>
        <v>32.051242737273441</v>
      </c>
      <c r="Q16" s="22"/>
      <c r="R16" s="22"/>
      <c r="S16" s="22">
        <f t="shared" si="6"/>
        <v>149.95960555712549</v>
      </c>
      <c r="T16" s="22">
        <f t="shared" si="7"/>
        <v>174.79144617218282</v>
      </c>
    </row>
    <row r="17" spans="1:20" x14ac:dyDescent="0.2">
      <c r="A17" s="5">
        <v>26</v>
      </c>
      <c r="B17" s="1">
        <f t="shared" si="8"/>
        <v>1.1038128906249998</v>
      </c>
      <c r="C17" s="5">
        <f t="shared" si="9"/>
        <v>28775.010035584924</v>
      </c>
      <c r="D17" s="5">
        <f t="shared" si="0"/>
        <v>28182.134583983603</v>
      </c>
      <c r="E17" s="5">
        <f t="shared" si="1"/>
        <v>18682.134583983603</v>
      </c>
      <c r="F17" s="5">
        <f t="shared" si="2"/>
        <v>6401.4669416706465</v>
      </c>
      <c r="G17" s="5">
        <f t="shared" si="3"/>
        <v>21780.667642312957</v>
      </c>
      <c r="H17" s="22">
        <f t="shared" si="10"/>
        <v>12642.084877473248</v>
      </c>
      <c r="I17" s="5">
        <f t="shared" si="4"/>
        <v>33853.858700299912</v>
      </c>
      <c r="J17" s="26">
        <f t="shared" si="5"/>
        <v>0.14409577068844162</v>
      </c>
      <c r="L17" s="22">
        <f t="shared" si="11"/>
        <v>29804.094416835207</v>
      </c>
      <c r="M17" s="5">
        <f>scrimecost*Meta!O14</f>
        <v>736.16399999999999</v>
      </c>
      <c r="N17" s="5">
        <f>L17-Grade15!L17</f>
        <v>332.75210300005347</v>
      </c>
      <c r="O17" s="5">
        <f>Grade15!M17-M17</f>
        <v>6.5339999999999918</v>
      </c>
      <c r="P17" s="22">
        <f t="shared" si="12"/>
        <v>32.545931863994873</v>
      </c>
      <c r="Q17" s="22"/>
      <c r="R17" s="22"/>
      <c r="S17" s="22">
        <f t="shared" si="6"/>
        <v>153.40407331782524</v>
      </c>
      <c r="T17" s="22">
        <f t="shared" si="7"/>
        <v>185.78868005166157</v>
      </c>
    </row>
    <row r="18" spans="1:20" x14ac:dyDescent="0.2">
      <c r="A18" s="5">
        <v>27</v>
      </c>
      <c r="B18" s="1">
        <f t="shared" si="8"/>
        <v>1.1314082128906247</v>
      </c>
      <c r="C18" s="5">
        <f t="shared" si="9"/>
        <v>29494.385286474546</v>
      </c>
      <c r="D18" s="5">
        <f t="shared" si="0"/>
        <v>28869.137948583189</v>
      </c>
      <c r="E18" s="5">
        <f t="shared" si="1"/>
        <v>19369.137948583189</v>
      </c>
      <c r="F18" s="5">
        <f t="shared" si="2"/>
        <v>6625.7735402124108</v>
      </c>
      <c r="G18" s="5">
        <f t="shared" si="3"/>
        <v>22243.364408370777</v>
      </c>
      <c r="H18" s="22">
        <f t="shared" si="10"/>
        <v>12958.136999410079</v>
      </c>
      <c r="I18" s="5">
        <f t="shared" si="4"/>
        <v>34618.385242807402</v>
      </c>
      <c r="J18" s="26">
        <f t="shared" si="5"/>
        <v>0.1461139149475546</v>
      </c>
      <c r="L18" s="22">
        <f t="shared" si="11"/>
        <v>30549.196777256086</v>
      </c>
      <c r="M18" s="5">
        <f>scrimecost*Meta!O15</f>
        <v>736.16399999999999</v>
      </c>
      <c r="N18" s="5">
        <f>L18-Grade15!L18</f>
        <v>341.0709055750558</v>
      </c>
      <c r="O18" s="5">
        <f>Grade15!M18-M18</f>
        <v>6.5339999999999918</v>
      </c>
      <c r="P18" s="22">
        <f t="shared" si="12"/>
        <v>33.052988218884337</v>
      </c>
      <c r="Q18" s="22"/>
      <c r="R18" s="22"/>
      <c r="S18" s="22">
        <f t="shared" si="6"/>
        <v>156.93465277254293</v>
      </c>
      <c r="T18" s="22">
        <f t="shared" si="7"/>
        <v>197.48662146562259</v>
      </c>
    </row>
    <row r="19" spans="1:20" x14ac:dyDescent="0.2">
      <c r="A19" s="5">
        <v>28</v>
      </c>
      <c r="B19" s="1">
        <f t="shared" si="8"/>
        <v>1.1596934182128902</v>
      </c>
      <c r="C19" s="5">
        <f t="shared" si="9"/>
        <v>30231.744918636407</v>
      </c>
      <c r="D19" s="5">
        <f t="shared" si="0"/>
        <v>29573.316397297767</v>
      </c>
      <c r="E19" s="5">
        <f t="shared" si="1"/>
        <v>20073.316397297767</v>
      </c>
      <c r="F19" s="5">
        <f t="shared" si="2"/>
        <v>6855.6878037177212</v>
      </c>
      <c r="G19" s="5">
        <f t="shared" si="3"/>
        <v>22717.628593580048</v>
      </c>
      <c r="H19" s="22">
        <f t="shared" si="10"/>
        <v>13282.090424395328</v>
      </c>
      <c r="I19" s="5">
        <f t="shared" si="4"/>
        <v>35402.024948877588</v>
      </c>
      <c r="J19" s="26">
        <f t="shared" si="5"/>
        <v>0.14808283617595758</v>
      </c>
      <c r="L19" s="22">
        <f t="shared" si="11"/>
        <v>31312.926696687482</v>
      </c>
      <c r="M19" s="5">
        <f>scrimecost*Meta!O16</f>
        <v>736.16399999999999</v>
      </c>
      <c r="N19" s="5">
        <f>L19-Grade15!L19</f>
        <v>349.59767821442074</v>
      </c>
      <c r="O19" s="5">
        <f>Grade15!M19-M19</f>
        <v>6.5339999999999918</v>
      </c>
      <c r="P19" s="22">
        <f t="shared" si="12"/>
        <v>33.572720982646047</v>
      </c>
      <c r="Q19" s="22"/>
      <c r="R19" s="22"/>
      <c r="S19" s="22">
        <f t="shared" si="6"/>
        <v>160.55349671362376</v>
      </c>
      <c r="T19" s="22">
        <f t="shared" si="7"/>
        <v>209.9302724405257</v>
      </c>
    </row>
    <row r="20" spans="1:20" x14ac:dyDescent="0.2">
      <c r="A20" s="5">
        <v>29</v>
      </c>
      <c r="B20" s="1">
        <f t="shared" si="8"/>
        <v>1.1886857536682125</v>
      </c>
      <c r="C20" s="5">
        <f t="shared" si="9"/>
        <v>30987.538541602316</v>
      </c>
      <c r="D20" s="5">
        <f t="shared" si="0"/>
        <v>30295.099307230212</v>
      </c>
      <c r="E20" s="5">
        <f t="shared" si="1"/>
        <v>20795.099307230212</v>
      </c>
      <c r="F20" s="5">
        <f t="shared" si="2"/>
        <v>7091.3499238106642</v>
      </c>
      <c r="G20" s="5">
        <f t="shared" si="3"/>
        <v>23203.749383419548</v>
      </c>
      <c r="H20" s="22">
        <f t="shared" si="10"/>
        <v>13614.142685005212</v>
      </c>
      <c r="I20" s="5">
        <f t="shared" si="4"/>
        <v>36205.255647599522</v>
      </c>
      <c r="J20" s="26">
        <f t="shared" si="5"/>
        <v>0.15000373493537508</v>
      </c>
      <c r="L20" s="22">
        <f t="shared" si="11"/>
        <v>32095.749864104673</v>
      </c>
      <c r="M20" s="5">
        <f>scrimecost*Meta!O17</f>
        <v>736.16399999999999</v>
      </c>
      <c r="N20" s="5">
        <f>L20-Grade15!L20</f>
        <v>358.33762016979017</v>
      </c>
      <c r="O20" s="5">
        <f>Grade15!M20-M20</f>
        <v>6.5339999999999918</v>
      </c>
      <c r="P20" s="22">
        <f t="shared" si="12"/>
        <v>34.105447065501806</v>
      </c>
      <c r="Q20" s="22"/>
      <c r="R20" s="22"/>
      <c r="S20" s="22">
        <f t="shared" si="6"/>
        <v>164.26281175323945</v>
      </c>
      <c r="T20" s="22">
        <f t="shared" si="7"/>
        <v>223.16753935688411</v>
      </c>
    </row>
    <row r="21" spans="1:20" x14ac:dyDescent="0.2">
      <c r="A21" s="5">
        <v>30</v>
      </c>
      <c r="B21" s="1">
        <f t="shared" si="8"/>
        <v>1.2184028975099177</v>
      </c>
      <c r="C21" s="5">
        <f t="shared" si="9"/>
        <v>31762.227005142373</v>
      </c>
      <c r="D21" s="5">
        <f t="shared" si="0"/>
        <v>31034.926789910965</v>
      </c>
      <c r="E21" s="5">
        <f t="shared" si="1"/>
        <v>21534.926789910965</v>
      </c>
      <c r="F21" s="5">
        <f t="shared" si="2"/>
        <v>7332.9035969059296</v>
      </c>
      <c r="G21" s="5">
        <f t="shared" si="3"/>
        <v>23702.023193005036</v>
      </c>
      <c r="H21" s="22">
        <f t="shared" si="10"/>
        <v>13954.496252130342</v>
      </c>
      <c r="I21" s="5">
        <f t="shared" si="4"/>
        <v>37028.567113789511</v>
      </c>
      <c r="J21" s="26">
        <f t="shared" si="5"/>
        <v>0.15187778250553846</v>
      </c>
      <c r="L21" s="22">
        <f t="shared" si="11"/>
        <v>32898.143610707288</v>
      </c>
      <c r="M21" s="5">
        <f>scrimecost*Meta!O18</f>
        <v>580.68399999999997</v>
      </c>
      <c r="N21" s="5">
        <f>L21-Grade15!L21</f>
        <v>367.29606067403802</v>
      </c>
      <c r="O21" s="5">
        <f>Grade15!M21-M21</f>
        <v>5.1539999999999964</v>
      </c>
      <c r="P21" s="22">
        <f t="shared" si="12"/>
        <v>34.651491300428944</v>
      </c>
      <c r="Q21" s="22"/>
      <c r="R21" s="22"/>
      <c r="S21" s="22">
        <f t="shared" si="6"/>
        <v>167.17061966884327</v>
      </c>
      <c r="T21" s="22">
        <f t="shared" si="7"/>
        <v>235.98706353372873</v>
      </c>
    </row>
    <row r="22" spans="1:20" x14ac:dyDescent="0.2">
      <c r="A22" s="5">
        <v>31</v>
      </c>
      <c r="B22" s="1">
        <f t="shared" si="8"/>
        <v>1.2488629699476654</v>
      </c>
      <c r="C22" s="5">
        <f t="shared" si="9"/>
        <v>32556.282680270931</v>
      </c>
      <c r="D22" s="5">
        <f t="shared" si="0"/>
        <v>31793.249959658737</v>
      </c>
      <c r="E22" s="5">
        <f t="shared" si="1"/>
        <v>22293.249959658737</v>
      </c>
      <c r="F22" s="5">
        <f t="shared" si="2"/>
        <v>7580.4961118285773</v>
      </c>
      <c r="G22" s="5">
        <f t="shared" si="3"/>
        <v>24212.753847830158</v>
      </c>
      <c r="H22" s="22">
        <f t="shared" si="10"/>
        <v>14303.358658433599</v>
      </c>
      <c r="I22" s="5">
        <f t="shared" si="4"/>
        <v>37872.461366634248</v>
      </c>
      <c r="J22" s="26">
        <f t="shared" si="5"/>
        <v>0.15370612159838082</v>
      </c>
      <c r="L22" s="22">
        <f t="shared" si="11"/>
        <v>33720.59720097496</v>
      </c>
      <c r="M22" s="5">
        <f>scrimecost*Meta!O19</f>
        <v>580.68399999999997</v>
      </c>
      <c r="N22" s="5">
        <f>L22-Grade15!L22</f>
        <v>376.4784621908766</v>
      </c>
      <c r="O22" s="5">
        <f>Grade15!M22-M22</f>
        <v>5.1539999999999964</v>
      </c>
      <c r="P22" s="22">
        <f t="shared" si="12"/>
        <v>35.211186641229261</v>
      </c>
      <c r="Q22" s="22"/>
      <c r="R22" s="22"/>
      <c r="S22" s="22">
        <f t="shared" si="6"/>
        <v>171.06771878233121</v>
      </c>
      <c r="T22" s="22">
        <f t="shared" si="7"/>
        <v>250.91855595904792</v>
      </c>
    </row>
    <row r="23" spans="1:20" x14ac:dyDescent="0.2">
      <c r="A23" s="5">
        <v>32</v>
      </c>
      <c r="B23" s="1">
        <f t="shared" si="8"/>
        <v>1.2800845441963571</v>
      </c>
      <c r="C23" s="5">
        <f t="shared" si="9"/>
        <v>33370.189747277705</v>
      </c>
      <c r="D23" s="5">
        <f t="shared" si="0"/>
        <v>32570.531208650209</v>
      </c>
      <c r="E23" s="5">
        <f t="shared" si="1"/>
        <v>23070.531208650209</v>
      </c>
      <c r="F23" s="5">
        <f t="shared" si="2"/>
        <v>7834.2784396242932</v>
      </c>
      <c r="G23" s="5">
        <f t="shared" si="3"/>
        <v>24736.252769025916</v>
      </c>
      <c r="H23" s="22">
        <f t="shared" si="10"/>
        <v>14660.942624894438</v>
      </c>
      <c r="I23" s="5">
        <f t="shared" si="4"/>
        <v>38737.452975800101</v>
      </c>
      <c r="J23" s="26">
        <f t="shared" si="5"/>
        <v>0.15548986705481246</v>
      </c>
      <c r="L23" s="22">
        <f t="shared" si="11"/>
        <v>34563.61213099934</v>
      </c>
      <c r="M23" s="5">
        <f>scrimecost*Meta!O20</f>
        <v>580.68399999999997</v>
      </c>
      <c r="N23" s="5">
        <f>L23-Grade15!L23</f>
        <v>385.89042374565906</v>
      </c>
      <c r="O23" s="5">
        <f>Grade15!M23-M23</f>
        <v>5.1539999999999964</v>
      </c>
      <c r="P23" s="22">
        <f t="shared" si="12"/>
        <v>35.784874365549605</v>
      </c>
      <c r="Q23" s="22"/>
      <c r="R23" s="22"/>
      <c r="S23" s="22">
        <f t="shared" si="6"/>
        <v>175.06224537366529</v>
      </c>
      <c r="T23" s="22">
        <f t="shared" si="7"/>
        <v>266.80482638120753</v>
      </c>
    </row>
    <row r="24" spans="1:20" x14ac:dyDescent="0.2">
      <c r="A24" s="5">
        <v>33</v>
      </c>
      <c r="B24" s="1">
        <f t="shared" si="8"/>
        <v>1.312086657801266</v>
      </c>
      <c r="C24" s="5">
        <f t="shared" si="9"/>
        <v>34204.44449095965</v>
      </c>
      <c r="D24" s="5">
        <f t="shared" si="0"/>
        <v>33367.244488866461</v>
      </c>
      <c r="E24" s="5">
        <f t="shared" si="1"/>
        <v>23867.244488866461</v>
      </c>
      <c r="F24" s="5">
        <f t="shared" si="2"/>
        <v>8094.4053256149</v>
      </c>
      <c r="G24" s="5">
        <f t="shared" si="3"/>
        <v>25272.839163251563</v>
      </c>
      <c r="H24" s="22">
        <f t="shared" si="10"/>
        <v>15027.4661905168</v>
      </c>
      <c r="I24" s="5">
        <f t="shared" si="4"/>
        <v>39624.069375195104</v>
      </c>
      <c r="J24" s="26">
        <f t="shared" si="5"/>
        <v>0.15723010652450176</v>
      </c>
      <c r="L24" s="22">
        <f t="shared" si="11"/>
        <v>35427.702434274317</v>
      </c>
      <c r="M24" s="5">
        <f>scrimecost*Meta!O21</f>
        <v>580.68399999999997</v>
      </c>
      <c r="N24" s="5">
        <f>L24-Grade15!L24</f>
        <v>395.53768433929508</v>
      </c>
      <c r="O24" s="5">
        <f>Grade15!M24-M24</f>
        <v>5.1539999999999964</v>
      </c>
      <c r="P24" s="22">
        <f t="shared" si="12"/>
        <v>36.372904282977942</v>
      </c>
      <c r="Q24" s="22"/>
      <c r="R24" s="22"/>
      <c r="S24" s="22">
        <f t="shared" si="6"/>
        <v>179.15663512977645</v>
      </c>
      <c r="T24" s="22">
        <f t="shared" si="7"/>
        <v>283.70732936901095</v>
      </c>
    </row>
    <row r="25" spans="1:20" x14ac:dyDescent="0.2">
      <c r="A25" s="5">
        <v>34</v>
      </c>
      <c r="B25" s="1">
        <f t="shared" si="8"/>
        <v>1.3448888242462975</v>
      </c>
      <c r="C25" s="5">
        <f t="shared" si="9"/>
        <v>35059.555603233632</v>
      </c>
      <c r="D25" s="5">
        <f t="shared" si="0"/>
        <v>34183.875601088119</v>
      </c>
      <c r="E25" s="5">
        <f t="shared" si="1"/>
        <v>24683.875601088119</v>
      </c>
      <c r="F25" s="5">
        <f t="shared" si="2"/>
        <v>8361.0353837552702</v>
      </c>
      <c r="G25" s="5">
        <f t="shared" si="3"/>
        <v>25822.84021733285</v>
      </c>
      <c r="H25" s="22">
        <f t="shared" si="10"/>
        <v>15403.152845279719</v>
      </c>
      <c r="I25" s="5">
        <f t="shared" si="4"/>
        <v>40532.851184574982</v>
      </c>
      <c r="J25" s="26">
        <f t="shared" si="5"/>
        <v>0.1589279011290767</v>
      </c>
      <c r="L25" s="22">
        <f t="shared" si="11"/>
        <v>36313.394995131173</v>
      </c>
      <c r="M25" s="5">
        <f>scrimecost*Meta!O22</f>
        <v>580.68399999999997</v>
      </c>
      <c r="N25" s="5">
        <f>L25-Grade15!L25</f>
        <v>405.42612644778274</v>
      </c>
      <c r="O25" s="5">
        <f>Grade15!M25-M25</f>
        <v>5.1539999999999964</v>
      </c>
      <c r="P25" s="22">
        <f t="shared" si="12"/>
        <v>36.975634948341977</v>
      </c>
      <c r="Q25" s="22"/>
      <c r="R25" s="22"/>
      <c r="S25" s="22">
        <f t="shared" si="6"/>
        <v>183.35338462979453</v>
      </c>
      <c r="T25" s="22">
        <f t="shared" si="7"/>
        <v>301.6914910098464</v>
      </c>
    </row>
    <row r="26" spans="1:20" x14ac:dyDescent="0.2">
      <c r="A26" s="5">
        <v>35</v>
      </c>
      <c r="B26" s="1">
        <f t="shared" si="8"/>
        <v>1.3785110448524549</v>
      </c>
      <c r="C26" s="5">
        <f t="shared" si="9"/>
        <v>35936.044493314475</v>
      </c>
      <c r="D26" s="5">
        <f t="shared" si="0"/>
        <v>35020.922491115321</v>
      </c>
      <c r="E26" s="5">
        <f t="shared" si="1"/>
        <v>25520.922491115321</v>
      </c>
      <c r="F26" s="5">
        <f t="shared" si="2"/>
        <v>8634.3311933491532</v>
      </c>
      <c r="G26" s="5">
        <f t="shared" si="3"/>
        <v>26386.591297766168</v>
      </c>
      <c r="H26" s="22">
        <f t="shared" si="10"/>
        <v>15788.231666411712</v>
      </c>
      <c r="I26" s="5">
        <f t="shared" si="4"/>
        <v>41464.352539189349</v>
      </c>
      <c r="J26" s="26">
        <f t="shared" si="5"/>
        <v>0.16058428610914988</v>
      </c>
      <c r="L26" s="22">
        <f t="shared" si="11"/>
        <v>37221.229870009454</v>
      </c>
      <c r="M26" s="5">
        <f>scrimecost*Meta!O23</f>
        <v>462.38400000000001</v>
      </c>
      <c r="N26" s="5">
        <f>L26-Grade15!L26</f>
        <v>415.56177960897912</v>
      </c>
      <c r="O26" s="5">
        <f>Grade15!M26-M26</f>
        <v>4.1040000000000418</v>
      </c>
      <c r="P26" s="22">
        <f t="shared" si="12"/>
        <v>37.593433880340136</v>
      </c>
      <c r="Q26" s="22"/>
      <c r="R26" s="22"/>
      <c r="S26" s="22">
        <f t="shared" si="6"/>
        <v>186.97465286731179</v>
      </c>
      <c r="T26" s="22">
        <f t="shared" si="7"/>
        <v>319.66371125755052</v>
      </c>
    </row>
    <row r="27" spans="1:20" x14ac:dyDescent="0.2">
      <c r="A27" s="5">
        <v>36</v>
      </c>
      <c r="B27" s="1">
        <f t="shared" si="8"/>
        <v>1.4129738209737661</v>
      </c>
      <c r="C27" s="5">
        <f t="shared" si="9"/>
        <v>36834.445605647335</v>
      </c>
      <c r="D27" s="5">
        <f t="shared" si="0"/>
        <v>35878.895553393202</v>
      </c>
      <c r="E27" s="5">
        <f t="shared" si="1"/>
        <v>26378.895553393202</v>
      </c>
      <c r="F27" s="5">
        <f t="shared" si="2"/>
        <v>8914.4593981828802</v>
      </c>
      <c r="G27" s="5">
        <f t="shared" si="3"/>
        <v>26964.436155210322</v>
      </c>
      <c r="H27" s="22">
        <f t="shared" si="10"/>
        <v>16182.937458072001</v>
      </c>
      <c r="I27" s="5">
        <f t="shared" si="4"/>
        <v>42419.141427669085</v>
      </c>
      <c r="J27" s="26">
        <f t="shared" si="5"/>
        <v>0.16220027145556268</v>
      </c>
      <c r="L27" s="22">
        <f t="shared" si="11"/>
        <v>38151.760616759682</v>
      </c>
      <c r="M27" s="5">
        <f>scrimecost*Meta!O24</f>
        <v>462.38400000000001</v>
      </c>
      <c r="N27" s="5">
        <f>L27-Grade15!L27</f>
        <v>425.95082409919269</v>
      </c>
      <c r="O27" s="5">
        <f>Grade15!M27-M27</f>
        <v>4.1040000000000418</v>
      </c>
      <c r="P27" s="22">
        <f t="shared" si="12"/>
        <v>38.22667778563823</v>
      </c>
      <c r="Q27" s="22"/>
      <c r="R27" s="22"/>
      <c r="S27" s="22">
        <f t="shared" si="6"/>
        <v>191.38386281076205</v>
      </c>
      <c r="T27" s="22">
        <f t="shared" si="7"/>
        <v>339.97923251311607</v>
      </c>
    </row>
    <row r="28" spans="1:20" x14ac:dyDescent="0.2">
      <c r="A28" s="5">
        <v>37</v>
      </c>
      <c r="B28" s="1">
        <f t="shared" si="8"/>
        <v>1.4482981664981105</v>
      </c>
      <c r="C28" s="5">
        <f t="shared" si="9"/>
        <v>37755.306745788519</v>
      </c>
      <c r="D28" s="5">
        <f t="shared" si="0"/>
        <v>36758.317942228037</v>
      </c>
      <c r="E28" s="5">
        <f t="shared" si="1"/>
        <v>27258.317942228037</v>
      </c>
      <c r="F28" s="5">
        <f t="shared" si="2"/>
        <v>9201.5908081374546</v>
      </c>
      <c r="G28" s="5">
        <f t="shared" si="3"/>
        <v>27556.727134090583</v>
      </c>
      <c r="H28" s="22">
        <f t="shared" si="10"/>
        <v>16587.510894523803</v>
      </c>
      <c r="I28" s="5">
        <f t="shared" si="4"/>
        <v>43397.800038360816</v>
      </c>
      <c r="J28" s="26">
        <f t="shared" si="5"/>
        <v>0.16377684252523375</v>
      </c>
      <c r="L28" s="22">
        <f t="shared" si="11"/>
        <v>39105.554632178682</v>
      </c>
      <c r="M28" s="5">
        <f>scrimecost*Meta!O25</f>
        <v>462.38400000000001</v>
      </c>
      <c r="N28" s="5">
        <f>L28-Grade15!L28</f>
        <v>436.59959470167814</v>
      </c>
      <c r="O28" s="5">
        <f>Grade15!M28-M28</f>
        <v>4.1040000000000418</v>
      </c>
      <c r="P28" s="22">
        <f t="shared" si="12"/>
        <v>38.875752788568796</v>
      </c>
      <c r="Q28" s="22"/>
      <c r="R28" s="22"/>
      <c r="S28" s="22">
        <f t="shared" si="6"/>
        <v>195.90330300280493</v>
      </c>
      <c r="T28" s="22">
        <f t="shared" si="7"/>
        <v>361.59740339678785</v>
      </c>
    </row>
    <row r="29" spans="1:20" x14ac:dyDescent="0.2">
      <c r="A29" s="5">
        <v>38</v>
      </c>
      <c r="B29" s="1">
        <f t="shared" si="8"/>
        <v>1.4845056206605631</v>
      </c>
      <c r="C29" s="5">
        <f t="shared" si="9"/>
        <v>38699.189414433225</v>
      </c>
      <c r="D29" s="5">
        <f t="shared" si="0"/>
        <v>37659.725890783731</v>
      </c>
      <c r="E29" s="5">
        <f t="shared" si="1"/>
        <v>28159.725890783731</v>
      </c>
      <c r="F29" s="5">
        <f t="shared" si="2"/>
        <v>9495.9005033408885</v>
      </c>
      <c r="G29" s="5">
        <f t="shared" si="3"/>
        <v>28163.825387442841</v>
      </c>
      <c r="H29" s="22">
        <f t="shared" si="10"/>
        <v>17002.198666886899</v>
      </c>
      <c r="I29" s="5">
        <f t="shared" si="4"/>
        <v>44400.925114319827</v>
      </c>
      <c r="J29" s="26">
        <f t="shared" si="5"/>
        <v>0.16531496064198598</v>
      </c>
      <c r="L29" s="22">
        <f t="shared" si="11"/>
        <v>40083.193497983149</v>
      </c>
      <c r="M29" s="5">
        <f>scrimecost*Meta!O26</f>
        <v>462.38400000000001</v>
      </c>
      <c r="N29" s="5">
        <f>L29-Grade15!L29</f>
        <v>447.5145845692241</v>
      </c>
      <c r="O29" s="5">
        <f>Grade15!M29-M29</f>
        <v>4.1040000000000418</v>
      </c>
      <c r="P29" s="22">
        <f t="shared" si="12"/>
        <v>39.54105466657262</v>
      </c>
      <c r="Q29" s="22"/>
      <c r="R29" s="22"/>
      <c r="S29" s="22">
        <f t="shared" si="6"/>
        <v>200.53572919964827</v>
      </c>
      <c r="T29" s="22">
        <f t="shared" si="7"/>
        <v>384.60221213035481</v>
      </c>
    </row>
    <row r="30" spans="1:20" x14ac:dyDescent="0.2">
      <c r="A30" s="5">
        <v>39</v>
      </c>
      <c r="B30" s="1">
        <f t="shared" si="8"/>
        <v>1.521618261177077</v>
      </c>
      <c r="C30" s="5">
        <f t="shared" si="9"/>
        <v>39666.669149794056</v>
      </c>
      <c r="D30" s="5">
        <f t="shared" si="0"/>
        <v>38583.669038053318</v>
      </c>
      <c r="E30" s="5">
        <f t="shared" si="1"/>
        <v>29083.669038053318</v>
      </c>
      <c r="F30" s="5">
        <f t="shared" si="2"/>
        <v>9797.5679409244076</v>
      </c>
      <c r="G30" s="5">
        <f t="shared" si="3"/>
        <v>28786.101097128911</v>
      </c>
      <c r="H30" s="22">
        <f t="shared" si="10"/>
        <v>17427.253633559067</v>
      </c>
      <c r="I30" s="5">
        <f t="shared" si="4"/>
        <v>45429.12831717782</v>
      </c>
      <c r="J30" s="26">
        <f t="shared" si="5"/>
        <v>0.16681556368271985</v>
      </c>
      <c r="L30" s="22">
        <f t="shared" si="11"/>
        <v>41085.273335432721</v>
      </c>
      <c r="M30" s="5">
        <f>scrimecost*Meta!O27</f>
        <v>462.38400000000001</v>
      </c>
      <c r="N30" s="5">
        <f>L30-Grade15!L30</f>
        <v>458.7024491834527</v>
      </c>
      <c r="O30" s="5">
        <f>Grade15!M30-M30</f>
        <v>4.1040000000000418</v>
      </c>
      <c r="P30" s="22">
        <f t="shared" si="12"/>
        <v>40.222989091526522</v>
      </c>
      <c r="Q30" s="22"/>
      <c r="R30" s="22"/>
      <c r="S30" s="22">
        <f t="shared" si="6"/>
        <v>205.28396605141037</v>
      </c>
      <c r="T30" s="22">
        <f t="shared" si="7"/>
        <v>409.08308033104345</v>
      </c>
    </row>
    <row r="31" spans="1:20" x14ac:dyDescent="0.2">
      <c r="A31" s="5">
        <v>40</v>
      </c>
      <c r="B31" s="1">
        <f t="shared" si="8"/>
        <v>1.559658717706504</v>
      </c>
      <c r="C31" s="5">
        <f t="shared" si="9"/>
        <v>40658.335878538906</v>
      </c>
      <c r="D31" s="5">
        <f t="shared" si="0"/>
        <v>39530.710764004652</v>
      </c>
      <c r="E31" s="5">
        <f t="shared" si="1"/>
        <v>30030.710764004652</v>
      </c>
      <c r="F31" s="5">
        <f t="shared" si="2"/>
        <v>10106.777064447519</v>
      </c>
      <c r="G31" s="5">
        <f t="shared" si="3"/>
        <v>29423.933699557136</v>
      </c>
      <c r="H31" s="22">
        <f t="shared" si="10"/>
        <v>17862.934974398046</v>
      </c>
      <c r="I31" s="5">
        <f t="shared" si="4"/>
        <v>46483.036600107269</v>
      </c>
      <c r="J31" s="26">
        <f t="shared" si="5"/>
        <v>0.16827956664928947</v>
      </c>
      <c r="L31" s="22">
        <f t="shared" si="11"/>
        <v>42112.405168818543</v>
      </c>
      <c r="M31" s="5">
        <f>scrimecost*Meta!O28</f>
        <v>396.81199999999995</v>
      </c>
      <c r="N31" s="5">
        <f>L31-Grade15!L31</f>
        <v>470.17001041303593</v>
      </c>
      <c r="O31" s="5">
        <f>Grade15!M31-M31</f>
        <v>3.5220000000000482</v>
      </c>
      <c r="P31" s="22">
        <f t="shared" si="12"/>
        <v>40.921971877104284</v>
      </c>
      <c r="Q31" s="22"/>
      <c r="R31" s="22"/>
      <c r="S31" s="22">
        <f t="shared" si="6"/>
        <v>209.77377282446611</v>
      </c>
      <c r="T31" s="22">
        <f t="shared" si="7"/>
        <v>434.35432327251942</v>
      </c>
    </row>
    <row r="32" spans="1:20" x14ac:dyDescent="0.2">
      <c r="A32" s="5">
        <v>41</v>
      </c>
      <c r="B32" s="1">
        <f t="shared" si="8"/>
        <v>1.5986501856491666</v>
      </c>
      <c r="C32" s="5">
        <f t="shared" si="9"/>
        <v>41674.794275502376</v>
      </c>
      <c r="D32" s="5">
        <f t="shared" si="0"/>
        <v>40501.428533104765</v>
      </c>
      <c r="E32" s="5">
        <f t="shared" si="1"/>
        <v>31001.428533104765</v>
      </c>
      <c r="F32" s="5">
        <f t="shared" si="2"/>
        <v>10423.716416058705</v>
      </c>
      <c r="G32" s="5">
        <f t="shared" si="3"/>
        <v>30077.71211704606</v>
      </c>
      <c r="H32" s="22">
        <f t="shared" si="10"/>
        <v>18309.508348757998</v>
      </c>
      <c r="I32" s="5">
        <f t="shared" si="4"/>
        <v>47563.292590109952</v>
      </c>
      <c r="J32" s="26">
        <f t="shared" si="5"/>
        <v>0.16970786222643058</v>
      </c>
      <c r="L32" s="22">
        <f t="shared" si="11"/>
        <v>43165.215298039002</v>
      </c>
      <c r="M32" s="5">
        <f>scrimecost*Meta!O29</f>
        <v>396.81199999999995</v>
      </c>
      <c r="N32" s="5">
        <f>L32-Grade15!L32</f>
        <v>481.92426067336783</v>
      </c>
      <c r="O32" s="5">
        <f>Grade15!M32-M32</f>
        <v>3.5220000000000482</v>
      </c>
      <c r="P32" s="22">
        <f t="shared" si="12"/>
        <v>41.638429232321485</v>
      </c>
      <c r="Q32" s="22"/>
      <c r="R32" s="22"/>
      <c r="S32" s="22">
        <f t="shared" si="6"/>
        <v>214.7623891668517</v>
      </c>
      <c r="T32" s="22">
        <f t="shared" si="7"/>
        <v>462.04859891595942</v>
      </c>
    </row>
    <row r="33" spans="1:20" x14ac:dyDescent="0.2">
      <c r="A33" s="5">
        <v>42</v>
      </c>
      <c r="B33" s="1">
        <f t="shared" si="8"/>
        <v>1.6386164402903955</v>
      </c>
      <c r="C33" s="5">
        <f t="shared" si="9"/>
        <v>42716.664132389938</v>
      </c>
      <c r="D33" s="5">
        <f t="shared" si="0"/>
        <v>41496.414246432389</v>
      </c>
      <c r="E33" s="5">
        <f t="shared" si="1"/>
        <v>31996.414246432389</v>
      </c>
      <c r="F33" s="5">
        <f t="shared" si="2"/>
        <v>10748.579251460174</v>
      </c>
      <c r="G33" s="5">
        <f t="shared" si="3"/>
        <v>30747.834994972214</v>
      </c>
      <c r="H33" s="22">
        <f t="shared" si="10"/>
        <v>18767.246057476943</v>
      </c>
      <c r="I33" s="5">
        <f t="shared" si="4"/>
        <v>48670.554979862689</v>
      </c>
      <c r="J33" s="26">
        <f t="shared" si="5"/>
        <v>0.1711013213260805</v>
      </c>
      <c r="L33" s="22">
        <f t="shared" si="11"/>
        <v>44244.345680489976</v>
      </c>
      <c r="M33" s="5">
        <f>scrimecost*Meta!O30</f>
        <v>396.81199999999995</v>
      </c>
      <c r="N33" s="5">
        <f>L33-Grade15!L33</f>
        <v>493.97236719020293</v>
      </c>
      <c r="O33" s="5">
        <f>Grade15!M33-M33</f>
        <v>3.5220000000000482</v>
      </c>
      <c r="P33" s="22">
        <f t="shared" si="12"/>
        <v>42.372798021419129</v>
      </c>
      <c r="Q33" s="22"/>
      <c r="R33" s="22"/>
      <c r="S33" s="22">
        <f t="shared" si="6"/>
        <v>219.87572091779501</v>
      </c>
      <c r="T33" s="22">
        <f t="shared" si="7"/>
        <v>491.52224643491616</v>
      </c>
    </row>
    <row r="34" spans="1:20" x14ac:dyDescent="0.2">
      <c r="A34" s="5">
        <v>43</v>
      </c>
      <c r="B34" s="1">
        <f t="shared" si="8"/>
        <v>1.6795818512976552</v>
      </c>
      <c r="C34" s="5">
        <f t="shared" si="9"/>
        <v>43784.580735699674</v>
      </c>
      <c r="D34" s="5">
        <f t="shared" si="0"/>
        <v>42516.274602593185</v>
      </c>
      <c r="E34" s="5">
        <f t="shared" si="1"/>
        <v>33016.274602593185</v>
      </c>
      <c r="F34" s="5">
        <f t="shared" si="2"/>
        <v>11081.563657746676</v>
      </c>
      <c r="G34" s="5">
        <f t="shared" si="3"/>
        <v>31434.710944846509</v>
      </c>
      <c r="H34" s="22">
        <f t="shared" si="10"/>
        <v>19236.427208913865</v>
      </c>
      <c r="I34" s="5">
        <f t="shared" si="4"/>
        <v>49805.498929359252</v>
      </c>
      <c r="J34" s="26">
        <f t="shared" si="5"/>
        <v>0.17246079361842184</v>
      </c>
      <c r="L34" s="22">
        <f t="shared" si="11"/>
        <v>45350.454322502213</v>
      </c>
      <c r="M34" s="5">
        <f>scrimecost*Meta!O31</f>
        <v>396.81199999999995</v>
      </c>
      <c r="N34" s="5">
        <f>L34-Grade15!L34</f>
        <v>506.32167636994564</v>
      </c>
      <c r="O34" s="5">
        <f>Grade15!M34-M34</f>
        <v>3.5220000000000482</v>
      </c>
      <c r="P34" s="22">
        <f t="shared" si="12"/>
        <v>43.125526030244203</v>
      </c>
      <c r="Q34" s="22"/>
      <c r="R34" s="22"/>
      <c r="S34" s="22">
        <f t="shared" si="6"/>
        <v>225.11688596250679</v>
      </c>
      <c r="T34" s="22">
        <f t="shared" si="7"/>
        <v>522.89013283928682</v>
      </c>
    </row>
    <row r="35" spans="1:20" x14ac:dyDescent="0.2">
      <c r="A35" s="5">
        <v>44</v>
      </c>
      <c r="B35" s="1">
        <f t="shared" si="8"/>
        <v>1.7215713975800966</v>
      </c>
      <c r="C35" s="5">
        <f t="shared" si="9"/>
        <v>44879.19525409217</v>
      </c>
      <c r="D35" s="5">
        <f t="shared" si="0"/>
        <v>43561.631467658022</v>
      </c>
      <c r="E35" s="5">
        <f t="shared" si="1"/>
        <v>34061.631467658022</v>
      </c>
      <c r="F35" s="5">
        <f t="shared" si="2"/>
        <v>11422.872674190345</v>
      </c>
      <c r="G35" s="5">
        <f t="shared" si="3"/>
        <v>32138.758793467678</v>
      </c>
      <c r="H35" s="22">
        <f t="shared" si="10"/>
        <v>19717.337889136714</v>
      </c>
      <c r="I35" s="5">
        <f t="shared" si="4"/>
        <v>50968.816477593238</v>
      </c>
      <c r="J35" s="26">
        <f t="shared" si="5"/>
        <v>0.17378710804997438</v>
      </c>
      <c r="L35" s="22">
        <f t="shared" si="11"/>
        <v>46484.215680564768</v>
      </c>
      <c r="M35" s="5">
        <f>scrimecost*Meta!O32</f>
        <v>396.81199999999995</v>
      </c>
      <c r="N35" s="5">
        <f>L35-Grade15!L35</f>
        <v>518.97971827918809</v>
      </c>
      <c r="O35" s="5">
        <f>Grade15!M35-M35</f>
        <v>3.5220000000000482</v>
      </c>
      <c r="P35" s="22">
        <f t="shared" si="12"/>
        <v>43.897072239289905</v>
      </c>
      <c r="Q35" s="22"/>
      <c r="R35" s="22"/>
      <c r="S35" s="22">
        <f t="shared" si="6"/>
        <v>230.48908013333872</v>
      </c>
      <c r="T35" s="22">
        <f t="shared" si="7"/>
        <v>556.27456175471889</v>
      </c>
    </row>
    <row r="36" spans="1:20" x14ac:dyDescent="0.2">
      <c r="A36" s="5">
        <v>45</v>
      </c>
      <c r="B36" s="1">
        <f t="shared" si="8"/>
        <v>1.7646106825195991</v>
      </c>
      <c r="C36" s="5">
        <f t="shared" si="9"/>
        <v>46001.175135444471</v>
      </c>
      <c r="D36" s="5">
        <f t="shared" si="0"/>
        <v>44633.122254349466</v>
      </c>
      <c r="E36" s="5">
        <f t="shared" si="1"/>
        <v>35133.122254349466</v>
      </c>
      <c r="F36" s="5">
        <f t="shared" si="2"/>
        <v>11836.026641480048</v>
      </c>
      <c r="G36" s="5">
        <f t="shared" si="3"/>
        <v>32797.095612869416</v>
      </c>
      <c r="H36" s="22">
        <f t="shared" si="10"/>
        <v>20210.271336365131</v>
      </c>
      <c r="I36" s="5">
        <f t="shared" si="4"/>
        <v>52097.904739098114</v>
      </c>
      <c r="J36" s="26">
        <f t="shared" si="5"/>
        <v>0.1760823431830186</v>
      </c>
      <c r="L36" s="22">
        <f t="shared" si="11"/>
        <v>47646.321072578896</v>
      </c>
      <c r="M36" s="5">
        <f>scrimecost*Meta!O33</f>
        <v>305.55200000000002</v>
      </c>
      <c r="N36" s="5">
        <f>L36-Grade15!L36</f>
        <v>531.95421123618871</v>
      </c>
      <c r="O36" s="5">
        <f>Grade15!M36-M36</f>
        <v>2.7119999999999891</v>
      </c>
      <c r="P36" s="22">
        <f t="shared" si="12"/>
        <v>44.831027575530427</v>
      </c>
      <c r="Q36" s="22"/>
      <c r="R36" s="22"/>
      <c r="S36" s="22">
        <f t="shared" si="6"/>
        <v>235.56344122428757</v>
      </c>
      <c r="T36" s="22">
        <f t="shared" si="7"/>
        <v>590.7220840772012</v>
      </c>
    </row>
    <row r="37" spans="1:20" x14ac:dyDescent="0.2">
      <c r="A37" s="5">
        <v>46</v>
      </c>
      <c r="B37" s="1">
        <f t="shared" ref="B37:B56" si="13">(1+experiencepremium)^(A37-startage)</f>
        <v>1.8087259495825889</v>
      </c>
      <c r="C37" s="5">
        <f t="shared" ref="C37:C56" si="14">pretaxincome*B37/expnorm</f>
        <v>47151.204513830584</v>
      </c>
      <c r="D37" s="5">
        <f t="shared" ref="D37:D56" si="15">IF(A37&lt;startage,1,0)*(C37*(1-initialunempprob))+IF(A37=startage,1,0)*(C37*(1-unempprob))+IF(A37&gt;startage,1,0)*(C37*(1-unempprob)+unempprob*300*52)</f>
        <v>45731.400310708203</v>
      </c>
      <c r="E37" s="5">
        <f t="shared" si="1"/>
        <v>36231.400310708203</v>
      </c>
      <c r="F37" s="5">
        <f t="shared" si="2"/>
        <v>12304.442232517049</v>
      </c>
      <c r="G37" s="5">
        <f t="shared" si="3"/>
        <v>33426.95807819115</v>
      </c>
      <c r="H37" s="22">
        <f t="shared" ref="H37:H56" si="16">benefits*B37/expnorm</f>
        <v>20715.528119774255</v>
      </c>
      <c r="I37" s="5">
        <f t="shared" ref="I37:I56" si="17">G37+IF(A37&lt;startage,1,0)*(H37*(1-initialunempprob))+IF(A37&gt;=startage,1,0)*(H37*(1-unempprob))</f>
        <v>53210.287432575562</v>
      </c>
      <c r="J37" s="26">
        <f t="shared" si="5"/>
        <v>0.17901486779634879</v>
      </c>
      <c r="L37" s="22">
        <f t="shared" ref="L37:L56" si="18">(sincome+sbenefits)*(1-sunemp)*B37/expnorm</f>
        <v>48837.479099393364</v>
      </c>
      <c r="M37" s="5">
        <f>scrimecost*Meta!O34</f>
        <v>305.55200000000002</v>
      </c>
      <c r="N37" s="5">
        <f>L37-Grade15!L37</f>
        <v>545.25306651709252</v>
      </c>
      <c r="O37" s="5">
        <f>Grade15!M37-M37</f>
        <v>2.7119999999999891</v>
      </c>
      <c r="P37" s="22">
        <f t="shared" si="12"/>
        <v>45.889904593454588</v>
      </c>
      <c r="Q37" s="22"/>
      <c r="R37" s="22"/>
      <c r="S37" s="22">
        <f t="shared" si="6"/>
        <v>241.3684825157857</v>
      </c>
      <c r="T37" s="22">
        <f t="shared" si="7"/>
        <v>628.91557299142528</v>
      </c>
    </row>
    <row r="38" spans="1:20" x14ac:dyDescent="0.2">
      <c r="A38" s="5">
        <v>47</v>
      </c>
      <c r="B38" s="1">
        <f t="shared" si="13"/>
        <v>1.8539440983221533</v>
      </c>
      <c r="C38" s="5">
        <f t="shared" si="14"/>
        <v>48329.984626676334</v>
      </c>
      <c r="D38" s="5">
        <f t="shared" si="15"/>
        <v>46857.135318475899</v>
      </c>
      <c r="E38" s="5">
        <f t="shared" si="1"/>
        <v>37357.135318475899</v>
      </c>
      <c r="F38" s="5">
        <f t="shared" si="2"/>
        <v>12784.568213329971</v>
      </c>
      <c r="G38" s="5">
        <f t="shared" si="3"/>
        <v>34072.567105145929</v>
      </c>
      <c r="H38" s="22">
        <f t="shared" si="16"/>
        <v>21233.416322768611</v>
      </c>
      <c r="I38" s="5">
        <f t="shared" si="17"/>
        <v>54350.479693389949</v>
      </c>
      <c r="J38" s="26">
        <f t="shared" si="5"/>
        <v>0.18187586741910994</v>
      </c>
      <c r="L38" s="22">
        <f t="shared" si="18"/>
        <v>50058.416076878188</v>
      </c>
      <c r="M38" s="5">
        <f>scrimecost*Meta!O35</f>
        <v>305.55200000000002</v>
      </c>
      <c r="N38" s="5">
        <f>L38-Grade15!L38</f>
        <v>558.88439318001474</v>
      </c>
      <c r="O38" s="5">
        <f>Grade15!M38-M38</f>
        <v>2.7119999999999891</v>
      </c>
      <c r="P38" s="22">
        <f t="shared" si="12"/>
        <v>46.975253536826862</v>
      </c>
      <c r="Q38" s="22"/>
      <c r="R38" s="22"/>
      <c r="S38" s="22">
        <f t="shared" si="6"/>
        <v>247.31864983956964</v>
      </c>
      <c r="T38" s="22">
        <f t="shared" si="7"/>
        <v>669.58409205820681</v>
      </c>
    </row>
    <row r="39" spans="1:20" x14ac:dyDescent="0.2">
      <c r="A39" s="5">
        <v>48</v>
      </c>
      <c r="B39" s="1">
        <f t="shared" si="13"/>
        <v>1.9002927007802071</v>
      </c>
      <c r="C39" s="5">
        <f t="shared" si="14"/>
        <v>49538.234242343249</v>
      </c>
      <c r="D39" s="5">
        <f t="shared" si="15"/>
        <v>48011.013701437798</v>
      </c>
      <c r="E39" s="5">
        <f t="shared" si="1"/>
        <v>38511.013701437798</v>
      </c>
      <c r="F39" s="5">
        <f t="shared" si="2"/>
        <v>13276.697343663222</v>
      </c>
      <c r="G39" s="5">
        <f t="shared" si="3"/>
        <v>34734.316357774573</v>
      </c>
      <c r="H39" s="22">
        <f t="shared" si="16"/>
        <v>21764.251730837823</v>
      </c>
      <c r="I39" s="5">
        <f t="shared" si="17"/>
        <v>55519.176760724687</v>
      </c>
      <c r="J39" s="26">
        <f t="shared" si="5"/>
        <v>0.18466708656326716</v>
      </c>
      <c r="L39" s="22">
        <f t="shared" si="18"/>
        <v>51309.876478800135</v>
      </c>
      <c r="M39" s="5">
        <f>scrimecost*Meta!O36</f>
        <v>305.55200000000002</v>
      </c>
      <c r="N39" s="5">
        <f>L39-Grade15!L39</f>
        <v>572.85650300951238</v>
      </c>
      <c r="O39" s="5">
        <f>Grade15!M39-M39</f>
        <v>2.7119999999999891</v>
      </c>
      <c r="P39" s="22">
        <f t="shared" si="12"/>
        <v>48.087736203783436</v>
      </c>
      <c r="Q39" s="22"/>
      <c r="R39" s="22"/>
      <c r="S39" s="22">
        <f t="shared" si="6"/>
        <v>253.41757134644908</v>
      </c>
      <c r="T39" s="22">
        <f t="shared" si="7"/>
        <v>712.88824941995972</v>
      </c>
    </row>
    <row r="40" spans="1:20" x14ac:dyDescent="0.2">
      <c r="A40" s="5">
        <v>49</v>
      </c>
      <c r="B40" s="1">
        <f t="shared" si="13"/>
        <v>1.9478000182997122</v>
      </c>
      <c r="C40" s="5">
        <f t="shared" si="14"/>
        <v>50776.690098401821</v>
      </c>
      <c r="D40" s="5">
        <f t="shared" si="15"/>
        <v>49193.739043973736</v>
      </c>
      <c r="E40" s="5">
        <f t="shared" si="1"/>
        <v>39693.739043973736</v>
      </c>
      <c r="F40" s="5">
        <f t="shared" si="2"/>
        <v>13781.129702254797</v>
      </c>
      <c r="G40" s="5">
        <f t="shared" si="3"/>
        <v>35412.60934171894</v>
      </c>
      <c r="H40" s="22">
        <f t="shared" si="16"/>
        <v>22308.358024108769</v>
      </c>
      <c r="I40" s="5">
        <f t="shared" si="17"/>
        <v>56717.091254742816</v>
      </c>
      <c r="J40" s="26">
        <f t="shared" si="5"/>
        <v>0.18739022719171319</v>
      </c>
      <c r="L40" s="22">
        <f t="shared" si="18"/>
        <v>52592.623390770139</v>
      </c>
      <c r="M40" s="5">
        <f>scrimecost*Meta!O37</f>
        <v>305.55200000000002</v>
      </c>
      <c r="N40" s="5">
        <f>L40-Grade15!L40</f>
        <v>587.17791558475437</v>
      </c>
      <c r="O40" s="5">
        <f>Grade15!M40-M40</f>
        <v>2.7119999999999891</v>
      </c>
      <c r="P40" s="22">
        <f t="shared" si="12"/>
        <v>49.228030937413926</v>
      </c>
      <c r="Q40" s="22"/>
      <c r="R40" s="22"/>
      <c r="S40" s="22">
        <f t="shared" si="6"/>
        <v>259.66896589100321</v>
      </c>
      <c r="T40" s="22">
        <f t="shared" si="7"/>
        <v>758.99908393381213</v>
      </c>
    </row>
    <row r="41" spans="1:20" x14ac:dyDescent="0.2">
      <c r="A41" s="5">
        <v>50</v>
      </c>
      <c r="B41" s="1">
        <f t="shared" si="13"/>
        <v>1.9964950187572048</v>
      </c>
      <c r="C41" s="5">
        <f t="shared" si="14"/>
        <v>52046.107350861865</v>
      </c>
      <c r="D41" s="5">
        <f t="shared" si="15"/>
        <v>50406.03252007308</v>
      </c>
      <c r="E41" s="5">
        <f t="shared" si="1"/>
        <v>40906.03252007308</v>
      </c>
      <c r="F41" s="5">
        <f t="shared" si="2"/>
        <v>14298.172869811169</v>
      </c>
      <c r="G41" s="5">
        <f t="shared" si="3"/>
        <v>36107.859650261911</v>
      </c>
      <c r="H41" s="22">
        <f t="shared" si="16"/>
        <v>22866.066974711488</v>
      </c>
      <c r="I41" s="5">
        <f t="shared" si="17"/>
        <v>57944.953611111385</v>
      </c>
      <c r="J41" s="26">
        <f t="shared" si="5"/>
        <v>0.19004694975605091</v>
      </c>
      <c r="L41" s="22">
        <f t="shared" si="18"/>
        <v>53907.438975539393</v>
      </c>
      <c r="M41" s="5">
        <f>scrimecost*Meta!O38</f>
        <v>185.56200000000001</v>
      </c>
      <c r="N41" s="5">
        <f>L41-Grade15!L41</f>
        <v>601.85736347436614</v>
      </c>
      <c r="O41" s="5">
        <f>Grade15!M41-M41</f>
        <v>1.6469999999999914</v>
      </c>
      <c r="P41" s="22">
        <f t="shared" si="12"/>
        <v>50.396833039385186</v>
      </c>
      <c r="Q41" s="22"/>
      <c r="R41" s="22"/>
      <c r="S41" s="22">
        <f t="shared" si="6"/>
        <v>265.38652529916681</v>
      </c>
      <c r="T41" s="22">
        <f t="shared" si="7"/>
        <v>806.00278631952688</v>
      </c>
    </row>
    <row r="42" spans="1:20" x14ac:dyDescent="0.2">
      <c r="A42" s="5">
        <v>51</v>
      </c>
      <c r="B42" s="1">
        <f t="shared" si="13"/>
        <v>2.0464073942261352</v>
      </c>
      <c r="C42" s="5">
        <f t="shared" si="14"/>
        <v>53347.260034633415</v>
      </c>
      <c r="D42" s="5">
        <f t="shared" si="15"/>
        <v>51648.633333074911</v>
      </c>
      <c r="E42" s="5">
        <f t="shared" si="1"/>
        <v>42148.633333074911</v>
      </c>
      <c r="F42" s="5">
        <f t="shared" si="2"/>
        <v>14828.14211655645</v>
      </c>
      <c r="G42" s="5">
        <f t="shared" si="3"/>
        <v>36820.491216518465</v>
      </c>
      <c r="H42" s="22">
        <f t="shared" si="16"/>
        <v>23437.718649079277</v>
      </c>
      <c r="I42" s="5">
        <f t="shared" si="17"/>
        <v>59203.512526389175</v>
      </c>
      <c r="J42" s="26">
        <f t="shared" si="5"/>
        <v>0.19263887420906323</v>
      </c>
      <c r="L42" s="22">
        <f t="shared" si="18"/>
        <v>55255.124949927878</v>
      </c>
      <c r="M42" s="5">
        <f>scrimecost*Meta!O39</f>
        <v>185.56200000000001</v>
      </c>
      <c r="N42" s="5">
        <f>L42-Grade15!L42</f>
        <v>616.9037975612373</v>
      </c>
      <c r="O42" s="5">
        <f>Grade15!M42-M42</f>
        <v>1.6469999999999914</v>
      </c>
      <c r="P42" s="22">
        <f t="shared" si="12"/>
        <v>51.59485519390573</v>
      </c>
      <c r="Q42" s="22"/>
      <c r="R42" s="22"/>
      <c r="S42" s="22">
        <f t="shared" si="6"/>
        <v>271.95439669254188</v>
      </c>
      <c r="T42" s="22">
        <f t="shared" si="7"/>
        <v>858.20340019822117</v>
      </c>
    </row>
    <row r="43" spans="1:20" x14ac:dyDescent="0.2">
      <c r="A43" s="5">
        <v>52</v>
      </c>
      <c r="B43" s="1">
        <f t="shared" si="13"/>
        <v>2.097567579081788</v>
      </c>
      <c r="C43" s="5">
        <f t="shared" si="14"/>
        <v>54680.941535499238</v>
      </c>
      <c r="D43" s="5">
        <f t="shared" si="15"/>
        <v>52922.299166401768</v>
      </c>
      <c r="E43" s="5">
        <f t="shared" si="1"/>
        <v>43422.299166401768</v>
      </c>
      <c r="F43" s="5">
        <f t="shared" si="2"/>
        <v>15371.360594470354</v>
      </c>
      <c r="G43" s="5">
        <f t="shared" si="3"/>
        <v>37550.938571931416</v>
      </c>
      <c r="H43" s="22">
        <f t="shared" si="16"/>
        <v>24023.66161530625</v>
      </c>
      <c r="I43" s="5">
        <f t="shared" si="17"/>
        <v>60493.535414548882</v>
      </c>
      <c r="J43" s="26">
        <f t="shared" si="5"/>
        <v>0.19516758099248985</v>
      </c>
      <c r="L43" s="22">
        <f t="shared" si="18"/>
        <v>56636.50307367606</v>
      </c>
      <c r="M43" s="5">
        <f>scrimecost*Meta!O40</f>
        <v>185.56200000000001</v>
      </c>
      <c r="N43" s="5">
        <f>L43-Grade15!L43</f>
        <v>632.32639250023203</v>
      </c>
      <c r="O43" s="5">
        <f>Grade15!M43-M43</f>
        <v>1.6469999999999914</v>
      </c>
      <c r="P43" s="22">
        <f t="shared" si="12"/>
        <v>52.822827902289269</v>
      </c>
      <c r="Q43" s="22"/>
      <c r="R43" s="22"/>
      <c r="S43" s="22">
        <f t="shared" si="6"/>
        <v>278.68646487073272</v>
      </c>
      <c r="T43" s="22">
        <f t="shared" si="7"/>
        <v>913.79019669220054</v>
      </c>
    </row>
    <row r="44" spans="1:20" x14ac:dyDescent="0.2">
      <c r="A44" s="5">
        <v>53</v>
      </c>
      <c r="B44" s="1">
        <f t="shared" si="13"/>
        <v>2.1500067685588333</v>
      </c>
      <c r="C44" s="5">
        <f t="shared" si="14"/>
        <v>56047.965073886742</v>
      </c>
      <c r="D44" s="5">
        <f t="shared" si="15"/>
        <v>54227.806645561839</v>
      </c>
      <c r="E44" s="5">
        <f t="shared" si="1"/>
        <v>44727.806645561839</v>
      </c>
      <c r="F44" s="5">
        <f t="shared" si="2"/>
        <v>15928.159534332124</v>
      </c>
      <c r="G44" s="5">
        <f t="shared" si="3"/>
        <v>38299.647111229715</v>
      </c>
      <c r="H44" s="22">
        <f t="shared" si="16"/>
        <v>24624.253155688915</v>
      </c>
      <c r="I44" s="5">
        <f t="shared" si="17"/>
        <v>61815.808874912633</v>
      </c>
      <c r="J44" s="26">
        <f t="shared" si="5"/>
        <v>0.19763461200071103</v>
      </c>
      <c r="L44" s="22">
        <f t="shared" si="18"/>
        <v>58052.415650517985</v>
      </c>
      <c r="M44" s="5">
        <f>scrimecost*Meta!O41</f>
        <v>185.56200000000001</v>
      </c>
      <c r="N44" s="5">
        <f>L44-Grade15!L44</f>
        <v>648.13455231277476</v>
      </c>
      <c r="O44" s="5">
        <f>Grade15!M44-M44</f>
        <v>1.6469999999999914</v>
      </c>
      <c r="P44" s="22">
        <f t="shared" si="12"/>
        <v>54.081499928382428</v>
      </c>
      <c r="Q44" s="22"/>
      <c r="R44" s="22"/>
      <c r="S44" s="22">
        <f t="shared" ref="S44:S69" si="19">IF(A44&lt;startage,1,0)*(N44-Q44-R44)+IF(A44&gt;=startage,1,0)*completionprob*(N44*spart+O44+P44)</f>
        <v>285.58683475340655</v>
      </c>
      <c r="T44" s="22">
        <f t="shared" ref="T44:T69" si="20">S44/sreturn^(A44-startage+1)</f>
        <v>972.98304535462489</v>
      </c>
    </row>
    <row r="45" spans="1:20" x14ac:dyDescent="0.2">
      <c r="A45" s="5">
        <v>54</v>
      </c>
      <c r="B45" s="1">
        <f t="shared" si="13"/>
        <v>2.2037569377728037</v>
      </c>
      <c r="C45" s="5">
        <f t="shared" si="14"/>
        <v>57449.164200733889</v>
      </c>
      <c r="D45" s="5">
        <f t="shared" si="15"/>
        <v>55565.951811700863</v>
      </c>
      <c r="E45" s="5">
        <f t="shared" si="1"/>
        <v>46065.951811700863</v>
      </c>
      <c r="F45" s="5">
        <f t="shared" si="2"/>
        <v>16498.878447690418</v>
      </c>
      <c r="G45" s="5">
        <f t="shared" si="3"/>
        <v>39067.073364010444</v>
      </c>
      <c r="H45" s="22">
        <f t="shared" si="16"/>
        <v>25239.859484581131</v>
      </c>
      <c r="I45" s="5">
        <f t="shared" si="17"/>
        <v>63171.139171785428</v>
      </c>
      <c r="J45" s="26">
        <f t="shared" si="5"/>
        <v>0.20004147152092674</v>
      </c>
      <c r="L45" s="22">
        <f t="shared" si="18"/>
        <v>59503.726041780923</v>
      </c>
      <c r="M45" s="5">
        <f>scrimecost*Meta!O42</f>
        <v>185.56200000000001</v>
      </c>
      <c r="N45" s="5">
        <f>L45-Grade15!L45</f>
        <v>664.33791612058849</v>
      </c>
      <c r="O45" s="5">
        <f>Grade15!M45-M45</f>
        <v>1.6469999999999914</v>
      </c>
      <c r="P45" s="22">
        <f t="shared" si="12"/>
        <v>55.37163875512789</v>
      </c>
      <c r="Q45" s="22"/>
      <c r="R45" s="22"/>
      <c r="S45" s="22">
        <f t="shared" si="19"/>
        <v>292.65971388313085</v>
      </c>
      <c r="T45" s="22">
        <f t="shared" si="20"/>
        <v>1036.0161004931754</v>
      </c>
    </row>
    <row r="46" spans="1:20" x14ac:dyDescent="0.2">
      <c r="A46" s="5">
        <v>55</v>
      </c>
      <c r="B46" s="1">
        <f t="shared" si="13"/>
        <v>2.2588508612171236</v>
      </c>
      <c r="C46" s="5">
        <f t="shared" si="14"/>
        <v>58885.393305752237</v>
      </c>
      <c r="D46" s="5">
        <f t="shared" si="15"/>
        <v>56937.550606993384</v>
      </c>
      <c r="E46" s="5">
        <f t="shared" si="1"/>
        <v>47437.550606993384</v>
      </c>
      <c r="F46" s="5">
        <f t="shared" si="2"/>
        <v>17083.865333882677</v>
      </c>
      <c r="G46" s="5">
        <f t="shared" si="3"/>
        <v>39853.685273110706</v>
      </c>
      <c r="H46" s="22">
        <f t="shared" si="16"/>
        <v>25870.855971695659</v>
      </c>
      <c r="I46" s="5">
        <f t="shared" si="17"/>
        <v>64560.352726080062</v>
      </c>
      <c r="J46" s="26">
        <f t="shared" si="5"/>
        <v>0.20238962715040548</v>
      </c>
      <c r="L46" s="22">
        <f t="shared" si="18"/>
        <v>60991.319192825438</v>
      </c>
      <c r="M46" s="5">
        <f>scrimecost*Meta!O43</f>
        <v>92.612000000000009</v>
      </c>
      <c r="N46" s="5">
        <f>L46-Grade15!L46</f>
        <v>680.94636402359174</v>
      </c>
      <c r="O46" s="5">
        <f>Grade15!M46-M46</f>
        <v>0.82200000000000273</v>
      </c>
      <c r="P46" s="22">
        <f t="shared" si="12"/>
        <v>56.694031052541987</v>
      </c>
      <c r="Q46" s="22"/>
      <c r="R46" s="22"/>
      <c r="S46" s="22">
        <f t="shared" si="19"/>
        <v>299.374814991096</v>
      </c>
      <c r="T46" s="22">
        <f t="shared" si="20"/>
        <v>1101.172342598637</v>
      </c>
    </row>
    <row r="47" spans="1:20" x14ac:dyDescent="0.2">
      <c r="A47" s="5">
        <v>56</v>
      </c>
      <c r="B47" s="1">
        <f t="shared" si="13"/>
        <v>2.3153221327475517</v>
      </c>
      <c r="C47" s="5">
        <f t="shared" si="14"/>
        <v>60357.528138396039</v>
      </c>
      <c r="D47" s="5">
        <f t="shared" si="15"/>
        <v>58343.439372168214</v>
      </c>
      <c r="E47" s="5">
        <f t="shared" si="1"/>
        <v>48843.439372168214</v>
      </c>
      <c r="F47" s="5">
        <f t="shared" si="2"/>
        <v>17683.476892229744</v>
      </c>
      <c r="G47" s="5">
        <f t="shared" si="3"/>
        <v>40659.962479938469</v>
      </c>
      <c r="H47" s="22">
        <f t="shared" si="16"/>
        <v>26517.627370988048</v>
      </c>
      <c r="I47" s="5">
        <f t="shared" si="17"/>
        <v>65984.296619232045</v>
      </c>
      <c r="J47" s="26">
        <f t="shared" si="5"/>
        <v>0.20468051069136042</v>
      </c>
      <c r="L47" s="22">
        <f t="shared" si="18"/>
        <v>62516.102172646068</v>
      </c>
      <c r="M47" s="5">
        <f>scrimecost*Meta!O44</f>
        <v>92.612000000000009</v>
      </c>
      <c r="N47" s="5">
        <f>L47-Grade15!L47</f>
        <v>697.970023124195</v>
      </c>
      <c r="O47" s="5">
        <f>Grade15!M47-M47</f>
        <v>0.82200000000000273</v>
      </c>
      <c r="P47" s="22">
        <f t="shared" si="12"/>
        <v>58.04948315739145</v>
      </c>
      <c r="Q47" s="22"/>
      <c r="R47" s="22"/>
      <c r="S47" s="22">
        <f t="shared" si="19"/>
        <v>306.80575862676983</v>
      </c>
      <c r="T47" s="22">
        <f t="shared" si="20"/>
        <v>1172.5733274292199</v>
      </c>
    </row>
    <row r="48" spans="1:20" x14ac:dyDescent="0.2">
      <c r="A48" s="5">
        <v>57</v>
      </c>
      <c r="B48" s="1">
        <f t="shared" si="13"/>
        <v>2.3732051860662402</v>
      </c>
      <c r="C48" s="5">
        <f t="shared" si="14"/>
        <v>61866.466341855936</v>
      </c>
      <c r="D48" s="5">
        <f t="shared" si="15"/>
        <v>59784.475356472416</v>
      </c>
      <c r="E48" s="5">
        <f t="shared" si="1"/>
        <v>50284.475356472416</v>
      </c>
      <c r="F48" s="5">
        <f t="shared" si="2"/>
        <v>18298.078739535486</v>
      </c>
      <c r="G48" s="5">
        <f t="shared" si="3"/>
        <v>41486.396616936931</v>
      </c>
      <c r="H48" s="22">
        <f t="shared" si="16"/>
        <v>27180.568055262749</v>
      </c>
      <c r="I48" s="5">
        <f t="shared" si="17"/>
        <v>67443.839109712862</v>
      </c>
      <c r="J48" s="26">
        <f t="shared" si="5"/>
        <v>0.20691551902399935</v>
      </c>
      <c r="L48" s="22">
        <f t="shared" si="18"/>
        <v>64079.004726962223</v>
      </c>
      <c r="M48" s="5">
        <f>scrimecost*Meta!O45</f>
        <v>92.612000000000009</v>
      </c>
      <c r="N48" s="5">
        <f>L48-Grade15!L48</f>
        <v>715.4192737022895</v>
      </c>
      <c r="O48" s="5">
        <f>Grade15!M48-M48</f>
        <v>0.82200000000000273</v>
      </c>
      <c r="P48" s="22">
        <f t="shared" si="12"/>
        <v>59.438821564862138</v>
      </c>
      <c r="Q48" s="22"/>
      <c r="R48" s="22"/>
      <c r="S48" s="22">
        <f t="shared" si="19"/>
        <v>314.42247585332638</v>
      </c>
      <c r="T48" s="22">
        <f t="shared" si="20"/>
        <v>1248.6092812570591</v>
      </c>
    </row>
    <row r="49" spans="1:20" x14ac:dyDescent="0.2">
      <c r="A49" s="5">
        <v>58</v>
      </c>
      <c r="B49" s="1">
        <f t="shared" si="13"/>
        <v>2.4325353157178964</v>
      </c>
      <c r="C49" s="5">
        <f t="shared" si="14"/>
        <v>63413.128000402336</v>
      </c>
      <c r="D49" s="5">
        <f t="shared" si="15"/>
        <v>61261.537240384227</v>
      </c>
      <c r="E49" s="5">
        <f t="shared" si="1"/>
        <v>51761.537240384227</v>
      </c>
      <c r="F49" s="5">
        <f t="shared" si="2"/>
        <v>18928.045633023874</v>
      </c>
      <c r="G49" s="5">
        <f t="shared" si="3"/>
        <v>42333.491607360353</v>
      </c>
      <c r="H49" s="22">
        <f t="shared" si="16"/>
        <v>27860.08225664432</v>
      </c>
      <c r="I49" s="5">
        <f t="shared" si="17"/>
        <v>68939.870162455685</v>
      </c>
      <c r="J49" s="26">
        <f t="shared" si="5"/>
        <v>0.20909601495828123</v>
      </c>
      <c r="L49" s="22">
        <f t="shared" si="18"/>
        <v>65680.979845136273</v>
      </c>
      <c r="M49" s="5">
        <f>scrimecost*Meta!O46</f>
        <v>92.612000000000009</v>
      </c>
      <c r="N49" s="5">
        <f>L49-Grade15!L49</f>
        <v>733.3047555448502</v>
      </c>
      <c r="O49" s="5">
        <f>Grade15!M49-M49</f>
        <v>0.82200000000000273</v>
      </c>
      <c r="P49" s="22">
        <f t="shared" si="12"/>
        <v>60.862893432519598</v>
      </c>
      <c r="Q49" s="22"/>
      <c r="R49" s="22"/>
      <c r="S49" s="22">
        <f t="shared" si="19"/>
        <v>322.22961101055211</v>
      </c>
      <c r="T49" s="22">
        <f t="shared" si="20"/>
        <v>1329.5812876461837</v>
      </c>
    </row>
    <row r="50" spans="1:20" x14ac:dyDescent="0.2">
      <c r="A50" s="5">
        <v>59</v>
      </c>
      <c r="B50" s="1">
        <f t="shared" si="13"/>
        <v>2.4933486986108435</v>
      </c>
      <c r="C50" s="5">
        <f t="shared" si="14"/>
        <v>64998.456200412395</v>
      </c>
      <c r="D50" s="5">
        <f t="shared" si="15"/>
        <v>62775.525671393836</v>
      </c>
      <c r="E50" s="5">
        <f t="shared" si="1"/>
        <v>53275.525671393836</v>
      </c>
      <c r="F50" s="5">
        <f t="shared" si="2"/>
        <v>19573.76169884947</v>
      </c>
      <c r="G50" s="5">
        <f t="shared" si="3"/>
        <v>43201.763972544366</v>
      </c>
      <c r="H50" s="22">
        <f t="shared" si="16"/>
        <v>28556.584313060423</v>
      </c>
      <c r="I50" s="5">
        <f t="shared" si="17"/>
        <v>70473.301991517073</v>
      </c>
      <c r="J50" s="26">
        <f t="shared" si="5"/>
        <v>0.21122332806489769</v>
      </c>
      <c r="L50" s="22">
        <f t="shared" si="18"/>
        <v>67323.004341264677</v>
      </c>
      <c r="M50" s="5">
        <f>scrimecost*Meta!O47</f>
        <v>92.612000000000009</v>
      </c>
      <c r="N50" s="5">
        <f>L50-Grade15!L50</f>
        <v>751.63737443348509</v>
      </c>
      <c r="O50" s="5">
        <f>Grade15!M50-M50</f>
        <v>0.82200000000000273</v>
      </c>
      <c r="P50" s="22">
        <f t="shared" si="12"/>
        <v>62.322567096868497</v>
      </c>
      <c r="Q50" s="22"/>
      <c r="R50" s="22"/>
      <c r="S50" s="22">
        <f t="shared" si="19"/>
        <v>330.23192454671238</v>
      </c>
      <c r="T50" s="22">
        <f t="shared" si="20"/>
        <v>1415.8099963549514</v>
      </c>
    </row>
    <row r="51" spans="1:20" x14ac:dyDescent="0.2">
      <c r="A51" s="5">
        <v>60</v>
      </c>
      <c r="B51" s="1">
        <f t="shared" si="13"/>
        <v>2.555682416076114</v>
      </c>
      <c r="C51" s="5">
        <f t="shared" si="14"/>
        <v>66623.417605422685</v>
      </c>
      <c r="D51" s="5">
        <f t="shared" si="15"/>
        <v>64327.363813178665</v>
      </c>
      <c r="E51" s="5">
        <f t="shared" si="1"/>
        <v>54827.363813178665</v>
      </c>
      <c r="F51" s="5">
        <f t="shared" si="2"/>
        <v>20235.620666320701</v>
      </c>
      <c r="G51" s="5">
        <f t="shared" si="3"/>
        <v>44091.74314685796</v>
      </c>
      <c r="H51" s="22">
        <f t="shared" si="16"/>
        <v>29270.49892088693</v>
      </c>
      <c r="I51" s="5">
        <f t="shared" si="17"/>
        <v>72045.069616304972</v>
      </c>
      <c r="J51" s="26">
        <f t="shared" si="5"/>
        <v>0.2132987554859869</v>
      </c>
      <c r="L51" s="22">
        <f t="shared" si="18"/>
        <v>69006.079449796278</v>
      </c>
      <c r="M51" s="5">
        <f>scrimecost*Meta!O48</f>
        <v>46.306000000000004</v>
      </c>
      <c r="N51" s="5">
        <f>L51-Grade15!L51</f>
        <v>770.42830879430403</v>
      </c>
      <c r="O51" s="5">
        <f>Grade15!M51-M51</f>
        <v>0.41100000000000136</v>
      </c>
      <c r="P51" s="22">
        <f t="shared" si="12"/>
        <v>63.81873260282611</v>
      </c>
      <c r="Q51" s="22"/>
      <c r="R51" s="22"/>
      <c r="S51" s="22">
        <f t="shared" si="19"/>
        <v>338.16796792126445</v>
      </c>
      <c r="T51" s="22">
        <f t="shared" si="20"/>
        <v>1506.4504731054378</v>
      </c>
    </row>
    <row r="52" spans="1:20" x14ac:dyDescent="0.2">
      <c r="A52" s="5">
        <v>61</v>
      </c>
      <c r="B52" s="1">
        <f t="shared" si="13"/>
        <v>2.6195744764780171</v>
      </c>
      <c r="C52" s="5">
        <f t="shared" si="14"/>
        <v>68289.00304555826</v>
      </c>
      <c r="D52" s="5">
        <f t="shared" si="15"/>
        <v>65917.997908508143</v>
      </c>
      <c r="E52" s="5">
        <f t="shared" si="1"/>
        <v>56417.997908508143</v>
      </c>
      <c r="F52" s="5">
        <f t="shared" si="2"/>
        <v>20914.026107978723</v>
      </c>
      <c r="G52" s="5">
        <f t="shared" si="3"/>
        <v>45003.97180052942</v>
      </c>
      <c r="H52" s="22">
        <f t="shared" si="16"/>
        <v>30002.261393909102</v>
      </c>
      <c r="I52" s="5">
        <f t="shared" si="17"/>
        <v>73656.131431712609</v>
      </c>
      <c r="J52" s="26">
        <f t="shared" si="5"/>
        <v>0.215323562726074</v>
      </c>
      <c r="L52" s="22">
        <f t="shared" si="18"/>
        <v>70731.231436041184</v>
      </c>
      <c r="M52" s="5">
        <f>scrimecost*Meta!O49</f>
        <v>46.306000000000004</v>
      </c>
      <c r="N52" s="5">
        <f>L52-Grade15!L52</f>
        <v>789.68901651416672</v>
      </c>
      <c r="O52" s="5">
        <f>Grade15!M52-M52</f>
        <v>0.41100000000000136</v>
      </c>
      <c r="P52" s="22">
        <f t="shared" si="12"/>
        <v>65.352302246432671</v>
      </c>
      <c r="Q52" s="22"/>
      <c r="R52" s="22"/>
      <c r="S52" s="22">
        <f t="shared" si="19"/>
        <v>346.57539858018936</v>
      </c>
      <c r="T52" s="22">
        <f t="shared" si="20"/>
        <v>1604.1929125513925</v>
      </c>
    </row>
    <row r="53" spans="1:20" x14ac:dyDescent="0.2">
      <c r="A53" s="5">
        <v>62</v>
      </c>
      <c r="B53" s="1">
        <f t="shared" si="13"/>
        <v>2.6850638383899672</v>
      </c>
      <c r="C53" s="5">
        <f t="shared" si="14"/>
        <v>69996.228121697204</v>
      </c>
      <c r="D53" s="5">
        <f t="shared" si="15"/>
        <v>67548.397856220821</v>
      </c>
      <c r="E53" s="5">
        <f t="shared" si="1"/>
        <v>58048.397856220821</v>
      </c>
      <c r="F53" s="5">
        <f t="shared" si="2"/>
        <v>21609.39168567818</v>
      </c>
      <c r="G53" s="5">
        <f t="shared" si="3"/>
        <v>45939.006170542641</v>
      </c>
      <c r="H53" s="22">
        <f t="shared" si="16"/>
        <v>30752.317928756827</v>
      </c>
      <c r="I53" s="5">
        <f t="shared" si="17"/>
        <v>75307.469792505406</v>
      </c>
      <c r="J53" s="26">
        <f t="shared" si="5"/>
        <v>0.21729898442371987</v>
      </c>
      <c r="L53" s="22">
        <f t="shared" si="18"/>
        <v>72499.512221942219</v>
      </c>
      <c r="M53" s="5">
        <f>scrimecost*Meta!O50</f>
        <v>46.306000000000004</v>
      </c>
      <c r="N53" s="5">
        <f>L53-Grade15!L53</f>
        <v>809.43124192702817</v>
      </c>
      <c r="O53" s="5">
        <f>Grade15!M53-M53</f>
        <v>0.41100000000000136</v>
      </c>
      <c r="P53" s="22">
        <f t="shared" si="12"/>
        <v>66.924211131129383</v>
      </c>
      <c r="Q53" s="22"/>
      <c r="R53" s="22"/>
      <c r="S53" s="22">
        <f t="shared" si="19"/>
        <v>355.19301500558811</v>
      </c>
      <c r="T53" s="22">
        <f t="shared" si="20"/>
        <v>1708.2827288005799</v>
      </c>
    </row>
    <row r="54" spans="1:20" x14ac:dyDescent="0.2">
      <c r="A54" s="5">
        <v>63</v>
      </c>
      <c r="B54" s="1">
        <f t="shared" si="13"/>
        <v>2.7521904343497163</v>
      </c>
      <c r="C54" s="5">
        <f t="shared" si="14"/>
        <v>71746.133824739634</v>
      </c>
      <c r="D54" s="5">
        <f t="shared" si="15"/>
        <v>69219.557802626354</v>
      </c>
      <c r="E54" s="5">
        <f t="shared" si="1"/>
        <v>59719.557802626354</v>
      </c>
      <c r="F54" s="5">
        <f t="shared" si="2"/>
        <v>22322.14140282014</v>
      </c>
      <c r="G54" s="5">
        <f t="shared" si="3"/>
        <v>46897.416399806214</v>
      </c>
      <c r="H54" s="22">
        <f t="shared" si="16"/>
        <v>31521.125876975748</v>
      </c>
      <c r="I54" s="5">
        <f t="shared" si="17"/>
        <v>77000.09161231805</v>
      </c>
      <c r="J54" s="26">
        <f t="shared" si="5"/>
        <v>0.21922622510435008</v>
      </c>
      <c r="L54" s="22">
        <f t="shared" si="18"/>
        <v>74312.000027490765</v>
      </c>
      <c r="M54" s="5">
        <f>scrimecost*Meta!O51</f>
        <v>46.306000000000004</v>
      </c>
      <c r="N54" s="5">
        <f>L54-Grade15!L54</f>
        <v>829.66702297520533</v>
      </c>
      <c r="O54" s="5">
        <f>Grade15!M54-M54</f>
        <v>0.41100000000000136</v>
      </c>
      <c r="P54" s="22">
        <f t="shared" si="12"/>
        <v>68.535417737943547</v>
      </c>
      <c r="Q54" s="22"/>
      <c r="R54" s="22"/>
      <c r="S54" s="22">
        <f t="shared" si="19"/>
        <v>364.02607184161963</v>
      </c>
      <c r="T54" s="22">
        <f t="shared" si="20"/>
        <v>1819.1323382427063</v>
      </c>
    </row>
    <row r="55" spans="1:20" x14ac:dyDescent="0.2">
      <c r="A55" s="5">
        <v>64</v>
      </c>
      <c r="B55" s="1">
        <f t="shared" si="13"/>
        <v>2.8209951952084591</v>
      </c>
      <c r="C55" s="5">
        <f t="shared" si="14"/>
        <v>73539.787170358119</v>
      </c>
      <c r="D55" s="5">
        <f t="shared" si="15"/>
        <v>70932.496747691999</v>
      </c>
      <c r="E55" s="5">
        <f t="shared" si="1"/>
        <v>61432.496747691999</v>
      </c>
      <c r="F55" s="5">
        <f t="shared" si="2"/>
        <v>23052.709862890635</v>
      </c>
      <c r="G55" s="5">
        <f t="shared" si="3"/>
        <v>47879.78688480136</v>
      </c>
      <c r="H55" s="22">
        <f t="shared" si="16"/>
        <v>32309.154023900137</v>
      </c>
      <c r="I55" s="5">
        <f t="shared" si="17"/>
        <v>78735.028977625989</v>
      </c>
      <c r="J55" s="26">
        <f t="shared" si="5"/>
        <v>0.22110645991472089</v>
      </c>
      <c r="L55" s="22">
        <f t="shared" si="18"/>
        <v>76169.800028178026</v>
      </c>
      <c r="M55" s="5">
        <f>scrimecost*Meta!O52</f>
        <v>46.306000000000004</v>
      </c>
      <c r="N55" s="5">
        <f>L55-Grade15!L55</f>
        <v>850.40869854956691</v>
      </c>
      <c r="O55" s="5">
        <f>Grade15!M55-M55</f>
        <v>0.41100000000000136</v>
      </c>
      <c r="P55" s="22">
        <f t="shared" si="12"/>
        <v>70.186904509928013</v>
      </c>
      <c r="Q55" s="22"/>
      <c r="R55" s="22"/>
      <c r="S55" s="22">
        <f t="shared" si="19"/>
        <v>373.07995509854419</v>
      </c>
      <c r="T55" s="22">
        <f t="shared" si="20"/>
        <v>1937.180962293125</v>
      </c>
    </row>
    <row r="56" spans="1:20" x14ac:dyDescent="0.2">
      <c r="A56" s="5">
        <v>65</v>
      </c>
      <c r="B56" s="1">
        <f t="shared" si="13"/>
        <v>2.8915200750886707</v>
      </c>
      <c r="C56" s="5">
        <f t="shared" si="14"/>
        <v>75378.28184961708</v>
      </c>
      <c r="D56" s="5">
        <f t="shared" si="15"/>
        <v>72688.259166384305</v>
      </c>
      <c r="E56" s="5">
        <f t="shared" si="1"/>
        <v>63188.259166384305</v>
      </c>
      <c r="F56" s="5">
        <f t="shared" si="2"/>
        <v>23801.542534462904</v>
      </c>
      <c r="G56" s="5">
        <f t="shared" si="3"/>
        <v>48886.716631921401</v>
      </c>
      <c r="H56" s="22">
        <f t="shared" si="16"/>
        <v>33116.882874497642</v>
      </c>
      <c r="I56" s="5">
        <f t="shared" si="17"/>
        <v>80513.339777066649</v>
      </c>
      <c r="J56" s="26">
        <f t="shared" si="5"/>
        <v>0.22294083533947295</v>
      </c>
      <c r="L56" s="22">
        <f t="shared" si="18"/>
        <v>78074.04502888248</v>
      </c>
      <c r="M56" s="5">
        <f>scrimecost*Meta!O53</f>
        <v>12.843999999999999</v>
      </c>
      <c r="N56" s="5">
        <f>L56-Grade15!L56</f>
        <v>871.66891601332463</v>
      </c>
      <c r="O56" s="5">
        <f>Grade15!M56-M56</f>
        <v>0.11400000000000077</v>
      </c>
      <c r="P56" s="22">
        <f t="shared" si="12"/>
        <v>71.879678451212115</v>
      </c>
      <c r="Q56" s="22"/>
      <c r="R56" s="22"/>
      <c r="S56" s="22">
        <f t="shared" si="19"/>
        <v>382.16772943690631</v>
      </c>
      <c r="T56" s="22">
        <f t="shared" si="20"/>
        <v>2061.8580380060093</v>
      </c>
    </row>
    <row r="57" spans="1:20" x14ac:dyDescent="0.2">
      <c r="A57" s="5">
        <v>66</v>
      </c>
      <c r="C57" s="5"/>
      <c r="H57" s="21"/>
      <c r="I57" s="5"/>
      <c r="M57" s="5">
        <f>scrimecost*Meta!O54</f>
        <v>12.843999999999999</v>
      </c>
      <c r="N57" s="5">
        <f>L57-Grade15!L57</f>
        <v>0</v>
      </c>
      <c r="O57" s="5">
        <f>Grade15!M57-M57</f>
        <v>0.11400000000000077</v>
      </c>
      <c r="Q57" s="22"/>
      <c r="R57" s="22"/>
      <c r="S57" s="22">
        <f t="shared" si="19"/>
        <v>7.3872000000000493E-2</v>
      </c>
      <c r="T57" s="22">
        <f t="shared" si="20"/>
        <v>0.41411510975897792</v>
      </c>
    </row>
    <row r="58" spans="1:20" x14ac:dyDescent="0.2">
      <c r="A58" s="5">
        <v>67</v>
      </c>
      <c r="C58" s="5"/>
      <c r="H58" s="21"/>
      <c r="I58" s="5"/>
      <c r="M58" s="5">
        <f>scrimecost*Meta!O55</f>
        <v>12.843999999999999</v>
      </c>
      <c r="N58" s="5">
        <f>L58-Grade15!L58</f>
        <v>0</v>
      </c>
      <c r="O58" s="5">
        <f>Grade15!M58-M58</f>
        <v>0.11400000000000077</v>
      </c>
      <c r="Q58" s="22"/>
      <c r="R58" s="22"/>
      <c r="S58" s="22">
        <f t="shared" si="19"/>
        <v>7.3872000000000493E-2</v>
      </c>
      <c r="T58" s="22">
        <f t="shared" si="20"/>
        <v>0.4302863294203863</v>
      </c>
    </row>
    <row r="59" spans="1:20" x14ac:dyDescent="0.2">
      <c r="A59" s="5">
        <v>68</v>
      </c>
      <c r="H59" s="21"/>
      <c r="I59" s="5"/>
      <c r="M59" s="5">
        <f>scrimecost*Meta!O56</f>
        <v>12.843999999999999</v>
      </c>
      <c r="N59" s="5">
        <f>L59-Grade15!L59</f>
        <v>0</v>
      </c>
      <c r="O59" s="5">
        <f>Grade15!M59-M59</f>
        <v>0.11400000000000077</v>
      </c>
      <c r="Q59" s="22"/>
      <c r="R59" s="22"/>
      <c r="S59" s="22">
        <f t="shared" si="19"/>
        <v>7.3872000000000493E-2</v>
      </c>
      <c r="T59" s="22">
        <f t="shared" si="20"/>
        <v>0.447089036171193</v>
      </c>
    </row>
    <row r="60" spans="1:20" x14ac:dyDescent="0.2">
      <c r="A60" s="5">
        <v>69</v>
      </c>
      <c r="H60" s="21"/>
      <c r="I60" s="5"/>
      <c r="M60" s="5">
        <f>scrimecost*Meta!O57</f>
        <v>12.843999999999999</v>
      </c>
      <c r="N60" s="5">
        <f>L60-Grade15!L60</f>
        <v>0</v>
      </c>
      <c r="O60" s="5">
        <f>Grade15!M60-M60</f>
        <v>0.11400000000000077</v>
      </c>
      <c r="Q60" s="22"/>
      <c r="R60" s="22"/>
      <c r="S60" s="22">
        <f t="shared" si="19"/>
        <v>7.3872000000000493E-2</v>
      </c>
      <c r="T60" s="22">
        <f t="shared" si="20"/>
        <v>0.46454788961979004</v>
      </c>
    </row>
    <row r="61" spans="1:20" x14ac:dyDescent="0.2">
      <c r="A61" s="5">
        <v>70</v>
      </c>
      <c r="H61" s="21"/>
      <c r="I61" s="5"/>
      <c r="M61" s="5">
        <f>scrimecost*Meta!O58</f>
        <v>12.843999999999999</v>
      </c>
      <c r="N61" s="5">
        <f>L61-Grade15!L61</f>
        <v>0</v>
      </c>
      <c r="O61" s="5">
        <f>Grade15!M61-M61</f>
        <v>0.11400000000000077</v>
      </c>
      <c r="Q61" s="22"/>
      <c r="R61" s="22"/>
      <c r="S61" s="22">
        <f t="shared" si="19"/>
        <v>7.3872000000000493E-2</v>
      </c>
      <c r="T61" s="22">
        <f t="shared" si="20"/>
        <v>0.48268851233374416</v>
      </c>
    </row>
    <row r="62" spans="1:20" x14ac:dyDescent="0.2">
      <c r="A62" s="5">
        <v>71</v>
      </c>
      <c r="H62" s="21"/>
      <c r="I62" s="5"/>
      <c r="M62" s="5">
        <f>scrimecost*Meta!O59</f>
        <v>12.843999999999999</v>
      </c>
      <c r="N62" s="5">
        <f>L62-Grade15!L62</f>
        <v>0</v>
      </c>
      <c r="O62" s="5">
        <f>Grade15!M62-M62</f>
        <v>0.11400000000000077</v>
      </c>
      <c r="Q62" s="22"/>
      <c r="R62" s="22"/>
      <c r="S62" s="22">
        <f t="shared" si="19"/>
        <v>7.3872000000000493E-2</v>
      </c>
      <c r="T62" s="22">
        <f t="shared" si="20"/>
        <v>0.50153752744340874</v>
      </c>
    </row>
    <row r="63" spans="1:20" x14ac:dyDescent="0.2">
      <c r="A63" s="5">
        <v>72</v>
      </c>
      <c r="H63" s="21"/>
      <c r="M63" s="5">
        <f>scrimecost*Meta!O60</f>
        <v>12.843999999999999</v>
      </c>
      <c r="N63" s="5">
        <f>L63-Grade15!L63</f>
        <v>0</v>
      </c>
      <c r="O63" s="5">
        <f>Grade15!M63-M63</f>
        <v>0.11400000000000077</v>
      </c>
      <c r="Q63" s="22"/>
      <c r="R63" s="22"/>
      <c r="S63" s="22">
        <f t="shared" si="19"/>
        <v>7.3872000000000493E-2</v>
      </c>
      <c r="T63" s="22">
        <f t="shared" si="20"/>
        <v>0.52112259771396097</v>
      </c>
    </row>
    <row r="64" spans="1:20" x14ac:dyDescent="0.2">
      <c r="A64" s="5">
        <v>73</v>
      </c>
      <c r="H64" s="21"/>
      <c r="M64" s="5">
        <f>scrimecost*Meta!O61</f>
        <v>12.843999999999999</v>
      </c>
      <c r="N64" s="5">
        <f>L64-Grade15!L64</f>
        <v>0</v>
      </c>
      <c r="O64" s="5">
        <f>Grade15!M64-M64</f>
        <v>0.11400000000000077</v>
      </c>
      <c r="Q64" s="22"/>
      <c r="R64" s="22"/>
      <c r="S64" s="22">
        <f t="shared" si="19"/>
        <v>7.3872000000000493E-2</v>
      </c>
      <c r="T64" s="22">
        <f t="shared" si="20"/>
        <v>0.54147246614320266</v>
      </c>
    </row>
    <row r="65" spans="1:20" x14ac:dyDescent="0.2">
      <c r="A65" s="5">
        <v>74</v>
      </c>
      <c r="H65" s="21"/>
      <c r="M65" s="5">
        <f>scrimecost*Meta!O62</f>
        <v>12.843999999999999</v>
      </c>
      <c r="N65" s="5">
        <f>L65-Grade15!L65</f>
        <v>0</v>
      </c>
      <c r="O65" s="5">
        <f>Grade15!M65-M65</f>
        <v>0.11400000000000077</v>
      </c>
      <c r="Q65" s="22"/>
      <c r="R65" s="22"/>
      <c r="S65" s="22">
        <f t="shared" si="19"/>
        <v>7.3872000000000493E-2</v>
      </c>
      <c r="T65" s="22">
        <f t="shared" si="20"/>
        <v>0.56261699814470956</v>
      </c>
    </row>
    <row r="66" spans="1:20" x14ac:dyDescent="0.2">
      <c r="A66" s="5">
        <v>75</v>
      </c>
      <c r="H66" s="21"/>
      <c r="M66" s="5">
        <f>scrimecost*Meta!O63</f>
        <v>12.843999999999999</v>
      </c>
      <c r="N66" s="5">
        <f>L66-Grade15!L66</f>
        <v>0</v>
      </c>
      <c r="O66" s="5">
        <f>Grade15!M66-M66</f>
        <v>0.11400000000000077</v>
      </c>
      <c r="Q66" s="22"/>
      <c r="R66" s="22"/>
      <c r="S66" s="22">
        <f t="shared" si="19"/>
        <v>7.3872000000000493E-2</v>
      </c>
      <c r="T66" s="22">
        <f t="shared" si="20"/>
        <v>0.58458722537823304</v>
      </c>
    </row>
    <row r="67" spans="1:20" x14ac:dyDescent="0.2">
      <c r="A67" s="5">
        <v>76</v>
      </c>
      <c r="H67" s="21"/>
      <c r="M67" s="5">
        <f>scrimecost*Meta!O64</f>
        <v>12.843999999999999</v>
      </c>
      <c r="N67" s="5">
        <f>L67-Grade15!L67</f>
        <v>0</v>
      </c>
      <c r="O67" s="5">
        <f>Grade15!M67-M67</f>
        <v>0.11400000000000077</v>
      </c>
      <c r="Q67" s="22"/>
      <c r="R67" s="22"/>
      <c r="S67" s="22">
        <f t="shared" si="19"/>
        <v>7.3872000000000493E-2</v>
      </c>
      <c r="T67" s="22">
        <f t="shared" si="20"/>
        <v>0.60741539129168343</v>
      </c>
    </row>
    <row r="68" spans="1:20" x14ac:dyDescent="0.2">
      <c r="A68" s="5">
        <v>77</v>
      </c>
      <c r="H68" s="21"/>
      <c r="M68" s="5">
        <f>scrimecost*Meta!O65</f>
        <v>12.843999999999999</v>
      </c>
      <c r="N68" s="5">
        <f>L68-Grade15!L68</f>
        <v>0</v>
      </c>
      <c r="O68" s="5">
        <f>Grade15!M68-M68</f>
        <v>0.11400000000000077</v>
      </c>
      <c r="Q68" s="22"/>
      <c r="R68" s="22"/>
      <c r="S68" s="22">
        <f t="shared" si="19"/>
        <v>7.3872000000000493E-2</v>
      </c>
      <c r="T68" s="22">
        <f t="shared" si="20"/>
        <v>0.63113499844152898</v>
      </c>
    </row>
    <row r="69" spans="1:20" x14ac:dyDescent="0.2">
      <c r="A69" s="5">
        <v>78</v>
      </c>
      <c r="H69" s="21"/>
      <c r="M69" s="5">
        <f>scrimecost*Meta!O66</f>
        <v>12.843999999999999</v>
      </c>
      <c r="N69" s="5">
        <f>L69-Grade15!L69</f>
        <v>0</v>
      </c>
      <c r="O69" s="5">
        <f>Grade15!M69-M69</f>
        <v>0.11400000000000077</v>
      </c>
      <c r="Q69" s="22"/>
      <c r="R69" s="22"/>
      <c r="S69" s="22">
        <f t="shared" si="19"/>
        <v>7.3872000000000493E-2</v>
      </c>
      <c r="T69" s="22">
        <f t="shared" si="20"/>
        <v>0.65578085766106053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1.6054291229750106E-10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S14" sqref="S14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Meta!A11+6</f>
        <v>23</v>
      </c>
      <c r="C2" s="7">
        <f>Meta!B11</f>
        <v>47332</v>
      </c>
      <c r="D2" s="7">
        <f>Meta!C11</f>
        <v>20713</v>
      </c>
      <c r="E2" s="1">
        <f>Meta!D11</f>
        <v>4.3999999999999997E-2</v>
      </c>
      <c r="F2" s="1">
        <f>Meta!F11</f>
        <v>0.64700000000000002</v>
      </c>
      <c r="G2" s="1">
        <f>Meta!I11</f>
        <v>1.7595535582220223</v>
      </c>
      <c r="H2" s="1">
        <f>Meta!E11</f>
        <v>0.36299999999999999</v>
      </c>
      <c r="I2" s="13"/>
      <c r="J2" s="1">
        <f>Meta!X10</f>
        <v>0.59399999999999997</v>
      </c>
      <c r="K2" s="1">
        <f>Meta!D10</f>
        <v>4.4999999999999998E-2</v>
      </c>
      <c r="L2" s="29"/>
      <c r="N2" s="22">
        <f>Meta!T11</f>
        <v>35571</v>
      </c>
      <c r="O2" s="22">
        <f>Meta!U11</f>
        <v>16118</v>
      </c>
      <c r="P2" s="1">
        <f>Meta!V11</f>
        <v>5.6000000000000001E-2</v>
      </c>
      <c r="Q2" s="1">
        <f>Meta!X11</f>
        <v>0.59399999999999997</v>
      </c>
      <c r="R2" s="22">
        <f>Meta!W11</f>
        <v>338</v>
      </c>
      <c r="T2" s="12">
        <f>IRR(S5:S69)+1</f>
        <v>0.89361145979381751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6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C12" s="5"/>
      <c r="D12" s="5"/>
      <c r="E12" s="5"/>
      <c r="F12" s="5"/>
      <c r="G12" s="5"/>
      <c r="H12" s="22"/>
      <c r="I12" s="5"/>
      <c r="J12" s="26"/>
      <c r="L12" s="22"/>
      <c r="M12" s="5"/>
      <c r="N12" s="5"/>
      <c r="O12" s="5"/>
      <c r="P12" s="22"/>
      <c r="Q12" s="22"/>
      <c r="R12" s="22"/>
      <c r="S12" s="22"/>
      <c r="T12" s="22"/>
    </row>
    <row r="13" spans="1:20" x14ac:dyDescent="0.2">
      <c r="A13" s="5">
        <v>22</v>
      </c>
      <c r="B13" s="1">
        <v>1</v>
      </c>
      <c r="C13" s="5">
        <f>0.1*Grade16!C13</f>
        <v>2606.8738895857587</v>
      </c>
      <c r="D13" s="5">
        <f t="shared" ref="D13:D36" si="0">IF(A13&lt;startage,1,0)*(C13*(1-initialunempprob))+IF(A13=startage,1,0)*(C13*(1-unempprob))+IF(A13&gt;startage,1,0)*(C13*(1-unempprob)+unempprob*300*52)</f>
        <v>2489.5645645543996</v>
      </c>
      <c r="E13" s="5">
        <f t="shared" ref="E13:E56" si="1">IF(D13-9500&gt;0,1,0)*(D13-9500)</f>
        <v>0</v>
      </c>
      <c r="F13" s="5">
        <f t="shared" ref="F13:F56" si="2">IF(E13&lt;=8500,1,0)*(0.1*E13+0.1*E13+0.0765*D13)+IF(AND(E13&gt;8500,E13&lt;=34500),1,0)*(850+0.15*(E13-8500)+0.1*E13+0.0765*D13)+IF(AND(E13&gt;34500,E13&lt;=83600),1,0)*(4750+0.25*(E13-34500)+0.1*E13+0.0765*D13)+IF(AND(E13&gt;83600,E13&lt;=174400,D13&lt;=106800),1,0)*(17025+0.28*(E13-83600)+0.1*E13+0.0765*D13)+IF(AND(E13&gt;83600,E13&lt;=174400,D13&gt;106800),1,0)*(17025+0.28*(E13-83600)+0.1*E13+8170.2+0.0145*(D13-106800))+IF(AND(E13&gt;174400,E13&lt;=379150),1,0)*(42449+0.33*(E13-174400)+0.1*E13+8170.2+0.0145*(D13-106800))+IF(E13&gt;379150,1,0)*(110016.5+0.35*(E13-379150)+0.1*E13+8170.2+0.0145*(D13-106800))</f>
        <v>190.45168918841156</v>
      </c>
      <c r="G13" s="5">
        <f t="shared" ref="G13:G56" si="3">D13-F13</f>
        <v>2299.1128753659882</v>
      </c>
      <c r="H13" s="22">
        <f>0.1*Grade16!H13</f>
        <v>1145.3104946360122</v>
      </c>
      <c r="I13" s="5">
        <f t="shared" ref="I13:I36" si="4">G13+IF(A13&lt;startage,1,0)*(H13*(1-initialunempprob))+IF(A13&gt;=startage,1,0)*(H13*(1-unempprob))</f>
        <v>3392.8843977433798</v>
      </c>
      <c r="J13" s="26">
        <f t="shared" ref="J13:J56" si="5">(F13-(IF(A13&gt;startage,1,0)*(unempprob*300*52)))/(IF(A13&lt;startage,1,0)*((C13+H13)*(1-initialunempprob))+IF(A13&gt;=startage,1,0)*((C13+H13)*(1-unempprob)))</f>
        <v>5.3149267768372969E-2</v>
      </c>
      <c r="L13" s="22">
        <f>0.1*Grade16!L13</f>
        <v>2700.1038554604638</v>
      </c>
      <c r="M13" s="5">
        <f>scrimecost*Meta!O10</f>
        <v>970.39800000000002</v>
      </c>
      <c r="N13" s="5">
        <f>L13-Grade16!L13</f>
        <v>-24300.934699144171</v>
      </c>
      <c r="O13" s="5"/>
      <c r="P13" s="22"/>
      <c r="Q13" s="22">
        <f>0.05*feel*Grade16!G13</f>
        <v>273.94104279183438</v>
      </c>
      <c r="R13" s="22">
        <f>coltuition</f>
        <v>8279</v>
      </c>
      <c r="S13" s="22">
        <f t="shared" ref="S13:S44" si="6">IF(A13&lt;startage,1,0)*(N13-Q13-R13)+IF(A13&gt;=startage,1,0)*completionprob*(N13*spart+O13+P13)</f>
        <v>-32853.875741936004</v>
      </c>
      <c r="T13" s="22">
        <f t="shared" ref="T13:T44" si="7">S13/sreturn^(A13-startage+1)</f>
        <v>-32853.875741936004</v>
      </c>
    </row>
    <row r="14" spans="1:20" x14ac:dyDescent="0.2">
      <c r="A14" s="5">
        <v>23</v>
      </c>
      <c r="B14" s="1">
        <f t="shared" ref="B14:B36" si="8">(1+experiencepremium)^(A14-startage)</f>
        <v>1</v>
      </c>
      <c r="C14" s="5">
        <f t="shared" ref="C14:C36" si="9">pretaxincome*B14/expnorm</f>
        <v>26900.005276240416</v>
      </c>
      <c r="D14" s="5">
        <f t="shared" si="0"/>
        <v>25716.405044085837</v>
      </c>
      <c r="E14" s="5">
        <f t="shared" si="1"/>
        <v>16216.405044085837</v>
      </c>
      <c r="F14" s="5">
        <f t="shared" si="2"/>
        <v>5596.4062468940256</v>
      </c>
      <c r="G14" s="5">
        <f t="shared" si="3"/>
        <v>20119.998797191813</v>
      </c>
      <c r="H14" s="22">
        <f t="shared" ref="H14:H36" si="10">benefits*B14/expnorm</f>
        <v>11771.736019749171</v>
      </c>
      <c r="I14" s="5">
        <f t="shared" si="4"/>
        <v>31373.77843207202</v>
      </c>
      <c r="J14" s="26">
        <f t="shared" si="5"/>
        <v>0.15137620478477259</v>
      </c>
      <c r="L14" s="22">
        <f t="shared" ref="L14:L36" si="11">(sincome+sbenefits)*(1-sunemp)*B14/expnorm</f>
        <v>27731.134282326329</v>
      </c>
      <c r="M14" s="5">
        <f>scrimecost*Meta!O11</f>
        <v>908.2059999999999</v>
      </c>
      <c r="N14" s="5">
        <f>L14-Grade16!L14</f>
        <v>55.069763856579812</v>
      </c>
      <c r="O14" s="5">
        <f>Grade16!M14-M14</f>
        <v>0</v>
      </c>
      <c r="P14" s="22">
        <f t="shared" ref="P14:P56" si="12">(spart-initialspart)*(L14*J14+nptrans)</f>
        <v>0</v>
      </c>
      <c r="Q14" s="22"/>
      <c r="R14" s="22"/>
      <c r="S14" s="22">
        <f t="shared" si="6"/>
        <v>11.874252622283452</v>
      </c>
      <c r="T14" s="22">
        <f t="shared" si="7"/>
        <v>13.287936823262307</v>
      </c>
    </row>
    <row r="15" spans="1:20" x14ac:dyDescent="0.2">
      <c r="A15" s="5">
        <v>24</v>
      </c>
      <c r="B15" s="1">
        <f t="shared" si="8"/>
        <v>1.0249999999999999</v>
      </c>
      <c r="C15" s="5">
        <f t="shared" si="9"/>
        <v>27572.505408146426</v>
      </c>
      <c r="D15" s="5">
        <f t="shared" si="0"/>
        <v>27045.715170187985</v>
      </c>
      <c r="E15" s="5">
        <f t="shared" si="1"/>
        <v>17545.715170187985</v>
      </c>
      <c r="F15" s="5">
        <f t="shared" si="2"/>
        <v>6030.4260030663772</v>
      </c>
      <c r="G15" s="5">
        <f t="shared" si="3"/>
        <v>21015.289167121606</v>
      </c>
      <c r="H15" s="22">
        <f t="shared" si="10"/>
        <v>12066.029420242898</v>
      </c>
      <c r="I15" s="5">
        <f t="shared" si="4"/>
        <v>32550.413292873818</v>
      </c>
      <c r="J15" s="26">
        <f t="shared" si="5"/>
        <v>0.14102401572251017</v>
      </c>
      <c r="L15" s="22">
        <f t="shared" si="11"/>
        <v>28424.412639384485</v>
      </c>
      <c r="M15" s="5">
        <f>scrimecost*Meta!O12</f>
        <v>869.67399999999998</v>
      </c>
      <c r="N15" s="5">
        <f>L15-Grade16!L15</f>
        <v>56.446507952990942</v>
      </c>
      <c r="O15" s="5">
        <f>Grade16!M15-M15</f>
        <v>0</v>
      </c>
      <c r="P15" s="22">
        <f t="shared" si="12"/>
        <v>0</v>
      </c>
      <c r="Q15" s="22"/>
      <c r="R15" s="22"/>
      <c r="S15" s="22">
        <f t="shared" si="6"/>
        <v>12.171108937839811</v>
      </c>
      <c r="T15" s="22">
        <f t="shared" si="7"/>
        <v>15.241674773268484</v>
      </c>
    </row>
    <row r="16" spans="1:20" x14ac:dyDescent="0.2">
      <c r="A16" s="5">
        <v>25</v>
      </c>
      <c r="B16" s="1">
        <f t="shared" si="8"/>
        <v>1.0506249999999999</v>
      </c>
      <c r="C16" s="5">
        <f t="shared" si="9"/>
        <v>28261.818043350086</v>
      </c>
      <c r="D16" s="5">
        <f t="shared" si="0"/>
        <v>27704.698049442683</v>
      </c>
      <c r="E16" s="5">
        <f t="shared" si="1"/>
        <v>18204.698049442683</v>
      </c>
      <c r="F16" s="5">
        <f t="shared" si="2"/>
        <v>6245.5839131430357</v>
      </c>
      <c r="G16" s="5">
        <f t="shared" si="3"/>
        <v>21459.114136299646</v>
      </c>
      <c r="H16" s="22">
        <f t="shared" si="10"/>
        <v>12367.680155748973</v>
      </c>
      <c r="I16" s="5">
        <f t="shared" si="4"/>
        <v>33282.616365195659</v>
      </c>
      <c r="J16" s="26">
        <f t="shared" si="5"/>
        <v>0.14312374486522661</v>
      </c>
      <c r="L16" s="22">
        <f t="shared" si="11"/>
        <v>29135.022955369095</v>
      </c>
      <c r="M16" s="5">
        <f>scrimecost*Meta!O13</f>
        <v>736.16399999999999</v>
      </c>
      <c r="N16" s="5">
        <f>L16-Grade16!L16</f>
        <v>57.857670651817898</v>
      </c>
      <c r="O16" s="5">
        <f>Grade16!M16-M16</f>
        <v>0</v>
      </c>
      <c r="P16" s="22">
        <f t="shared" si="12"/>
        <v>0</v>
      </c>
      <c r="Q16" s="22"/>
      <c r="R16" s="22"/>
      <c r="S16" s="22">
        <f t="shared" si="6"/>
        <v>12.475386661286278</v>
      </c>
      <c r="T16" s="22">
        <f t="shared" si="7"/>
        <v>17.482672666491325</v>
      </c>
    </row>
    <row r="17" spans="1:20" x14ac:dyDescent="0.2">
      <c r="A17" s="5">
        <v>26</v>
      </c>
      <c r="B17" s="1">
        <f t="shared" si="8"/>
        <v>1.0768906249999999</v>
      </c>
      <c r="C17" s="5">
        <f t="shared" si="9"/>
        <v>28968.363494433834</v>
      </c>
      <c r="D17" s="5">
        <f t="shared" si="0"/>
        <v>28380.155500678746</v>
      </c>
      <c r="E17" s="5">
        <f t="shared" si="1"/>
        <v>18880.155500678746</v>
      </c>
      <c r="F17" s="5">
        <f t="shared" si="2"/>
        <v>6466.1207709716109</v>
      </c>
      <c r="G17" s="5">
        <f t="shared" si="3"/>
        <v>21914.034729707135</v>
      </c>
      <c r="H17" s="22">
        <f t="shared" si="10"/>
        <v>12676.872159642697</v>
      </c>
      <c r="I17" s="5">
        <f t="shared" si="4"/>
        <v>34033.124514325551</v>
      </c>
      <c r="J17" s="26">
        <f t="shared" si="5"/>
        <v>0.14517226110202316</v>
      </c>
      <c r="L17" s="22">
        <f t="shared" si="11"/>
        <v>29863.398529253322</v>
      </c>
      <c r="M17" s="5">
        <f>scrimecost*Meta!O14</f>
        <v>736.16399999999999</v>
      </c>
      <c r="N17" s="5">
        <f>L17-Grade16!L17</f>
        <v>59.304112418114528</v>
      </c>
      <c r="O17" s="5">
        <f>Grade16!M17-M17</f>
        <v>0</v>
      </c>
      <c r="P17" s="22">
        <f t="shared" si="12"/>
        <v>0</v>
      </c>
      <c r="Q17" s="22"/>
      <c r="R17" s="22"/>
      <c r="S17" s="22">
        <f t="shared" si="6"/>
        <v>12.78727132781869</v>
      </c>
      <c r="T17" s="22">
        <f t="shared" si="7"/>
        <v>20.053166604744057</v>
      </c>
    </row>
    <row r="18" spans="1:20" x14ac:dyDescent="0.2">
      <c r="A18" s="5">
        <v>27</v>
      </c>
      <c r="B18" s="1">
        <f t="shared" si="8"/>
        <v>1.1038128906249998</v>
      </c>
      <c r="C18" s="5">
        <f t="shared" si="9"/>
        <v>29692.57258179468</v>
      </c>
      <c r="D18" s="5">
        <f t="shared" si="0"/>
        <v>29072.499388195716</v>
      </c>
      <c r="E18" s="5">
        <f t="shared" si="1"/>
        <v>19572.499388195716</v>
      </c>
      <c r="F18" s="5">
        <f t="shared" si="2"/>
        <v>6692.1710502459009</v>
      </c>
      <c r="G18" s="5">
        <f t="shared" si="3"/>
        <v>22380.328337949817</v>
      </c>
      <c r="H18" s="22">
        <f t="shared" si="10"/>
        <v>12993.793963633763</v>
      </c>
      <c r="I18" s="5">
        <f t="shared" si="4"/>
        <v>34802.395367183693</v>
      </c>
      <c r="J18" s="26">
        <f t="shared" si="5"/>
        <v>0.14717081352816613</v>
      </c>
      <c r="L18" s="22">
        <f t="shared" si="11"/>
        <v>30609.983492484655</v>
      </c>
      <c r="M18" s="5">
        <f>scrimecost*Meta!O15</f>
        <v>736.16399999999999</v>
      </c>
      <c r="N18" s="5">
        <f>L18-Grade16!L18</f>
        <v>60.786715228568937</v>
      </c>
      <c r="O18" s="5">
        <f>Grade16!M18-M18</f>
        <v>0</v>
      </c>
      <c r="P18" s="22">
        <f t="shared" si="12"/>
        <v>0</v>
      </c>
      <c r="Q18" s="22"/>
      <c r="R18" s="22"/>
      <c r="S18" s="22">
        <f t="shared" si="6"/>
        <v>13.106953111014491</v>
      </c>
      <c r="T18" s="22">
        <f t="shared" si="7"/>
        <v>23.001602703937692</v>
      </c>
    </row>
    <row r="19" spans="1:20" x14ac:dyDescent="0.2">
      <c r="A19" s="5">
        <v>28</v>
      </c>
      <c r="B19" s="1">
        <f t="shared" si="8"/>
        <v>1.1314082128906247</v>
      </c>
      <c r="C19" s="5">
        <f t="shared" si="9"/>
        <v>30434.886896339543</v>
      </c>
      <c r="D19" s="5">
        <f t="shared" si="0"/>
        <v>29782.151872900602</v>
      </c>
      <c r="E19" s="5">
        <f t="shared" si="1"/>
        <v>20282.151872900602</v>
      </c>
      <c r="F19" s="5">
        <f t="shared" si="2"/>
        <v>6923.872586502046</v>
      </c>
      <c r="G19" s="5">
        <f t="shared" si="3"/>
        <v>22858.279286398556</v>
      </c>
      <c r="H19" s="22">
        <f t="shared" si="10"/>
        <v>13318.638812724605</v>
      </c>
      <c r="I19" s="5">
        <f t="shared" si="4"/>
        <v>35590.897991363279</v>
      </c>
      <c r="J19" s="26">
        <f t="shared" si="5"/>
        <v>0.14912062077318361</v>
      </c>
      <c r="L19" s="22">
        <f t="shared" si="11"/>
        <v>31375.233079796766</v>
      </c>
      <c r="M19" s="5">
        <f>scrimecost*Meta!O16</f>
        <v>736.16399999999999</v>
      </c>
      <c r="N19" s="5">
        <f>L19-Grade16!L19</f>
        <v>62.30638310928407</v>
      </c>
      <c r="O19" s="5">
        <f>Grade16!M19-M19</f>
        <v>0</v>
      </c>
      <c r="P19" s="22">
        <f t="shared" si="12"/>
        <v>0</v>
      </c>
      <c r="Q19" s="22"/>
      <c r="R19" s="22"/>
      <c r="S19" s="22">
        <f t="shared" si="6"/>
        <v>13.434626938790048</v>
      </c>
      <c r="T19" s="22">
        <f t="shared" si="7"/>
        <v>26.383550158338732</v>
      </c>
    </row>
    <row r="20" spans="1:20" x14ac:dyDescent="0.2">
      <c r="A20" s="5">
        <v>29</v>
      </c>
      <c r="B20" s="1">
        <f t="shared" si="8"/>
        <v>1.1596934182128902</v>
      </c>
      <c r="C20" s="5">
        <f t="shared" si="9"/>
        <v>31195.759068748033</v>
      </c>
      <c r="D20" s="5">
        <f t="shared" si="0"/>
        <v>30509.54566972312</v>
      </c>
      <c r="E20" s="5">
        <f t="shared" si="1"/>
        <v>21009.54566972312</v>
      </c>
      <c r="F20" s="5">
        <f t="shared" si="2"/>
        <v>7161.3666611645986</v>
      </c>
      <c r="G20" s="5">
        <f t="shared" si="3"/>
        <v>23348.179008558523</v>
      </c>
      <c r="H20" s="22">
        <f t="shared" si="10"/>
        <v>13651.60478304272</v>
      </c>
      <c r="I20" s="5">
        <f t="shared" si="4"/>
        <v>36399.113181147361</v>
      </c>
      <c r="J20" s="26">
        <f t="shared" si="5"/>
        <v>0.15102287174393247</v>
      </c>
      <c r="L20" s="22">
        <f t="shared" si="11"/>
        <v>32159.613906791685</v>
      </c>
      <c r="M20" s="5">
        <f>scrimecost*Meta!O17</f>
        <v>736.16399999999999</v>
      </c>
      <c r="N20" s="5">
        <f>L20-Grade16!L20</f>
        <v>63.864042687011533</v>
      </c>
      <c r="O20" s="5">
        <f>Grade16!M20-M20</f>
        <v>0</v>
      </c>
      <c r="P20" s="22">
        <f t="shared" si="12"/>
        <v>0</v>
      </c>
      <c r="Q20" s="22"/>
      <c r="R20" s="22"/>
      <c r="S20" s="22">
        <f t="shared" si="6"/>
        <v>13.770492612258801</v>
      </c>
      <c r="T20" s="22">
        <f t="shared" si="7"/>
        <v>30.262748553532298</v>
      </c>
    </row>
    <row r="21" spans="1:20" x14ac:dyDescent="0.2">
      <c r="A21" s="5">
        <v>30</v>
      </c>
      <c r="B21" s="1">
        <f t="shared" si="8"/>
        <v>1.1886857536682125</v>
      </c>
      <c r="C21" s="5">
        <f t="shared" si="9"/>
        <v>31975.65304546673</v>
      </c>
      <c r="D21" s="5">
        <f t="shared" si="0"/>
        <v>31255.124311466196</v>
      </c>
      <c r="E21" s="5">
        <f t="shared" si="1"/>
        <v>21755.124311466196</v>
      </c>
      <c r="F21" s="5">
        <f t="shared" si="2"/>
        <v>7404.7980876937127</v>
      </c>
      <c r="G21" s="5">
        <f t="shared" si="3"/>
        <v>23850.326223772485</v>
      </c>
      <c r="H21" s="22">
        <f t="shared" si="10"/>
        <v>13992.894902618787</v>
      </c>
      <c r="I21" s="5">
        <f t="shared" si="4"/>
        <v>37227.533750676041</v>
      </c>
      <c r="J21" s="26">
        <f t="shared" si="5"/>
        <v>0.15287872634954108</v>
      </c>
      <c r="L21" s="22">
        <f t="shared" si="11"/>
        <v>32963.604254461476</v>
      </c>
      <c r="M21" s="5">
        <f>scrimecost*Meta!O18</f>
        <v>580.68399999999997</v>
      </c>
      <c r="N21" s="5">
        <f>L21-Grade16!L21</f>
        <v>65.460643754187913</v>
      </c>
      <c r="O21" s="5">
        <f>Grade16!M21-M21</f>
        <v>0</v>
      </c>
      <c r="P21" s="22">
        <f t="shared" si="12"/>
        <v>0</v>
      </c>
      <c r="Q21" s="22"/>
      <c r="R21" s="22"/>
      <c r="S21" s="22">
        <f t="shared" si="6"/>
        <v>14.114754927565507</v>
      </c>
      <c r="T21" s="22">
        <f t="shared" si="7"/>
        <v>34.71230916681418</v>
      </c>
    </row>
    <row r="22" spans="1:20" x14ac:dyDescent="0.2">
      <c r="A22" s="5">
        <v>31</v>
      </c>
      <c r="B22" s="1">
        <f t="shared" si="8"/>
        <v>1.2184028975099177</v>
      </c>
      <c r="C22" s="5">
        <f t="shared" si="9"/>
        <v>32775.044371603399</v>
      </c>
      <c r="D22" s="5">
        <f t="shared" si="0"/>
        <v>32019.342419252851</v>
      </c>
      <c r="E22" s="5">
        <f t="shared" si="1"/>
        <v>22519.342419252851</v>
      </c>
      <c r="F22" s="5">
        <f t="shared" si="2"/>
        <v>7654.315299886056</v>
      </c>
      <c r="G22" s="5">
        <f t="shared" si="3"/>
        <v>24365.027119366794</v>
      </c>
      <c r="H22" s="22">
        <f t="shared" si="10"/>
        <v>14342.717275184255</v>
      </c>
      <c r="I22" s="5">
        <f t="shared" si="4"/>
        <v>38076.664834442941</v>
      </c>
      <c r="J22" s="26">
        <f t="shared" si="5"/>
        <v>0.15468931620867141</v>
      </c>
      <c r="L22" s="22">
        <f t="shared" si="11"/>
        <v>33787.694360823014</v>
      </c>
      <c r="M22" s="5">
        <f>scrimecost*Meta!O19</f>
        <v>580.68399999999997</v>
      </c>
      <c r="N22" s="5">
        <f>L22-Grade16!L22</f>
        <v>67.097159848053707</v>
      </c>
      <c r="O22" s="5">
        <f>Grade16!M22-M22</f>
        <v>0</v>
      </c>
      <c r="P22" s="22">
        <f t="shared" si="12"/>
        <v>0</v>
      </c>
      <c r="Q22" s="22"/>
      <c r="R22" s="22"/>
      <c r="S22" s="22">
        <f t="shared" si="6"/>
        <v>14.467623800757037</v>
      </c>
      <c r="T22" s="22">
        <f t="shared" si="7"/>
        <v>39.816092895898848</v>
      </c>
    </row>
    <row r="23" spans="1:20" x14ac:dyDescent="0.2">
      <c r="A23" s="5">
        <v>32</v>
      </c>
      <c r="B23" s="1">
        <f t="shared" si="8"/>
        <v>1.2488629699476654</v>
      </c>
      <c r="C23" s="5">
        <f t="shared" si="9"/>
        <v>33594.420480893481</v>
      </c>
      <c r="D23" s="5">
        <f t="shared" si="0"/>
        <v>32802.665979734164</v>
      </c>
      <c r="E23" s="5">
        <f t="shared" si="1"/>
        <v>23302.665979734164</v>
      </c>
      <c r="F23" s="5">
        <f t="shared" si="2"/>
        <v>7910.0704423832049</v>
      </c>
      <c r="G23" s="5">
        <f t="shared" si="3"/>
        <v>24892.595537350957</v>
      </c>
      <c r="H23" s="22">
        <f t="shared" si="10"/>
        <v>14701.285207063858</v>
      </c>
      <c r="I23" s="5">
        <f t="shared" si="4"/>
        <v>38947.024195304002</v>
      </c>
      <c r="J23" s="26">
        <f t="shared" si="5"/>
        <v>0.15645574533953027</v>
      </c>
      <c r="L23" s="22">
        <f t="shared" si="11"/>
        <v>34632.386719843576</v>
      </c>
      <c r="M23" s="5">
        <f>scrimecost*Meta!O20</f>
        <v>580.68399999999997</v>
      </c>
      <c r="N23" s="5">
        <f>L23-Grade16!L23</f>
        <v>68.77458884423686</v>
      </c>
      <c r="O23" s="5">
        <f>Grade16!M23-M23</f>
        <v>0</v>
      </c>
      <c r="P23" s="22">
        <f t="shared" si="12"/>
        <v>0</v>
      </c>
      <c r="Q23" s="22"/>
      <c r="R23" s="22"/>
      <c r="S23" s="22">
        <f t="shared" si="6"/>
        <v>14.829314395772039</v>
      </c>
      <c r="T23" s="22">
        <f t="shared" si="7"/>
        <v>45.67029078577611</v>
      </c>
    </row>
    <row r="24" spans="1:20" x14ac:dyDescent="0.2">
      <c r="A24" s="5">
        <v>33</v>
      </c>
      <c r="B24" s="1">
        <f t="shared" si="8"/>
        <v>1.2800845441963571</v>
      </c>
      <c r="C24" s="5">
        <f t="shared" si="9"/>
        <v>34434.280992915817</v>
      </c>
      <c r="D24" s="5">
        <f t="shared" si="0"/>
        <v>33605.572629227521</v>
      </c>
      <c r="E24" s="5">
        <f t="shared" si="1"/>
        <v>24105.572629227521</v>
      </c>
      <c r="F24" s="5">
        <f t="shared" si="2"/>
        <v>8172.2194634427851</v>
      </c>
      <c r="G24" s="5">
        <f t="shared" si="3"/>
        <v>25433.353165784734</v>
      </c>
      <c r="H24" s="22">
        <f t="shared" si="10"/>
        <v>15068.817337240456</v>
      </c>
      <c r="I24" s="5">
        <f t="shared" si="4"/>
        <v>39839.142540186607</v>
      </c>
      <c r="J24" s="26">
        <f t="shared" si="5"/>
        <v>0.15817909083305109</v>
      </c>
      <c r="L24" s="22">
        <f t="shared" si="11"/>
        <v>35498.196387839671</v>
      </c>
      <c r="M24" s="5">
        <f>scrimecost*Meta!O21</f>
        <v>580.68399999999997</v>
      </c>
      <c r="N24" s="5">
        <f>L24-Grade16!L24</f>
        <v>70.493953565353877</v>
      </c>
      <c r="O24" s="5">
        <f>Grade16!M24-M24</f>
        <v>0</v>
      </c>
      <c r="P24" s="22">
        <f t="shared" si="12"/>
        <v>0</v>
      </c>
      <c r="Q24" s="22"/>
      <c r="R24" s="22"/>
      <c r="S24" s="22">
        <f t="shared" si="6"/>
        <v>15.200047255668732</v>
      </c>
      <c r="T24" s="22">
        <f t="shared" si="7"/>
        <v>52.385236942047271</v>
      </c>
    </row>
    <row r="25" spans="1:20" x14ac:dyDescent="0.2">
      <c r="A25" s="5">
        <v>34</v>
      </c>
      <c r="B25" s="1">
        <f t="shared" si="8"/>
        <v>1.312086657801266</v>
      </c>
      <c r="C25" s="5">
        <f t="shared" si="9"/>
        <v>35295.138017738711</v>
      </c>
      <c r="D25" s="5">
        <f t="shared" si="0"/>
        <v>34428.551944958206</v>
      </c>
      <c r="E25" s="5">
        <f t="shared" si="1"/>
        <v>24928.551944958206</v>
      </c>
      <c r="F25" s="5">
        <f t="shared" si="2"/>
        <v>8440.9222100288534</v>
      </c>
      <c r="G25" s="5">
        <f t="shared" si="3"/>
        <v>25987.629734929353</v>
      </c>
      <c r="H25" s="22">
        <f t="shared" si="10"/>
        <v>15445.537770671468</v>
      </c>
      <c r="I25" s="5">
        <f t="shared" si="4"/>
        <v>40753.563843691278</v>
      </c>
      <c r="J25" s="26">
        <f t="shared" si="5"/>
        <v>0.15986040350965677</v>
      </c>
      <c r="L25" s="22">
        <f t="shared" si="11"/>
        <v>36385.65129753566</v>
      </c>
      <c r="M25" s="5">
        <f>scrimecost*Meta!O22</f>
        <v>580.68399999999997</v>
      </c>
      <c r="N25" s="5">
        <f>L25-Grade16!L25</f>
        <v>72.256302404486632</v>
      </c>
      <c r="O25" s="5">
        <f>Grade16!M25-M25</f>
        <v>0</v>
      </c>
      <c r="P25" s="22">
        <f t="shared" si="12"/>
        <v>0</v>
      </c>
      <c r="Q25" s="22"/>
      <c r="R25" s="22"/>
      <c r="S25" s="22">
        <f t="shared" si="6"/>
        <v>15.580048437060215</v>
      </c>
      <c r="T25" s="22">
        <f t="shared" si="7"/>
        <v>60.087487998404399</v>
      </c>
    </row>
    <row r="26" spans="1:20" x14ac:dyDescent="0.2">
      <c r="A26" s="5">
        <v>35</v>
      </c>
      <c r="B26" s="1">
        <f t="shared" si="8"/>
        <v>1.3448888242462975</v>
      </c>
      <c r="C26" s="5">
        <f t="shared" si="9"/>
        <v>36177.516468182177</v>
      </c>
      <c r="D26" s="5">
        <f t="shared" si="0"/>
        <v>35272.105743582164</v>
      </c>
      <c r="E26" s="5">
        <f t="shared" si="1"/>
        <v>25772.105743582164</v>
      </c>
      <c r="F26" s="5">
        <f t="shared" si="2"/>
        <v>8716.3425252795769</v>
      </c>
      <c r="G26" s="5">
        <f t="shared" si="3"/>
        <v>26555.763218302585</v>
      </c>
      <c r="H26" s="22">
        <f t="shared" si="10"/>
        <v>15831.676214938252</v>
      </c>
      <c r="I26" s="5">
        <f t="shared" si="4"/>
        <v>41690.845679783553</v>
      </c>
      <c r="J26" s="26">
        <f t="shared" si="5"/>
        <v>0.16150070856000384</v>
      </c>
      <c r="L26" s="22">
        <f t="shared" si="11"/>
        <v>37295.292579974048</v>
      </c>
      <c r="M26" s="5">
        <f>scrimecost*Meta!O23</f>
        <v>462.38400000000001</v>
      </c>
      <c r="N26" s="5">
        <f>L26-Grade16!L26</f>
        <v>74.062709964593523</v>
      </c>
      <c r="O26" s="5">
        <f>Grade16!M26-M26</f>
        <v>0</v>
      </c>
      <c r="P26" s="22">
        <f t="shared" si="12"/>
        <v>0</v>
      </c>
      <c r="Q26" s="22"/>
      <c r="R26" s="22"/>
      <c r="S26" s="22">
        <f t="shared" si="6"/>
        <v>15.969549647985582</v>
      </c>
      <c r="T26" s="22">
        <f t="shared" si="7"/>
        <v>68.922208330419878</v>
      </c>
    </row>
    <row r="27" spans="1:20" x14ac:dyDescent="0.2">
      <c r="A27" s="5">
        <v>36</v>
      </c>
      <c r="B27" s="1">
        <f t="shared" si="8"/>
        <v>1.3785110448524549</v>
      </c>
      <c r="C27" s="5">
        <f t="shared" si="9"/>
        <v>37081.954379886731</v>
      </c>
      <c r="D27" s="5">
        <f t="shared" si="0"/>
        <v>36136.748387171712</v>
      </c>
      <c r="E27" s="5">
        <f t="shared" si="1"/>
        <v>26636.748387171712</v>
      </c>
      <c r="F27" s="5">
        <f t="shared" si="2"/>
        <v>8998.6483484115633</v>
      </c>
      <c r="G27" s="5">
        <f t="shared" si="3"/>
        <v>27138.100038760149</v>
      </c>
      <c r="H27" s="22">
        <f t="shared" si="10"/>
        <v>16227.468120311709</v>
      </c>
      <c r="I27" s="5">
        <f t="shared" si="4"/>
        <v>42651.559561778144</v>
      </c>
      <c r="J27" s="26">
        <f t="shared" si="5"/>
        <v>0.16310100617009846</v>
      </c>
      <c r="L27" s="22">
        <f t="shared" si="11"/>
        <v>38227.674894473399</v>
      </c>
      <c r="M27" s="5">
        <f>scrimecost*Meta!O24</f>
        <v>462.38400000000001</v>
      </c>
      <c r="N27" s="5">
        <f>L27-Grade16!L27</f>
        <v>75.914277713716729</v>
      </c>
      <c r="O27" s="5">
        <f>Grade16!M27-M27</f>
        <v>0</v>
      </c>
      <c r="P27" s="22">
        <f t="shared" si="12"/>
        <v>0</v>
      </c>
      <c r="Q27" s="22"/>
      <c r="R27" s="22"/>
      <c r="S27" s="22">
        <f t="shared" si="6"/>
        <v>16.368788389187028</v>
      </c>
      <c r="T27" s="22">
        <f t="shared" si="7"/>
        <v>79.055905969455807</v>
      </c>
    </row>
    <row r="28" spans="1:20" x14ac:dyDescent="0.2">
      <c r="A28" s="5">
        <v>37</v>
      </c>
      <c r="B28" s="1">
        <f t="shared" si="8"/>
        <v>1.4129738209737661</v>
      </c>
      <c r="C28" s="5">
        <f t="shared" si="9"/>
        <v>38009.003239383892</v>
      </c>
      <c r="D28" s="5">
        <f t="shared" si="0"/>
        <v>37023.007096850997</v>
      </c>
      <c r="E28" s="5">
        <f t="shared" si="1"/>
        <v>27523.007096850997</v>
      </c>
      <c r="F28" s="5">
        <f t="shared" si="2"/>
        <v>9288.011817121851</v>
      </c>
      <c r="G28" s="5">
        <f t="shared" si="3"/>
        <v>27734.995279729148</v>
      </c>
      <c r="H28" s="22">
        <f t="shared" si="10"/>
        <v>16633.154823319499</v>
      </c>
      <c r="I28" s="5">
        <f t="shared" si="4"/>
        <v>43636.291290822584</v>
      </c>
      <c r="J28" s="26">
        <f t="shared" si="5"/>
        <v>0.16466227213116641</v>
      </c>
      <c r="L28" s="22">
        <f t="shared" si="11"/>
        <v>39183.366766835228</v>
      </c>
      <c r="M28" s="5">
        <f>scrimecost*Meta!O25</f>
        <v>462.38400000000001</v>
      </c>
      <c r="N28" s="5">
        <f>L28-Grade16!L28</f>
        <v>77.812134656545823</v>
      </c>
      <c r="O28" s="5">
        <f>Grade16!M28-M28</f>
        <v>0</v>
      </c>
      <c r="P28" s="22">
        <f t="shared" si="12"/>
        <v>0</v>
      </c>
      <c r="Q28" s="22"/>
      <c r="R28" s="22"/>
      <c r="S28" s="22">
        <f t="shared" si="6"/>
        <v>16.778008098913723</v>
      </c>
      <c r="T28" s="22">
        <f t="shared" si="7"/>
        <v>90.67957078054296</v>
      </c>
    </row>
    <row r="29" spans="1:20" x14ac:dyDescent="0.2">
      <c r="A29" s="5">
        <v>38</v>
      </c>
      <c r="B29" s="1">
        <f t="shared" si="8"/>
        <v>1.4482981664981105</v>
      </c>
      <c r="C29" s="5">
        <f t="shared" si="9"/>
        <v>38959.228320368493</v>
      </c>
      <c r="D29" s="5">
        <f t="shared" si="0"/>
        <v>37931.422274272278</v>
      </c>
      <c r="E29" s="5">
        <f t="shared" si="1"/>
        <v>28431.422274272278</v>
      </c>
      <c r="F29" s="5">
        <f t="shared" si="2"/>
        <v>9584.6093725498977</v>
      </c>
      <c r="G29" s="5">
        <f t="shared" si="3"/>
        <v>28346.81290172238</v>
      </c>
      <c r="H29" s="22">
        <f t="shared" si="10"/>
        <v>17048.98369390249</v>
      </c>
      <c r="I29" s="5">
        <f t="shared" si="4"/>
        <v>44645.641313093161</v>
      </c>
      <c r="J29" s="26">
        <f t="shared" si="5"/>
        <v>0.16618545843464735</v>
      </c>
      <c r="L29" s="22">
        <f t="shared" si="11"/>
        <v>40162.950936006113</v>
      </c>
      <c r="M29" s="5">
        <f>scrimecost*Meta!O26</f>
        <v>462.38400000000001</v>
      </c>
      <c r="N29" s="5">
        <f>L29-Grade16!L29</f>
        <v>79.75743802296347</v>
      </c>
      <c r="O29" s="5">
        <f>Grade16!M29-M29</f>
        <v>0</v>
      </c>
      <c r="P29" s="22">
        <f t="shared" si="12"/>
        <v>0</v>
      </c>
      <c r="Q29" s="22"/>
      <c r="R29" s="22"/>
      <c r="S29" s="22">
        <f t="shared" si="6"/>
        <v>17.197458301387428</v>
      </c>
      <c r="T29" s="22">
        <f t="shared" si="7"/>
        <v>104.01227404973828</v>
      </c>
    </row>
    <row r="30" spans="1:20" x14ac:dyDescent="0.2">
      <c r="A30" s="5">
        <v>39</v>
      </c>
      <c r="B30" s="1">
        <f t="shared" si="8"/>
        <v>1.4845056206605631</v>
      </c>
      <c r="C30" s="5">
        <f t="shared" si="9"/>
        <v>39933.209028377707</v>
      </c>
      <c r="D30" s="5">
        <f t="shared" si="0"/>
        <v>38862.547831129086</v>
      </c>
      <c r="E30" s="5">
        <f t="shared" si="1"/>
        <v>29362.547831129086</v>
      </c>
      <c r="F30" s="5">
        <f t="shared" si="2"/>
        <v>9888.6218668636466</v>
      </c>
      <c r="G30" s="5">
        <f t="shared" si="3"/>
        <v>28973.92596426544</v>
      </c>
      <c r="H30" s="22">
        <f t="shared" si="10"/>
        <v>17475.20828625005</v>
      </c>
      <c r="I30" s="5">
        <f t="shared" si="4"/>
        <v>45680.225085920487</v>
      </c>
      <c r="J30" s="26">
        <f t="shared" si="5"/>
        <v>0.16767149385267754</v>
      </c>
      <c r="L30" s="22">
        <f t="shared" si="11"/>
        <v>41167.024709406272</v>
      </c>
      <c r="M30" s="5">
        <f>scrimecost*Meta!O27</f>
        <v>462.38400000000001</v>
      </c>
      <c r="N30" s="5">
        <f>L30-Grade16!L30</f>
        <v>81.751373973551381</v>
      </c>
      <c r="O30" s="5">
        <f>Grade16!M30-M30</f>
        <v>0</v>
      </c>
      <c r="P30" s="22">
        <f t="shared" si="12"/>
        <v>0</v>
      </c>
      <c r="Q30" s="22"/>
      <c r="R30" s="22"/>
      <c r="S30" s="22">
        <f t="shared" si="6"/>
        <v>17.627394758925092</v>
      </c>
      <c r="T30" s="22">
        <f t="shared" si="7"/>
        <v>119.30529732194617</v>
      </c>
    </row>
    <row r="31" spans="1:20" x14ac:dyDescent="0.2">
      <c r="A31" s="5">
        <v>40</v>
      </c>
      <c r="B31" s="1">
        <f t="shared" si="8"/>
        <v>1.521618261177077</v>
      </c>
      <c r="C31" s="5">
        <f t="shared" si="9"/>
        <v>40931.53925408714</v>
      </c>
      <c r="D31" s="5">
        <f t="shared" si="0"/>
        <v>39816.951526907309</v>
      </c>
      <c r="E31" s="5">
        <f t="shared" si="1"/>
        <v>30316.951526907309</v>
      </c>
      <c r="F31" s="5">
        <f t="shared" si="2"/>
        <v>10200.234673535237</v>
      </c>
      <c r="G31" s="5">
        <f t="shared" si="3"/>
        <v>29616.716853372072</v>
      </c>
      <c r="H31" s="22">
        <f t="shared" si="10"/>
        <v>17912.0884934063</v>
      </c>
      <c r="I31" s="5">
        <f t="shared" si="4"/>
        <v>46740.673453068492</v>
      </c>
      <c r="J31" s="26">
        <f t="shared" si="5"/>
        <v>0.16912128450441435</v>
      </c>
      <c r="L31" s="22">
        <f t="shared" si="11"/>
        <v>42196.200327141414</v>
      </c>
      <c r="M31" s="5">
        <f>scrimecost*Meta!O28</f>
        <v>396.81199999999995</v>
      </c>
      <c r="N31" s="5">
        <f>L31-Grade16!L31</f>
        <v>83.79515832287143</v>
      </c>
      <c r="O31" s="5">
        <f>Grade16!M31-M31</f>
        <v>0</v>
      </c>
      <c r="P31" s="22">
        <f t="shared" si="12"/>
        <v>0</v>
      </c>
      <c r="Q31" s="22"/>
      <c r="R31" s="22"/>
      <c r="S31" s="22">
        <f t="shared" si="6"/>
        <v>18.068079627894182</v>
      </c>
      <c r="T31" s="22">
        <f t="shared" si="7"/>
        <v>136.84686830581037</v>
      </c>
    </row>
    <row r="32" spans="1:20" x14ac:dyDescent="0.2">
      <c r="A32" s="5">
        <v>41</v>
      </c>
      <c r="B32" s="1">
        <f t="shared" si="8"/>
        <v>1.559658717706504</v>
      </c>
      <c r="C32" s="5">
        <f t="shared" si="9"/>
        <v>41954.827735439321</v>
      </c>
      <c r="D32" s="5">
        <f t="shared" si="0"/>
        <v>40795.215315079993</v>
      </c>
      <c r="E32" s="5">
        <f t="shared" si="1"/>
        <v>31295.215315079993</v>
      </c>
      <c r="F32" s="5">
        <f t="shared" si="2"/>
        <v>10519.637800373617</v>
      </c>
      <c r="G32" s="5">
        <f t="shared" si="3"/>
        <v>30275.577514706376</v>
      </c>
      <c r="H32" s="22">
        <f t="shared" si="10"/>
        <v>18359.890705741458</v>
      </c>
      <c r="I32" s="5">
        <f t="shared" si="4"/>
        <v>47827.633029395205</v>
      </c>
      <c r="J32" s="26">
        <f t="shared" si="5"/>
        <v>0.17053571440854773</v>
      </c>
      <c r="L32" s="22">
        <f t="shared" si="11"/>
        <v>43251.10533531996</v>
      </c>
      <c r="M32" s="5">
        <f>scrimecost*Meta!O29</f>
        <v>396.81199999999995</v>
      </c>
      <c r="N32" s="5">
        <f>L32-Grade16!L32</f>
        <v>85.890037280958495</v>
      </c>
      <c r="O32" s="5">
        <f>Grade16!M32-M32</f>
        <v>0</v>
      </c>
      <c r="P32" s="22">
        <f t="shared" si="12"/>
        <v>0</v>
      </c>
      <c r="Q32" s="22"/>
      <c r="R32" s="22"/>
      <c r="S32" s="22">
        <f t="shared" si="6"/>
        <v>18.519781618594834</v>
      </c>
      <c r="T32" s="22">
        <f t="shared" si="7"/>
        <v>156.96759310343288</v>
      </c>
    </row>
    <row r="33" spans="1:20" x14ac:dyDescent="0.2">
      <c r="A33" s="5">
        <v>42</v>
      </c>
      <c r="B33" s="1">
        <f t="shared" si="8"/>
        <v>1.5986501856491666</v>
      </c>
      <c r="C33" s="5">
        <f t="shared" si="9"/>
        <v>43003.698428825301</v>
      </c>
      <c r="D33" s="5">
        <f t="shared" si="0"/>
        <v>41797.935697956986</v>
      </c>
      <c r="E33" s="5">
        <f t="shared" si="1"/>
        <v>32297.935697956986</v>
      </c>
      <c r="F33" s="5">
        <f t="shared" si="2"/>
        <v>10847.026005382955</v>
      </c>
      <c r="G33" s="5">
        <f t="shared" si="3"/>
        <v>30950.90969257403</v>
      </c>
      <c r="H33" s="22">
        <f t="shared" si="10"/>
        <v>18818.887973384994</v>
      </c>
      <c r="I33" s="5">
        <f t="shared" si="4"/>
        <v>48941.766595130088</v>
      </c>
      <c r="J33" s="26">
        <f t="shared" si="5"/>
        <v>0.17191564602233644</v>
      </c>
      <c r="L33" s="22">
        <f t="shared" si="11"/>
        <v>44332.38296870295</v>
      </c>
      <c r="M33" s="5">
        <f>scrimecost*Meta!O30</f>
        <v>396.81199999999995</v>
      </c>
      <c r="N33" s="5">
        <f>L33-Grade16!L33</f>
        <v>88.03728821297409</v>
      </c>
      <c r="O33" s="5">
        <f>Grade16!M33-M33</f>
        <v>0</v>
      </c>
      <c r="P33" s="22">
        <f t="shared" si="12"/>
        <v>0</v>
      </c>
      <c r="Q33" s="22"/>
      <c r="R33" s="22"/>
      <c r="S33" s="22">
        <f t="shared" si="6"/>
        <v>18.982776159057899</v>
      </c>
      <c r="T33" s="22">
        <f t="shared" si="7"/>
        <v>180.0466871453572</v>
      </c>
    </row>
    <row r="34" spans="1:20" x14ac:dyDescent="0.2">
      <c r="A34" s="5">
        <v>43</v>
      </c>
      <c r="B34" s="1">
        <f t="shared" si="8"/>
        <v>1.6386164402903955</v>
      </c>
      <c r="C34" s="5">
        <f t="shared" si="9"/>
        <v>44078.790889545933</v>
      </c>
      <c r="D34" s="5">
        <f t="shared" si="0"/>
        <v>42825.724090405914</v>
      </c>
      <c r="E34" s="5">
        <f t="shared" si="1"/>
        <v>33325.724090405914</v>
      </c>
      <c r="F34" s="5">
        <f t="shared" si="2"/>
        <v>11182.59891551753</v>
      </c>
      <c r="G34" s="5">
        <f t="shared" si="3"/>
        <v>31643.125174888384</v>
      </c>
      <c r="H34" s="22">
        <f t="shared" si="10"/>
        <v>19289.360172719618</v>
      </c>
      <c r="I34" s="5">
        <f t="shared" si="4"/>
        <v>50083.753500008337</v>
      </c>
      <c r="J34" s="26">
        <f t="shared" si="5"/>
        <v>0.17326192076749616</v>
      </c>
      <c r="L34" s="22">
        <f t="shared" si="11"/>
        <v>45440.692542920522</v>
      </c>
      <c r="M34" s="5">
        <f>scrimecost*Meta!O31</f>
        <v>396.81199999999995</v>
      </c>
      <c r="N34" s="5">
        <f>L34-Grade16!L34</f>
        <v>90.238220418308629</v>
      </c>
      <c r="O34" s="5">
        <f>Grade16!M34-M34</f>
        <v>0</v>
      </c>
      <c r="P34" s="22">
        <f t="shared" si="12"/>
        <v>0</v>
      </c>
      <c r="Q34" s="22"/>
      <c r="R34" s="22"/>
      <c r="S34" s="22">
        <f t="shared" si="6"/>
        <v>19.45734556303654</v>
      </c>
      <c r="T34" s="22">
        <f t="shared" si="7"/>
        <v>206.51912226661972</v>
      </c>
    </row>
    <row r="35" spans="1:20" x14ac:dyDescent="0.2">
      <c r="A35" s="5">
        <v>44</v>
      </c>
      <c r="B35" s="1">
        <f t="shared" si="8"/>
        <v>1.6795818512976552</v>
      </c>
      <c r="C35" s="5">
        <f t="shared" si="9"/>
        <v>45180.760661784574</v>
      </c>
      <c r="D35" s="5">
        <f t="shared" si="0"/>
        <v>43879.20719266605</v>
      </c>
      <c r="E35" s="5">
        <f t="shared" si="1"/>
        <v>34379.20719266605</v>
      </c>
      <c r="F35" s="5">
        <f t="shared" si="2"/>
        <v>11526.561148405464</v>
      </c>
      <c r="G35" s="5">
        <f t="shared" si="3"/>
        <v>32352.646044260586</v>
      </c>
      <c r="H35" s="22">
        <f t="shared" si="10"/>
        <v>19771.594177037605</v>
      </c>
      <c r="I35" s="5">
        <f t="shared" si="4"/>
        <v>51254.290077508536</v>
      </c>
      <c r="J35" s="26">
        <f t="shared" si="5"/>
        <v>0.1745753595432617</v>
      </c>
      <c r="L35" s="22">
        <f t="shared" si="11"/>
        <v>46576.70985649353</v>
      </c>
      <c r="M35" s="5">
        <f>scrimecost*Meta!O32</f>
        <v>396.81199999999995</v>
      </c>
      <c r="N35" s="5">
        <f>L35-Grade16!L35</f>
        <v>92.494175928761251</v>
      </c>
      <c r="O35" s="5">
        <f>Grade16!M35-M35</f>
        <v>0</v>
      </c>
      <c r="P35" s="22">
        <f t="shared" si="12"/>
        <v>0</v>
      </c>
      <c r="Q35" s="22"/>
      <c r="R35" s="22"/>
      <c r="S35" s="22">
        <f t="shared" si="6"/>
        <v>19.943779202111358</v>
      </c>
      <c r="T35" s="22">
        <f t="shared" si="7"/>
        <v>236.88382462341622</v>
      </c>
    </row>
    <row r="36" spans="1:20" x14ac:dyDescent="0.2">
      <c r="A36" s="5">
        <v>45</v>
      </c>
      <c r="B36" s="1">
        <f t="shared" si="8"/>
        <v>1.7215713975800966</v>
      </c>
      <c r="C36" s="5">
        <f t="shared" si="9"/>
        <v>46310.279678329192</v>
      </c>
      <c r="D36" s="5">
        <f t="shared" si="0"/>
        <v>44959.027372482706</v>
      </c>
      <c r="E36" s="5">
        <f t="shared" si="1"/>
        <v>35459.027372482706</v>
      </c>
      <c r="F36" s="5">
        <f t="shared" si="2"/>
        <v>11975.025174363873</v>
      </c>
      <c r="G36" s="5">
        <f t="shared" si="3"/>
        <v>32984.002198118833</v>
      </c>
      <c r="H36" s="22">
        <f t="shared" si="10"/>
        <v>20265.884031463545</v>
      </c>
      <c r="I36" s="5">
        <f t="shared" si="4"/>
        <v>52358.18733219798</v>
      </c>
      <c r="J36" s="26">
        <f t="shared" si="5"/>
        <v>0.17736355883022481</v>
      </c>
      <c r="L36" s="22">
        <f t="shared" si="11"/>
        <v>47741.127602905864</v>
      </c>
      <c r="M36" s="5">
        <f>scrimecost*Meta!O33</f>
        <v>305.55200000000002</v>
      </c>
      <c r="N36" s="5">
        <f>L36-Grade16!L36</f>
        <v>94.806530326968641</v>
      </c>
      <c r="O36" s="5">
        <f>Grade16!M36-M36</f>
        <v>0</v>
      </c>
      <c r="P36" s="22">
        <f t="shared" si="12"/>
        <v>0</v>
      </c>
      <c r="Q36" s="22"/>
      <c r="R36" s="22"/>
      <c r="S36" s="22">
        <f t="shared" si="6"/>
        <v>20.44237368216163</v>
      </c>
      <c r="T36" s="22">
        <f t="shared" si="7"/>
        <v>271.71307795783446</v>
      </c>
    </row>
    <row r="37" spans="1:20" x14ac:dyDescent="0.2">
      <c r="A37" s="5">
        <v>46</v>
      </c>
      <c r="B37" s="1">
        <f t="shared" ref="B37:B56" si="13">(1+experiencepremium)^(A37-startage)</f>
        <v>1.7646106825195991</v>
      </c>
      <c r="C37" s="5">
        <f t="shared" ref="C37:C56" si="14">pretaxincome*B37/expnorm</f>
        <v>47468.036670287416</v>
      </c>
      <c r="D37" s="5">
        <f t="shared" ref="D37:D56" si="15">IF(A37&lt;startage,1,0)*(C37*(1-initialunempprob))+IF(A37=startage,1,0)*(C37*(1-unempprob))+IF(A37&gt;startage,1,0)*(C37*(1-unempprob)+unempprob*300*52)</f>
        <v>46065.843056794773</v>
      </c>
      <c r="E37" s="5">
        <f t="shared" si="1"/>
        <v>36565.843056794773</v>
      </c>
      <c r="F37" s="5">
        <f t="shared" si="2"/>
        <v>12447.082063722972</v>
      </c>
      <c r="G37" s="5">
        <f t="shared" si="3"/>
        <v>33618.760993071803</v>
      </c>
      <c r="H37" s="22">
        <f t="shared" ref="H37:H56" si="16">benefits*B37/expnorm</f>
        <v>20772.531132250133</v>
      </c>
      <c r="I37" s="5">
        <f t="shared" ref="I37:I56" si="17">G37+IF(A37&lt;startage,1,0)*(H37*(1-initialunempprob))+IF(A37&gt;=startage,1,0)*(H37*(1-unempprob))</f>
        <v>53477.300755502933</v>
      </c>
      <c r="J37" s="26">
        <f t="shared" si="5"/>
        <v>0.18027353936297752</v>
      </c>
      <c r="L37" s="22">
        <f t="shared" ref="L37:L56" si="18">(sincome+sbenefits)*(1-sunemp)*B37/expnorm</f>
        <v>48934.655792978512</v>
      </c>
      <c r="M37" s="5">
        <f>scrimecost*Meta!O34</f>
        <v>305.55200000000002</v>
      </c>
      <c r="N37" s="5">
        <f>L37-Grade16!L37</f>
        <v>97.176693585148314</v>
      </c>
      <c r="O37" s="5">
        <f>Grade16!M37-M37</f>
        <v>0</v>
      </c>
      <c r="P37" s="22">
        <f t="shared" si="12"/>
        <v>0</v>
      </c>
      <c r="Q37" s="22"/>
      <c r="R37" s="22"/>
      <c r="S37" s="22">
        <f t="shared" si="6"/>
        <v>20.953433024216849</v>
      </c>
      <c r="T37" s="22">
        <f t="shared" si="7"/>
        <v>311.66330943322453</v>
      </c>
    </row>
    <row r="38" spans="1:20" x14ac:dyDescent="0.2">
      <c r="A38" s="5">
        <v>47</v>
      </c>
      <c r="B38" s="1">
        <f t="shared" si="13"/>
        <v>1.8087259495825889</v>
      </c>
      <c r="C38" s="5">
        <f t="shared" si="14"/>
        <v>48654.737587044598</v>
      </c>
      <c r="D38" s="5">
        <f t="shared" si="15"/>
        <v>47200.329133214633</v>
      </c>
      <c r="E38" s="5">
        <f t="shared" si="1"/>
        <v>37700.329133214633</v>
      </c>
      <c r="F38" s="5">
        <f t="shared" si="2"/>
        <v>12930.94037531604</v>
      </c>
      <c r="G38" s="5">
        <f t="shared" si="3"/>
        <v>34269.388757898589</v>
      </c>
      <c r="H38" s="22">
        <f t="shared" si="16"/>
        <v>21291.844410556383</v>
      </c>
      <c r="I38" s="5">
        <f t="shared" si="17"/>
        <v>54624.392014390491</v>
      </c>
      <c r="J38" s="26">
        <f t="shared" si="5"/>
        <v>0.18311254476078495</v>
      </c>
      <c r="L38" s="22">
        <f t="shared" si="18"/>
        <v>50158.022187802977</v>
      </c>
      <c r="M38" s="5">
        <f>scrimecost*Meta!O35</f>
        <v>305.55200000000002</v>
      </c>
      <c r="N38" s="5">
        <f>L38-Grade16!L38</f>
        <v>99.606110924789391</v>
      </c>
      <c r="O38" s="5">
        <f>Grade16!M38-M38</f>
        <v>0</v>
      </c>
      <c r="P38" s="22">
        <f t="shared" si="12"/>
        <v>0</v>
      </c>
      <c r="Q38" s="22"/>
      <c r="R38" s="22"/>
      <c r="S38" s="22">
        <f t="shared" si="6"/>
        <v>21.477268849824938</v>
      </c>
      <c r="T38" s="22">
        <f t="shared" si="7"/>
        <v>357.48746132105606</v>
      </c>
    </row>
    <row r="39" spans="1:20" x14ac:dyDescent="0.2">
      <c r="A39" s="5">
        <v>48</v>
      </c>
      <c r="B39" s="1">
        <f t="shared" si="13"/>
        <v>1.8539440983221533</v>
      </c>
      <c r="C39" s="5">
        <f t="shared" si="14"/>
        <v>49871.106026720707</v>
      </c>
      <c r="D39" s="5">
        <f t="shared" si="15"/>
        <v>48363.177361544993</v>
      </c>
      <c r="E39" s="5">
        <f t="shared" si="1"/>
        <v>38863.177361544993</v>
      </c>
      <c r="F39" s="5">
        <f t="shared" si="2"/>
        <v>13426.895144698938</v>
      </c>
      <c r="G39" s="5">
        <f t="shared" si="3"/>
        <v>34936.282216846055</v>
      </c>
      <c r="H39" s="22">
        <f t="shared" si="16"/>
        <v>21824.140520820292</v>
      </c>
      <c r="I39" s="5">
        <f t="shared" si="17"/>
        <v>55800.160554750255</v>
      </c>
      <c r="J39" s="26">
        <f t="shared" si="5"/>
        <v>0.18588230612449952</v>
      </c>
      <c r="L39" s="22">
        <f t="shared" si="18"/>
        <v>51411.972742498037</v>
      </c>
      <c r="M39" s="5">
        <f>scrimecost*Meta!O36</f>
        <v>305.55200000000002</v>
      </c>
      <c r="N39" s="5">
        <f>L39-Grade16!L39</f>
        <v>102.09626369790203</v>
      </c>
      <c r="O39" s="5">
        <f>Grade16!M39-M39</f>
        <v>0</v>
      </c>
      <c r="P39" s="22">
        <f t="shared" si="12"/>
        <v>0</v>
      </c>
      <c r="Q39" s="22"/>
      <c r="R39" s="22"/>
      <c r="S39" s="22">
        <f t="shared" si="6"/>
        <v>22.014200571069029</v>
      </c>
      <c r="T39" s="22">
        <f t="shared" si="7"/>
        <v>410.04918170879535</v>
      </c>
    </row>
    <row r="40" spans="1:20" x14ac:dyDescent="0.2">
      <c r="A40" s="5">
        <v>49</v>
      </c>
      <c r="B40" s="1">
        <f t="shared" si="13"/>
        <v>1.9002927007802071</v>
      </c>
      <c r="C40" s="5">
        <f t="shared" si="14"/>
        <v>51117.883677388716</v>
      </c>
      <c r="D40" s="5">
        <f t="shared" si="15"/>
        <v>49555.096795583609</v>
      </c>
      <c r="E40" s="5">
        <f t="shared" si="1"/>
        <v>40055.096795583609</v>
      </c>
      <c r="F40" s="5">
        <f t="shared" si="2"/>
        <v>13935.248783316409</v>
      </c>
      <c r="G40" s="5">
        <f t="shared" si="3"/>
        <v>35619.848012267204</v>
      </c>
      <c r="H40" s="22">
        <f t="shared" si="16"/>
        <v>22369.744033840798</v>
      </c>
      <c r="I40" s="5">
        <f t="shared" si="17"/>
        <v>57005.323308619001</v>
      </c>
      <c r="J40" s="26">
        <f t="shared" si="5"/>
        <v>0.18858451233300158</v>
      </c>
      <c r="L40" s="22">
        <f t="shared" si="18"/>
        <v>52697.272061060488</v>
      </c>
      <c r="M40" s="5">
        <f>scrimecost*Meta!O37</f>
        <v>305.55200000000002</v>
      </c>
      <c r="N40" s="5">
        <f>L40-Grade16!L40</f>
        <v>104.6486702903494</v>
      </c>
      <c r="O40" s="5">
        <f>Grade16!M40-M40</f>
        <v>0</v>
      </c>
      <c r="P40" s="22">
        <f t="shared" si="12"/>
        <v>0</v>
      </c>
      <c r="Q40" s="22"/>
      <c r="R40" s="22"/>
      <c r="S40" s="22">
        <f t="shared" si="6"/>
        <v>22.564555585345719</v>
      </c>
      <c r="T40" s="22">
        <f t="shared" si="7"/>
        <v>470.33910168127238</v>
      </c>
    </row>
    <row r="41" spans="1:20" x14ac:dyDescent="0.2">
      <c r="A41" s="5">
        <v>50</v>
      </c>
      <c r="B41" s="1">
        <f t="shared" si="13"/>
        <v>1.9478000182997122</v>
      </c>
      <c r="C41" s="5">
        <f t="shared" si="14"/>
        <v>52395.830769323438</v>
      </c>
      <c r="D41" s="5">
        <f t="shared" si="15"/>
        <v>50776.814215473205</v>
      </c>
      <c r="E41" s="5">
        <f t="shared" si="1"/>
        <v>41276.814215473205</v>
      </c>
      <c r="F41" s="5">
        <f t="shared" si="2"/>
        <v>14456.311262899322</v>
      </c>
      <c r="G41" s="5">
        <f t="shared" si="3"/>
        <v>36320.502952573879</v>
      </c>
      <c r="H41" s="22">
        <f t="shared" si="16"/>
        <v>22928.987634686815</v>
      </c>
      <c r="I41" s="5">
        <f t="shared" si="17"/>
        <v>58240.615131334474</v>
      </c>
      <c r="J41" s="26">
        <f t="shared" si="5"/>
        <v>0.19122081107300365</v>
      </c>
      <c r="L41" s="22">
        <f t="shared" si="18"/>
        <v>54014.703862586997</v>
      </c>
      <c r="M41" s="5">
        <f>scrimecost*Meta!O38</f>
        <v>185.56200000000001</v>
      </c>
      <c r="N41" s="5">
        <f>L41-Grade16!L41</f>
        <v>107.26488704760413</v>
      </c>
      <c r="O41" s="5">
        <f>Grade16!M41-M41</f>
        <v>0</v>
      </c>
      <c r="P41" s="22">
        <f t="shared" si="12"/>
        <v>0</v>
      </c>
      <c r="Q41" s="22"/>
      <c r="R41" s="22"/>
      <c r="S41" s="22">
        <f t="shared" si="6"/>
        <v>23.128669474978498</v>
      </c>
      <c r="T41" s="22">
        <f t="shared" si="7"/>
        <v>539.49350575083304</v>
      </c>
    </row>
    <row r="42" spans="1:20" x14ac:dyDescent="0.2">
      <c r="A42" s="5">
        <v>51</v>
      </c>
      <c r="B42" s="1">
        <f t="shared" si="13"/>
        <v>1.9964950187572048</v>
      </c>
      <c r="C42" s="5">
        <f t="shared" si="14"/>
        <v>53705.726538556526</v>
      </c>
      <c r="D42" s="5">
        <f t="shared" si="15"/>
        <v>52029.074570860037</v>
      </c>
      <c r="E42" s="5">
        <f t="shared" si="1"/>
        <v>42529.074570860037</v>
      </c>
      <c r="F42" s="5">
        <f t="shared" si="2"/>
        <v>14990.400304471807</v>
      </c>
      <c r="G42" s="5">
        <f t="shared" si="3"/>
        <v>37038.674266388232</v>
      </c>
      <c r="H42" s="22">
        <f t="shared" si="16"/>
        <v>23502.212325553985</v>
      </c>
      <c r="I42" s="5">
        <f t="shared" si="17"/>
        <v>59506.789249617839</v>
      </c>
      <c r="J42" s="26">
        <f t="shared" si="5"/>
        <v>0.19379280984373731</v>
      </c>
      <c r="L42" s="22">
        <f t="shared" si="18"/>
        <v>55365.071459151673</v>
      </c>
      <c r="M42" s="5">
        <f>scrimecost*Meta!O39</f>
        <v>185.56200000000001</v>
      </c>
      <c r="N42" s="5">
        <f>L42-Grade16!L42</f>
        <v>109.94650922379515</v>
      </c>
      <c r="O42" s="5">
        <f>Grade16!M42-M42</f>
        <v>0</v>
      </c>
      <c r="P42" s="22">
        <f t="shared" si="12"/>
        <v>0</v>
      </c>
      <c r="Q42" s="22"/>
      <c r="R42" s="22"/>
      <c r="S42" s="22">
        <f t="shared" si="6"/>
        <v>23.706886211853156</v>
      </c>
      <c r="T42" s="22">
        <f t="shared" si="7"/>
        <v>618.81574741912721</v>
      </c>
    </row>
    <row r="43" spans="1:20" x14ac:dyDescent="0.2">
      <c r="A43" s="5">
        <v>52</v>
      </c>
      <c r="B43" s="1">
        <f t="shared" si="13"/>
        <v>2.0464073942261352</v>
      </c>
      <c r="C43" s="5">
        <f t="shared" si="14"/>
        <v>55048.369702020434</v>
      </c>
      <c r="D43" s="5">
        <f t="shared" si="15"/>
        <v>53312.641435131532</v>
      </c>
      <c r="E43" s="5">
        <f t="shared" si="1"/>
        <v>43812.641435131532</v>
      </c>
      <c r="F43" s="5">
        <f t="shared" si="2"/>
        <v>15537.841572083598</v>
      </c>
      <c r="G43" s="5">
        <f t="shared" si="3"/>
        <v>37774.799863047934</v>
      </c>
      <c r="H43" s="22">
        <f t="shared" si="16"/>
        <v>24089.767633692834</v>
      </c>
      <c r="I43" s="5">
        <f t="shared" si="17"/>
        <v>60804.617720858281</v>
      </c>
      <c r="J43" s="26">
        <f t="shared" si="5"/>
        <v>0.196302076937136</v>
      </c>
      <c r="L43" s="22">
        <f t="shared" si="18"/>
        <v>56749.198245630469</v>
      </c>
      <c r="M43" s="5">
        <f>scrimecost*Meta!O40</f>
        <v>185.56200000000001</v>
      </c>
      <c r="N43" s="5">
        <f>L43-Grade16!L43</f>
        <v>112.69517195440858</v>
      </c>
      <c r="O43" s="5">
        <f>Grade16!M43-M43</f>
        <v>0</v>
      </c>
      <c r="P43" s="22">
        <f t="shared" si="12"/>
        <v>0</v>
      </c>
      <c r="Q43" s="22"/>
      <c r="R43" s="22"/>
      <c r="S43" s="22">
        <f t="shared" si="6"/>
        <v>24.299558367153484</v>
      </c>
      <c r="T43" s="22">
        <f t="shared" si="7"/>
        <v>709.80081348896101</v>
      </c>
    </row>
    <row r="44" spans="1:20" x14ac:dyDescent="0.2">
      <c r="A44" s="5">
        <v>53</v>
      </c>
      <c r="B44" s="1">
        <f t="shared" si="13"/>
        <v>2.097567579081788</v>
      </c>
      <c r="C44" s="5">
        <f t="shared" si="14"/>
        <v>56424.578944570938</v>
      </c>
      <c r="D44" s="5">
        <f t="shared" si="15"/>
        <v>54628.297471009813</v>
      </c>
      <c r="E44" s="5">
        <f t="shared" si="1"/>
        <v>45128.297471009813</v>
      </c>
      <c r="F44" s="5">
        <f t="shared" si="2"/>
        <v>16098.968871385685</v>
      </c>
      <c r="G44" s="5">
        <f t="shared" si="3"/>
        <v>38529.328599624132</v>
      </c>
      <c r="H44" s="22">
        <f t="shared" si="16"/>
        <v>24692.011824535155</v>
      </c>
      <c r="I44" s="5">
        <f t="shared" si="17"/>
        <v>62134.891903879739</v>
      </c>
      <c r="J44" s="26">
        <f t="shared" si="5"/>
        <v>0.19875014239411032</v>
      </c>
      <c r="L44" s="22">
        <f t="shared" si="18"/>
        <v>58167.928201771218</v>
      </c>
      <c r="M44" s="5">
        <f>scrimecost*Meta!O41</f>
        <v>185.56200000000001</v>
      </c>
      <c r="N44" s="5">
        <f>L44-Grade16!L44</f>
        <v>115.51255125323223</v>
      </c>
      <c r="O44" s="5">
        <f>Grade16!M44-M44</f>
        <v>0</v>
      </c>
      <c r="P44" s="22">
        <f t="shared" si="12"/>
        <v>0</v>
      </c>
      <c r="Q44" s="22"/>
      <c r="R44" s="22"/>
      <c r="S44" s="22">
        <f t="shared" si="6"/>
        <v>24.907047326324438</v>
      </c>
      <c r="T44" s="22">
        <f t="shared" si="7"/>
        <v>814.16350008964866</v>
      </c>
    </row>
    <row r="45" spans="1:20" x14ac:dyDescent="0.2">
      <c r="A45" s="5">
        <v>54</v>
      </c>
      <c r="B45" s="1">
        <f t="shared" si="13"/>
        <v>2.1500067685588333</v>
      </c>
      <c r="C45" s="5">
        <f t="shared" si="14"/>
        <v>57835.193418185227</v>
      </c>
      <c r="D45" s="5">
        <f t="shared" si="15"/>
        <v>55976.844907785075</v>
      </c>
      <c r="E45" s="5">
        <f t="shared" si="1"/>
        <v>46476.844907785075</v>
      </c>
      <c r="F45" s="5">
        <f t="shared" si="2"/>
        <v>16674.124353170333</v>
      </c>
      <c r="G45" s="5">
        <f t="shared" si="3"/>
        <v>39302.720554614745</v>
      </c>
      <c r="H45" s="22">
        <f t="shared" si="16"/>
        <v>25309.312120148537</v>
      </c>
      <c r="I45" s="5">
        <f t="shared" si="17"/>
        <v>63498.422941476747</v>
      </c>
      <c r="J45" s="26">
        <f t="shared" si="5"/>
        <v>0.20113849893749994</v>
      </c>
      <c r="L45" s="22">
        <f t="shared" si="18"/>
        <v>59622.126406815507</v>
      </c>
      <c r="M45" s="5">
        <f>scrimecost*Meta!O42</f>
        <v>185.56200000000001</v>
      </c>
      <c r="N45" s="5">
        <f>L45-Grade16!L45</f>
        <v>118.40036503458396</v>
      </c>
      <c r="O45" s="5">
        <f>Grade16!M45-M45</f>
        <v>0</v>
      </c>
      <c r="P45" s="22">
        <f t="shared" si="12"/>
        <v>0</v>
      </c>
      <c r="Q45" s="22"/>
      <c r="R45" s="22"/>
      <c r="S45" s="22">
        <f t="shared" ref="S45:S69" si="19">IF(A45&lt;startage,1,0)*(N45-Q45-R45)+IF(A45&gt;=startage,1,0)*completionprob*(N45*spart+O45+P45)</f>
        <v>25.529723509487059</v>
      </c>
      <c r="T45" s="22">
        <f t="shared" ref="T45:T69" si="20">S45/sreturn^(A45-startage+1)</f>
        <v>933.87073145255476</v>
      </c>
    </row>
    <row r="46" spans="1:20" x14ac:dyDescent="0.2">
      <c r="A46" s="5">
        <v>55</v>
      </c>
      <c r="B46" s="1">
        <f t="shared" si="13"/>
        <v>2.2037569377728037</v>
      </c>
      <c r="C46" s="5">
        <f t="shared" si="14"/>
        <v>59281.073253639843</v>
      </c>
      <c r="D46" s="5">
        <f t="shared" si="15"/>
        <v>57359.106030479692</v>
      </c>
      <c r="E46" s="5">
        <f t="shared" si="1"/>
        <v>47859.106030479692</v>
      </c>
      <c r="F46" s="5">
        <f t="shared" si="2"/>
        <v>17263.658721999589</v>
      </c>
      <c r="G46" s="5">
        <f t="shared" si="3"/>
        <v>40095.447308480099</v>
      </c>
      <c r="H46" s="22">
        <f t="shared" si="16"/>
        <v>25942.044923152247</v>
      </c>
      <c r="I46" s="5">
        <f t="shared" si="17"/>
        <v>64896.042255013643</v>
      </c>
      <c r="J46" s="26">
        <f t="shared" si="5"/>
        <v>0.20346860288227026</v>
      </c>
      <c r="L46" s="22">
        <f t="shared" si="18"/>
        <v>61112.679566985884</v>
      </c>
      <c r="M46" s="5">
        <f>scrimecost*Meta!O43</f>
        <v>92.612000000000009</v>
      </c>
      <c r="N46" s="5">
        <f>L46-Grade16!L46</f>
        <v>121.36037416044564</v>
      </c>
      <c r="O46" s="5">
        <f>Grade16!M46-M46</f>
        <v>0</v>
      </c>
      <c r="P46" s="22">
        <f t="shared" si="12"/>
        <v>0</v>
      </c>
      <c r="Q46" s="22"/>
      <c r="R46" s="22"/>
      <c r="S46" s="22">
        <f t="shared" si="19"/>
        <v>26.167966597223607</v>
      </c>
      <c r="T46" s="22">
        <f t="shared" si="20"/>
        <v>1071.1786305422986</v>
      </c>
    </row>
    <row r="47" spans="1:20" x14ac:dyDescent="0.2">
      <c r="A47" s="5">
        <v>56</v>
      </c>
      <c r="B47" s="1">
        <f t="shared" si="13"/>
        <v>2.2588508612171236</v>
      </c>
      <c r="C47" s="5">
        <f t="shared" si="14"/>
        <v>60763.100084980841</v>
      </c>
      <c r="D47" s="5">
        <f t="shared" si="15"/>
        <v>58775.923681241686</v>
      </c>
      <c r="E47" s="5">
        <f t="shared" si="1"/>
        <v>49275.923681241686</v>
      </c>
      <c r="F47" s="5">
        <f t="shared" si="2"/>
        <v>17867.931450049578</v>
      </c>
      <c r="G47" s="5">
        <f t="shared" si="3"/>
        <v>40907.992231192111</v>
      </c>
      <c r="H47" s="22">
        <f t="shared" si="16"/>
        <v>26590.59604623105</v>
      </c>
      <c r="I47" s="5">
        <f t="shared" si="17"/>
        <v>66328.602051388996</v>
      </c>
      <c r="J47" s="26">
        <f t="shared" si="5"/>
        <v>0.2057418750235096</v>
      </c>
      <c r="L47" s="22">
        <f t="shared" si="18"/>
        <v>62640.496556160528</v>
      </c>
      <c r="M47" s="5">
        <f>scrimecost*Meta!O44</f>
        <v>92.612000000000009</v>
      </c>
      <c r="N47" s="5">
        <f>L47-Grade16!L47</f>
        <v>124.39438351446006</v>
      </c>
      <c r="O47" s="5">
        <f>Grade16!M47-M47</f>
        <v>0</v>
      </c>
      <c r="P47" s="22">
        <f t="shared" si="12"/>
        <v>0</v>
      </c>
      <c r="Q47" s="22"/>
      <c r="R47" s="22"/>
      <c r="S47" s="22">
        <f t="shared" si="19"/>
        <v>26.822165762154906</v>
      </c>
      <c r="T47" s="22">
        <f t="shared" si="20"/>
        <v>1228.6750402229804</v>
      </c>
    </row>
    <row r="48" spans="1:20" x14ac:dyDescent="0.2">
      <c r="A48" s="5">
        <v>57</v>
      </c>
      <c r="B48" s="1">
        <f t="shared" si="13"/>
        <v>2.3153221327475517</v>
      </c>
      <c r="C48" s="5">
        <f t="shared" si="14"/>
        <v>62282.177587105354</v>
      </c>
      <c r="D48" s="5">
        <f t="shared" si="15"/>
        <v>60228.161773272717</v>
      </c>
      <c r="E48" s="5">
        <f t="shared" si="1"/>
        <v>50728.161773272717</v>
      </c>
      <c r="F48" s="5">
        <f t="shared" si="2"/>
        <v>18487.310996300817</v>
      </c>
      <c r="G48" s="5">
        <f t="shared" si="3"/>
        <v>41740.8507769719</v>
      </c>
      <c r="H48" s="22">
        <f t="shared" si="16"/>
        <v>27255.360947386827</v>
      </c>
      <c r="I48" s="5">
        <f t="shared" si="17"/>
        <v>67796.97584267371</v>
      </c>
      <c r="J48" s="26">
        <f t="shared" si="5"/>
        <v>0.20795970150276755</v>
      </c>
      <c r="L48" s="22">
        <f t="shared" si="18"/>
        <v>64206.50897006454</v>
      </c>
      <c r="M48" s="5">
        <f>scrimecost*Meta!O45</f>
        <v>92.612000000000009</v>
      </c>
      <c r="N48" s="5">
        <f>L48-Grade16!L48</f>
        <v>127.50424310231756</v>
      </c>
      <c r="O48" s="5">
        <f>Grade16!M48-M48</f>
        <v>0</v>
      </c>
      <c r="P48" s="22">
        <f t="shared" si="12"/>
        <v>0</v>
      </c>
      <c r="Q48" s="22"/>
      <c r="R48" s="22"/>
      <c r="S48" s="22">
        <f t="shared" si="19"/>
        <v>27.492719906207913</v>
      </c>
      <c r="T48" s="22">
        <f t="shared" si="20"/>
        <v>1409.3282963482743</v>
      </c>
    </row>
    <row r="49" spans="1:20" x14ac:dyDescent="0.2">
      <c r="A49" s="5">
        <v>58</v>
      </c>
      <c r="B49" s="1">
        <f t="shared" si="13"/>
        <v>2.3732051860662402</v>
      </c>
      <c r="C49" s="5">
        <f t="shared" si="14"/>
        <v>63839.232026782985</v>
      </c>
      <c r="D49" s="5">
        <f t="shared" si="15"/>
        <v>61716.705817604532</v>
      </c>
      <c r="E49" s="5">
        <f t="shared" si="1"/>
        <v>52216.705817604532</v>
      </c>
      <c r="F49" s="5">
        <f t="shared" si="2"/>
        <v>19122.175031208335</v>
      </c>
      <c r="G49" s="5">
        <f t="shared" si="3"/>
        <v>42594.530786396193</v>
      </c>
      <c r="H49" s="22">
        <f t="shared" si="16"/>
        <v>27936.744971071494</v>
      </c>
      <c r="I49" s="5">
        <f t="shared" si="17"/>
        <v>69302.058978740533</v>
      </c>
      <c r="J49" s="26">
        <f t="shared" si="5"/>
        <v>0.21012343465326302</v>
      </c>
      <c r="L49" s="22">
        <f t="shared" si="18"/>
        <v>65811.671694316145</v>
      </c>
      <c r="M49" s="5">
        <f>scrimecost*Meta!O46</f>
        <v>92.612000000000009</v>
      </c>
      <c r="N49" s="5">
        <f>L49-Grade16!L49</f>
        <v>130.6918491798715</v>
      </c>
      <c r="O49" s="5">
        <f>Grade16!M49-M49</f>
        <v>0</v>
      </c>
      <c r="P49" s="22">
        <f t="shared" si="12"/>
        <v>0</v>
      </c>
      <c r="Q49" s="22"/>
      <c r="R49" s="22"/>
      <c r="S49" s="22">
        <f t="shared" si="19"/>
        <v>28.180037903862249</v>
      </c>
      <c r="T49" s="22">
        <f t="shared" si="20"/>
        <v>1616.5431720070378</v>
      </c>
    </row>
    <row r="50" spans="1:20" x14ac:dyDescent="0.2">
      <c r="A50" s="5">
        <v>59</v>
      </c>
      <c r="B50" s="1">
        <f t="shared" si="13"/>
        <v>2.4325353157178964</v>
      </c>
      <c r="C50" s="5">
        <f t="shared" si="14"/>
        <v>65435.21282745256</v>
      </c>
      <c r="D50" s="5">
        <f t="shared" si="15"/>
        <v>63242.463463044645</v>
      </c>
      <c r="E50" s="5">
        <f t="shared" si="1"/>
        <v>53742.463463044645</v>
      </c>
      <c r="F50" s="5">
        <f t="shared" si="2"/>
        <v>19772.91066698854</v>
      </c>
      <c r="G50" s="5">
        <f t="shared" si="3"/>
        <v>43469.552796056101</v>
      </c>
      <c r="H50" s="22">
        <f t="shared" si="16"/>
        <v>28635.16359534828</v>
      </c>
      <c r="I50" s="5">
        <f t="shared" si="17"/>
        <v>70844.769193209053</v>
      </c>
      <c r="J50" s="26">
        <f t="shared" si="5"/>
        <v>0.21223439382447817</v>
      </c>
      <c r="L50" s="22">
        <f t="shared" si="18"/>
        <v>67456.963486674053</v>
      </c>
      <c r="M50" s="5">
        <f>scrimecost*Meta!O47</f>
        <v>92.612000000000009</v>
      </c>
      <c r="N50" s="5">
        <f>L50-Grade16!L50</f>
        <v>133.9591454093752</v>
      </c>
      <c r="O50" s="5">
        <f>Grade16!M50-M50</f>
        <v>0</v>
      </c>
      <c r="P50" s="22">
        <f t="shared" si="12"/>
        <v>0</v>
      </c>
      <c r="Q50" s="22"/>
      <c r="R50" s="22"/>
      <c r="S50" s="22">
        <f t="shared" si="19"/>
        <v>28.884538851460295</v>
      </c>
      <c r="T50" s="22">
        <f t="shared" si="20"/>
        <v>1854.2250473036768</v>
      </c>
    </row>
    <row r="51" spans="1:20" x14ac:dyDescent="0.2">
      <c r="A51" s="5">
        <v>60</v>
      </c>
      <c r="B51" s="1">
        <f t="shared" si="13"/>
        <v>2.4933486986108435</v>
      </c>
      <c r="C51" s="5">
        <f t="shared" si="14"/>
        <v>67071.093148138869</v>
      </c>
      <c r="D51" s="5">
        <f t="shared" si="15"/>
        <v>64806.365049620756</v>
      </c>
      <c r="E51" s="5">
        <f t="shared" si="1"/>
        <v>55306.365049620756</v>
      </c>
      <c r="F51" s="5">
        <f t="shared" si="2"/>
        <v>20439.914693663253</v>
      </c>
      <c r="G51" s="5">
        <f t="shared" si="3"/>
        <v>44366.450355957502</v>
      </c>
      <c r="H51" s="22">
        <f t="shared" si="16"/>
        <v>29351.042685231987</v>
      </c>
      <c r="I51" s="5">
        <f t="shared" si="17"/>
        <v>72426.047163039286</v>
      </c>
      <c r="J51" s="26">
        <f t="shared" si="5"/>
        <v>0.21429386618663931</v>
      </c>
      <c r="L51" s="22">
        <f t="shared" si="18"/>
        <v>69143.387573840897</v>
      </c>
      <c r="M51" s="5">
        <f>scrimecost*Meta!O48</f>
        <v>46.306000000000004</v>
      </c>
      <c r="N51" s="5">
        <f>L51-Grade16!L51</f>
        <v>137.30812404461903</v>
      </c>
      <c r="O51" s="5">
        <f>Grade16!M51-M51</f>
        <v>0</v>
      </c>
      <c r="P51" s="22">
        <f t="shared" si="12"/>
        <v>0</v>
      </c>
      <c r="Q51" s="22"/>
      <c r="R51" s="22"/>
      <c r="S51" s="22">
        <f t="shared" si="19"/>
        <v>29.60665232274884</v>
      </c>
      <c r="T51" s="22">
        <f t="shared" si="20"/>
        <v>2126.8535140819699</v>
      </c>
    </row>
    <row r="52" spans="1:20" x14ac:dyDescent="0.2">
      <c r="A52" s="5">
        <v>61</v>
      </c>
      <c r="B52" s="1">
        <f t="shared" si="13"/>
        <v>2.555682416076114</v>
      </c>
      <c r="C52" s="5">
        <f t="shared" si="14"/>
        <v>68747.870476842319</v>
      </c>
      <c r="D52" s="5">
        <f t="shared" si="15"/>
        <v>66409.36417586125</v>
      </c>
      <c r="E52" s="5">
        <f t="shared" si="1"/>
        <v>56909.36417586125</v>
      </c>
      <c r="F52" s="5">
        <f t="shared" si="2"/>
        <v>21123.593821004826</v>
      </c>
      <c r="G52" s="5">
        <f t="shared" si="3"/>
        <v>45285.770354856424</v>
      </c>
      <c r="H52" s="22">
        <f t="shared" si="16"/>
        <v>30084.818752362778</v>
      </c>
      <c r="I52" s="5">
        <f t="shared" si="17"/>
        <v>74046.857082115239</v>
      </c>
      <c r="J52" s="26">
        <f t="shared" si="5"/>
        <v>0.21630310751557691</v>
      </c>
      <c r="L52" s="22">
        <f t="shared" si="18"/>
        <v>70871.972263186908</v>
      </c>
      <c r="M52" s="5">
        <f>scrimecost*Meta!O49</f>
        <v>46.306000000000004</v>
      </c>
      <c r="N52" s="5">
        <f>L52-Grade16!L52</f>
        <v>140.74082714572432</v>
      </c>
      <c r="O52" s="5">
        <f>Grade16!M52-M52</f>
        <v>0</v>
      </c>
      <c r="P52" s="22">
        <f t="shared" si="12"/>
        <v>0</v>
      </c>
      <c r="Q52" s="22"/>
      <c r="R52" s="22"/>
      <c r="S52" s="22">
        <f t="shared" si="19"/>
        <v>30.346818630815367</v>
      </c>
      <c r="T52" s="22">
        <f t="shared" si="20"/>
        <v>2439.5668028215055</v>
      </c>
    </row>
    <row r="53" spans="1:20" x14ac:dyDescent="0.2">
      <c r="A53" s="5">
        <v>62</v>
      </c>
      <c r="B53" s="1">
        <f t="shared" si="13"/>
        <v>2.6195744764780171</v>
      </c>
      <c r="C53" s="5">
        <f t="shared" si="14"/>
        <v>70466.567238763382</v>
      </c>
      <c r="D53" s="5">
        <f t="shared" si="15"/>
        <v>68052.438280257789</v>
      </c>
      <c r="E53" s="5">
        <f t="shared" si="1"/>
        <v>58552.438280257789</v>
      </c>
      <c r="F53" s="5">
        <f t="shared" si="2"/>
        <v>21824.36492652995</v>
      </c>
      <c r="G53" s="5">
        <f t="shared" si="3"/>
        <v>46228.073353727843</v>
      </c>
      <c r="H53" s="22">
        <f t="shared" si="16"/>
        <v>30836.939221171851</v>
      </c>
      <c r="I53" s="5">
        <f t="shared" si="17"/>
        <v>75708.187249168128</v>
      </c>
      <c r="J53" s="26">
        <f t="shared" si="5"/>
        <v>0.21826334295844299</v>
      </c>
      <c r="L53" s="22">
        <f t="shared" si="18"/>
        <v>72643.771569766584</v>
      </c>
      <c r="M53" s="5">
        <f>scrimecost*Meta!O50</f>
        <v>46.306000000000004</v>
      </c>
      <c r="N53" s="5">
        <f>L53-Grade16!L53</f>
        <v>144.25934782436525</v>
      </c>
      <c r="O53" s="5">
        <f>Grade16!M53-M53</f>
        <v>0</v>
      </c>
      <c r="P53" s="22">
        <f t="shared" si="12"/>
        <v>0</v>
      </c>
      <c r="Q53" s="22"/>
      <c r="R53" s="22"/>
      <c r="S53" s="22">
        <f t="shared" si="19"/>
        <v>31.105489096585281</v>
      </c>
      <c r="T53" s="22">
        <f t="shared" si="20"/>
        <v>2798.2586229019012</v>
      </c>
    </row>
    <row r="54" spans="1:20" x14ac:dyDescent="0.2">
      <c r="A54" s="5">
        <v>63</v>
      </c>
      <c r="B54" s="1">
        <f t="shared" si="13"/>
        <v>2.6850638383899672</v>
      </c>
      <c r="C54" s="5">
        <f t="shared" si="14"/>
        <v>72228.231419732474</v>
      </c>
      <c r="D54" s="5">
        <f t="shared" si="15"/>
        <v>69736.589237264241</v>
      </c>
      <c r="E54" s="5">
        <f t="shared" si="1"/>
        <v>60236.589237264241</v>
      </c>
      <c r="F54" s="5">
        <f t="shared" si="2"/>
        <v>22542.655309693197</v>
      </c>
      <c r="G54" s="5">
        <f t="shared" si="3"/>
        <v>47193.933927571044</v>
      </c>
      <c r="H54" s="22">
        <f t="shared" si="16"/>
        <v>31607.862701701142</v>
      </c>
      <c r="I54" s="5">
        <f t="shared" si="17"/>
        <v>77411.050670397337</v>
      </c>
      <c r="J54" s="26">
        <f t="shared" si="5"/>
        <v>0.22017576778075126</v>
      </c>
      <c r="L54" s="22">
        <f t="shared" si="18"/>
        <v>74459.865859010737</v>
      </c>
      <c r="M54" s="5">
        <f>scrimecost*Meta!O51</f>
        <v>46.306000000000004</v>
      </c>
      <c r="N54" s="5">
        <f>L54-Grade16!L54</f>
        <v>147.86583151997183</v>
      </c>
      <c r="O54" s="5">
        <f>Grade16!M54-M54</f>
        <v>0</v>
      </c>
      <c r="P54" s="22">
        <f t="shared" si="12"/>
        <v>0</v>
      </c>
      <c r="Q54" s="22"/>
      <c r="R54" s="22"/>
      <c r="S54" s="22">
        <f t="shared" si="19"/>
        <v>31.883126323999363</v>
      </c>
      <c r="T54" s="22">
        <f t="shared" si="20"/>
        <v>3209.689241380343</v>
      </c>
    </row>
    <row r="55" spans="1:20" x14ac:dyDescent="0.2">
      <c r="A55" s="5">
        <v>64</v>
      </c>
      <c r="B55" s="1">
        <f t="shared" si="13"/>
        <v>2.7521904343497163</v>
      </c>
      <c r="C55" s="5">
        <f t="shared" si="14"/>
        <v>74033.937205225768</v>
      </c>
      <c r="D55" s="5">
        <f t="shared" si="15"/>
        <v>71462.843968195826</v>
      </c>
      <c r="E55" s="5">
        <f t="shared" si="1"/>
        <v>61962.843968195826</v>
      </c>
      <c r="F55" s="5">
        <f t="shared" si="2"/>
        <v>23278.902952435521</v>
      </c>
      <c r="G55" s="5">
        <f t="shared" si="3"/>
        <v>48183.941015760305</v>
      </c>
      <c r="H55" s="22">
        <f t="shared" si="16"/>
        <v>32398.059269243669</v>
      </c>
      <c r="I55" s="5">
        <f t="shared" si="17"/>
        <v>79156.485677157252</v>
      </c>
      <c r="J55" s="26">
        <f t="shared" si="5"/>
        <v>0.22204154809519841</v>
      </c>
      <c r="L55" s="22">
        <f t="shared" si="18"/>
        <v>76321.362505486017</v>
      </c>
      <c r="M55" s="5">
        <f>scrimecost*Meta!O52</f>
        <v>46.306000000000004</v>
      </c>
      <c r="N55" s="5">
        <f>L55-Grade16!L55</f>
        <v>151.56247730799078</v>
      </c>
      <c r="O55" s="5">
        <f>Grade16!M55-M55</f>
        <v>0</v>
      </c>
      <c r="P55" s="22">
        <f t="shared" si="12"/>
        <v>0</v>
      </c>
      <c r="Q55" s="22"/>
      <c r="R55" s="22"/>
      <c r="S55" s="22">
        <f t="shared" si="19"/>
        <v>32.680204482103584</v>
      </c>
      <c r="T55" s="22">
        <f t="shared" si="20"/>
        <v>3681.6128937898388</v>
      </c>
    </row>
    <row r="56" spans="1:20" x14ac:dyDescent="0.2">
      <c r="A56" s="5">
        <v>65</v>
      </c>
      <c r="B56" s="1">
        <f t="shared" si="13"/>
        <v>2.8209951952084591</v>
      </c>
      <c r="C56" s="5">
        <f t="shared" si="14"/>
        <v>75884.785635356413</v>
      </c>
      <c r="D56" s="5">
        <f t="shared" si="15"/>
        <v>73232.255067400722</v>
      </c>
      <c r="E56" s="5">
        <f t="shared" si="1"/>
        <v>63732.255067400722</v>
      </c>
      <c r="F56" s="5">
        <f t="shared" si="2"/>
        <v>24033.556786246409</v>
      </c>
      <c r="G56" s="5">
        <f t="shared" si="3"/>
        <v>49198.698281154313</v>
      </c>
      <c r="H56" s="22">
        <f t="shared" si="16"/>
        <v>33208.010750974761</v>
      </c>
      <c r="I56" s="5">
        <f t="shared" si="17"/>
        <v>80945.556559086181</v>
      </c>
      <c r="J56" s="26">
        <f t="shared" si="5"/>
        <v>0.22386182157270781</v>
      </c>
      <c r="L56" s="22">
        <f t="shared" si="18"/>
        <v>78229.396568123149</v>
      </c>
      <c r="M56" s="5">
        <f>scrimecost*Meta!O53</f>
        <v>12.843999999999999</v>
      </c>
      <c r="N56" s="5">
        <f>L56-Grade16!L56</f>
        <v>155.35153924066981</v>
      </c>
      <c r="O56" s="5">
        <f>Grade16!M56-M56</f>
        <v>0</v>
      </c>
      <c r="P56" s="22">
        <f t="shared" si="12"/>
        <v>0</v>
      </c>
      <c r="Q56" s="22"/>
      <c r="R56" s="22"/>
      <c r="S56" s="22">
        <f t="shared" si="19"/>
        <v>33.497209594151705</v>
      </c>
      <c r="T56" s="22">
        <f t="shared" si="20"/>
        <v>4222.9239282638282</v>
      </c>
    </row>
    <row r="57" spans="1:20" x14ac:dyDescent="0.2">
      <c r="A57" s="5">
        <v>66</v>
      </c>
      <c r="C57" s="5"/>
      <c r="H57" s="21"/>
      <c r="I57" s="5"/>
      <c r="M57" s="5">
        <f>scrimecost*Meta!O54</f>
        <v>12.843999999999999</v>
      </c>
      <c r="N57" s="5">
        <f>L57-Grade16!L57</f>
        <v>0</v>
      </c>
      <c r="O57" s="5">
        <f>Grade16!M57-M57</f>
        <v>0</v>
      </c>
      <c r="Q57" s="22"/>
      <c r="R57" s="22"/>
      <c r="S57" s="22">
        <f t="shared" si="19"/>
        <v>0</v>
      </c>
      <c r="T57" s="22">
        <f t="shared" si="20"/>
        <v>0</v>
      </c>
    </row>
    <row r="58" spans="1:20" x14ac:dyDescent="0.2">
      <c r="A58" s="5">
        <v>67</v>
      </c>
      <c r="C58" s="5"/>
      <c r="H58" s="21"/>
      <c r="I58" s="5"/>
      <c r="M58" s="5">
        <f>scrimecost*Meta!O55</f>
        <v>12.843999999999999</v>
      </c>
      <c r="N58" s="5">
        <f>L58-Grade16!L58</f>
        <v>0</v>
      </c>
      <c r="O58" s="5">
        <f>Grade16!M58-M58</f>
        <v>0</v>
      </c>
      <c r="Q58" s="22"/>
      <c r="R58" s="22"/>
      <c r="S58" s="22">
        <f t="shared" si="19"/>
        <v>0</v>
      </c>
      <c r="T58" s="22">
        <f t="shared" si="20"/>
        <v>0</v>
      </c>
    </row>
    <row r="59" spans="1:20" x14ac:dyDescent="0.2">
      <c r="A59" s="5">
        <v>68</v>
      </c>
      <c r="H59" s="21"/>
      <c r="I59" s="5"/>
      <c r="M59" s="5">
        <f>scrimecost*Meta!O56</f>
        <v>12.843999999999999</v>
      </c>
      <c r="N59" s="5">
        <f>L59-Grade16!L59</f>
        <v>0</v>
      </c>
      <c r="O59" s="5">
        <f>Grade16!M59-M59</f>
        <v>0</v>
      </c>
      <c r="Q59" s="22"/>
      <c r="R59" s="22"/>
      <c r="S59" s="22">
        <f t="shared" si="19"/>
        <v>0</v>
      </c>
      <c r="T59" s="22">
        <f t="shared" si="20"/>
        <v>0</v>
      </c>
    </row>
    <row r="60" spans="1:20" x14ac:dyDescent="0.2">
      <c r="A60" s="5">
        <v>69</v>
      </c>
      <c r="H60" s="21"/>
      <c r="I60" s="5"/>
      <c r="M60" s="5">
        <f>scrimecost*Meta!O57</f>
        <v>12.843999999999999</v>
      </c>
      <c r="N60" s="5">
        <f>L60-Grade16!L60</f>
        <v>0</v>
      </c>
      <c r="O60" s="5">
        <f>Grade16!M60-M60</f>
        <v>0</v>
      </c>
      <c r="Q60" s="22"/>
      <c r="R60" s="22"/>
      <c r="S60" s="22">
        <f t="shared" si="19"/>
        <v>0</v>
      </c>
      <c r="T60" s="22">
        <f t="shared" si="20"/>
        <v>0</v>
      </c>
    </row>
    <row r="61" spans="1:20" x14ac:dyDescent="0.2">
      <c r="A61" s="5">
        <v>70</v>
      </c>
      <c r="H61" s="21"/>
      <c r="I61" s="5"/>
      <c r="M61" s="5">
        <f>scrimecost*Meta!O58</f>
        <v>12.843999999999999</v>
      </c>
      <c r="N61" s="5">
        <f>L61-Grade16!L61</f>
        <v>0</v>
      </c>
      <c r="O61" s="5">
        <f>Grade16!M61-M61</f>
        <v>0</v>
      </c>
      <c r="Q61" s="22"/>
      <c r="R61" s="22"/>
      <c r="S61" s="22">
        <f t="shared" si="19"/>
        <v>0</v>
      </c>
      <c r="T61" s="22">
        <f t="shared" si="20"/>
        <v>0</v>
      </c>
    </row>
    <row r="62" spans="1:20" x14ac:dyDescent="0.2">
      <c r="A62" s="5">
        <v>71</v>
      </c>
      <c r="H62" s="21"/>
      <c r="I62" s="5"/>
      <c r="M62" s="5">
        <f>scrimecost*Meta!O59</f>
        <v>12.843999999999999</v>
      </c>
      <c r="N62" s="5">
        <f>L62-Grade16!L62</f>
        <v>0</v>
      </c>
      <c r="O62" s="5">
        <f>Grade16!M62-M62</f>
        <v>0</v>
      </c>
      <c r="Q62" s="22"/>
      <c r="R62" s="22"/>
      <c r="S62" s="22">
        <f t="shared" si="19"/>
        <v>0</v>
      </c>
      <c r="T62" s="22">
        <f t="shared" si="20"/>
        <v>0</v>
      </c>
    </row>
    <row r="63" spans="1:20" x14ac:dyDescent="0.2">
      <c r="A63" s="5">
        <v>72</v>
      </c>
      <c r="H63" s="21"/>
      <c r="M63" s="5">
        <f>scrimecost*Meta!O60</f>
        <v>12.843999999999999</v>
      </c>
      <c r="N63" s="5">
        <f>L63-Grade16!L63</f>
        <v>0</v>
      </c>
      <c r="O63" s="5">
        <f>Grade16!M63-M63</f>
        <v>0</v>
      </c>
      <c r="Q63" s="22"/>
      <c r="R63" s="22"/>
      <c r="S63" s="22">
        <f t="shared" si="19"/>
        <v>0</v>
      </c>
      <c r="T63" s="22">
        <f t="shared" si="20"/>
        <v>0</v>
      </c>
    </row>
    <row r="64" spans="1:20" x14ac:dyDescent="0.2">
      <c r="A64" s="5">
        <v>73</v>
      </c>
      <c r="H64" s="21"/>
      <c r="M64" s="5">
        <f>scrimecost*Meta!O61</f>
        <v>12.843999999999999</v>
      </c>
      <c r="N64" s="5">
        <f>L64-Grade16!L64</f>
        <v>0</v>
      </c>
      <c r="O64" s="5">
        <f>Grade16!M64-M64</f>
        <v>0</v>
      </c>
      <c r="Q64" s="22"/>
      <c r="R64" s="22"/>
      <c r="S64" s="22">
        <f t="shared" si="19"/>
        <v>0</v>
      </c>
      <c r="T64" s="22">
        <f t="shared" si="20"/>
        <v>0</v>
      </c>
    </row>
    <row r="65" spans="1:20" x14ac:dyDescent="0.2">
      <c r="A65" s="5">
        <v>74</v>
      </c>
      <c r="H65" s="21"/>
      <c r="M65" s="5">
        <f>scrimecost*Meta!O62</f>
        <v>12.843999999999999</v>
      </c>
      <c r="N65" s="5">
        <f>L65-Grade16!L65</f>
        <v>0</v>
      </c>
      <c r="O65" s="5">
        <f>Grade16!M65-M65</f>
        <v>0</v>
      </c>
      <c r="Q65" s="22"/>
      <c r="R65" s="22"/>
      <c r="S65" s="22">
        <f t="shared" si="19"/>
        <v>0</v>
      </c>
      <c r="T65" s="22">
        <f t="shared" si="20"/>
        <v>0</v>
      </c>
    </row>
    <row r="66" spans="1:20" x14ac:dyDescent="0.2">
      <c r="A66" s="5">
        <v>75</v>
      </c>
      <c r="H66" s="21"/>
      <c r="M66" s="5">
        <f>scrimecost*Meta!O63</f>
        <v>12.843999999999999</v>
      </c>
      <c r="N66" s="5">
        <f>L66-Grade16!L66</f>
        <v>0</v>
      </c>
      <c r="O66" s="5">
        <f>Grade16!M66-M66</f>
        <v>0</v>
      </c>
      <c r="Q66" s="22"/>
      <c r="R66" s="22"/>
      <c r="S66" s="22">
        <f t="shared" si="19"/>
        <v>0</v>
      </c>
      <c r="T66" s="22">
        <f t="shared" si="20"/>
        <v>0</v>
      </c>
    </row>
    <row r="67" spans="1:20" x14ac:dyDescent="0.2">
      <c r="A67" s="5">
        <v>76</v>
      </c>
      <c r="H67" s="21"/>
      <c r="M67" s="5">
        <f>scrimecost*Meta!O64</f>
        <v>12.843999999999999</v>
      </c>
      <c r="N67" s="5">
        <f>L67-Grade16!L67</f>
        <v>0</v>
      </c>
      <c r="O67" s="5">
        <f>Grade16!M67-M67</f>
        <v>0</v>
      </c>
      <c r="Q67" s="22"/>
      <c r="R67" s="22"/>
      <c r="S67" s="22">
        <f t="shared" si="19"/>
        <v>0</v>
      </c>
      <c r="T67" s="22">
        <f t="shared" si="20"/>
        <v>0</v>
      </c>
    </row>
    <row r="68" spans="1:20" x14ac:dyDescent="0.2">
      <c r="A68" s="5">
        <v>77</v>
      </c>
      <c r="H68" s="21"/>
      <c r="M68" s="5">
        <f>scrimecost*Meta!O65</f>
        <v>12.843999999999999</v>
      </c>
      <c r="N68" s="5">
        <f>L68-Grade16!L68</f>
        <v>0</v>
      </c>
      <c r="O68" s="5">
        <f>Grade16!M68-M68</f>
        <v>0</v>
      </c>
      <c r="Q68" s="22"/>
      <c r="R68" s="22"/>
      <c r="S68" s="22">
        <f t="shared" si="19"/>
        <v>0</v>
      </c>
      <c r="T68" s="22">
        <f t="shared" si="20"/>
        <v>0</v>
      </c>
    </row>
    <row r="69" spans="1:20" x14ac:dyDescent="0.2">
      <c r="A69" s="5">
        <v>78</v>
      </c>
      <c r="H69" s="21"/>
      <c r="M69" s="5">
        <f>scrimecost*Meta!O66</f>
        <v>12.843999999999999</v>
      </c>
      <c r="N69" s="5">
        <f>L69-Grade16!L69</f>
        <v>0</v>
      </c>
      <c r="O69" s="5">
        <f>Grade16!M69-M69</f>
        <v>0</v>
      </c>
      <c r="Q69" s="22"/>
      <c r="R69" s="22"/>
      <c r="S69" s="22">
        <f t="shared" si="19"/>
        <v>0</v>
      </c>
      <c r="T69" s="22">
        <f t="shared" si="20"/>
        <v>0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2.1645973902195692E-10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S14" sqref="S14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Meta!A12+6</f>
        <v>24</v>
      </c>
      <c r="C2" s="7">
        <f>Meta!B12</f>
        <v>52731</v>
      </c>
      <c r="D2" s="7">
        <f>Meta!C12</f>
        <v>22518</v>
      </c>
      <c r="E2" s="1">
        <f>Meta!D12</f>
        <v>3.9E-2</v>
      </c>
      <c r="F2" s="1">
        <f>Meta!F12</f>
        <v>0.64700000000000002</v>
      </c>
      <c r="G2" s="1">
        <f>Meta!I12</f>
        <v>1.7342811382937739</v>
      </c>
      <c r="H2" s="1">
        <f>Meta!E12</f>
        <v>0.36299999999999999</v>
      </c>
      <c r="I2" s="13"/>
      <c r="J2" s="1">
        <f>Meta!X11</f>
        <v>0.59399999999999997</v>
      </c>
      <c r="K2" s="1">
        <f>Meta!D11</f>
        <v>4.3999999999999997E-2</v>
      </c>
      <c r="L2" s="29"/>
      <c r="N2" s="22">
        <f>Meta!T12</f>
        <v>36041</v>
      </c>
      <c r="O2" s="22">
        <f>Meta!U12</f>
        <v>16280</v>
      </c>
      <c r="P2" s="1">
        <f>Meta!V12</f>
        <v>5.5E-2</v>
      </c>
      <c r="Q2" s="1">
        <f>Meta!X12</f>
        <v>0.59399999999999997</v>
      </c>
      <c r="R2" s="22">
        <f>Meta!W12</f>
        <v>338</v>
      </c>
      <c r="T2" s="12">
        <f>IRR(S5:S69)+1</f>
        <v>0.90067064144741904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6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C12" s="5"/>
      <c r="D12" s="5"/>
      <c r="E12" s="5"/>
      <c r="F12" s="5"/>
      <c r="G12" s="5"/>
      <c r="H12" s="22"/>
      <c r="I12" s="5"/>
      <c r="J12" s="26"/>
      <c r="L12" s="22"/>
      <c r="M12" s="5"/>
      <c r="N12" s="5"/>
      <c r="O12" s="5"/>
      <c r="P12" s="22"/>
      <c r="Q12" s="22"/>
      <c r="R12" s="22"/>
      <c r="S12" s="22"/>
      <c r="T12" s="22"/>
    </row>
    <row r="13" spans="1:20" x14ac:dyDescent="0.2">
      <c r="A13" s="5">
        <v>22</v>
      </c>
      <c r="C13" s="5"/>
      <c r="D13" s="5"/>
      <c r="E13" s="5"/>
      <c r="F13" s="5"/>
      <c r="G13" s="5"/>
      <c r="H13" s="22"/>
      <c r="I13" s="5"/>
      <c r="J13" s="26"/>
      <c r="L13" s="22"/>
      <c r="M13" s="5"/>
      <c r="N13" s="5"/>
      <c r="O13" s="5"/>
      <c r="P13" s="22"/>
      <c r="Q13" s="22"/>
      <c r="R13" s="22"/>
      <c r="S13" s="22"/>
      <c r="T13" s="22"/>
    </row>
    <row r="14" spans="1:20" x14ac:dyDescent="0.2">
      <c r="A14" s="5">
        <v>23</v>
      </c>
      <c r="B14" s="1">
        <v>1</v>
      </c>
      <c r="C14" s="5">
        <f>0.1*Grade17!C14</f>
        <v>2690.0005276240418</v>
      </c>
      <c r="D14" s="5">
        <f t="shared" ref="D14:D36" si="0">IF(A14&lt;startage,1,0)*(C14*(1-initialunempprob))+IF(A14=startage,1,0)*(C14*(1-unempprob))+IF(A14&gt;startage,1,0)*(C14*(1-unempprob)+unempprob*300*52)</f>
        <v>2571.6405044085836</v>
      </c>
      <c r="E14" s="5">
        <f t="shared" ref="E14:E56" si="1">IF(D14-9500&gt;0,1,0)*(D14-9500)</f>
        <v>0</v>
      </c>
      <c r="F14" s="5">
        <f t="shared" ref="F14:F56" si="2">IF(E14&lt;=8500,1,0)*(0.1*E14+0.1*E14+0.0765*D14)+IF(AND(E14&gt;8500,E14&lt;=34500),1,0)*(850+0.15*(E14-8500)+0.1*E14+0.0765*D14)+IF(AND(E14&gt;34500,E14&lt;=83600),1,0)*(4750+0.25*(E14-34500)+0.1*E14+0.0765*D14)+IF(AND(E14&gt;83600,E14&lt;=174400,D14&lt;=106800),1,0)*(17025+0.28*(E14-83600)+0.1*E14+0.0765*D14)+IF(AND(E14&gt;83600,E14&lt;=174400,D14&gt;106800),1,0)*(17025+0.28*(E14-83600)+0.1*E14+8170.2+0.0145*(D14-106800))+IF(AND(E14&gt;174400,E14&lt;=379150),1,0)*(42449+0.33*(E14-174400)+0.1*E14+8170.2+0.0145*(D14-106800))+IF(E14&gt;379150,1,0)*(110016.5+0.35*(E14-379150)+0.1*E14+8170.2+0.0145*(D14-106800))</f>
        <v>196.73049858725665</v>
      </c>
      <c r="G14" s="5">
        <f t="shared" ref="G14:G56" si="3">D14-F14</f>
        <v>2374.9100058213271</v>
      </c>
      <c r="H14" s="22">
        <f>0.1*Grade17!H14</f>
        <v>1177.1736019749171</v>
      </c>
      <c r="I14" s="5">
        <f t="shared" ref="I14:I36" si="4">G14+IF(A14&lt;startage,1,0)*(H14*(1-initialunempprob))+IF(A14&gt;=startage,1,0)*(H14*(1-unempprob))</f>
        <v>3500.2879693093478</v>
      </c>
      <c r="J14" s="26">
        <f t="shared" ref="J14:J56" si="5">(F14-(IF(A14&gt;startage,1,0)*(unempprob*300*52)))/(IF(A14&lt;startage,1,0)*((C14+H14)*(1-initialunempprob))+IF(A14&gt;=startage,1,0)*((C14+H14)*(1-unempprob)))</f>
        <v>5.3213285325887281E-2</v>
      </c>
      <c r="L14" s="22">
        <f>0.1*Grade17!L14</f>
        <v>2773.1134282326329</v>
      </c>
      <c r="M14" s="5">
        <f>scrimecost*Meta!O11</f>
        <v>908.2059999999999</v>
      </c>
      <c r="N14" s="5">
        <f>L14-Grade17!L14</f>
        <v>-24958.020854093695</v>
      </c>
      <c r="O14" s="5"/>
      <c r="P14" s="22"/>
      <c r="Q14" s="22">
        <f>0.05*feel*Grade17!G14</f>
        <v>281.67998316068542</v>
      </c>
      <c r="R14" s="22">
        <f>coltuition</f>
        <v>8279</v>
      </c>
      <c r="S14" s="22">
        <f t="shared" ref="S14:S45" si="6">IF(A14&lt;startage,1,0)*(N14-Q14-R14)+IF(A14&gt;=startage,1,0)*completionprob*(N14*spart+O14+P14)</f>
        <v>-33518.700837254379</v>
      </c>
      <c r="T14" s="22">
        <f t="shared" ref="T14:T45" si="7">S14/sreturn^(A14-startage+1)</f>
        <v>-33518.700837254379</v>
      </c>
    </row>
    <row r="15" spans="1:20" x14ac:dyDescent="0.2">
      <c r="A15" s="5">
        <v>24</v>
      </c>
      <c r="B15" s="1">
        <f t="shared" ref="B15:B36" si="8">(1+experiencepremium)^(A15-startage)</f>
        <v>1</v>
      </c>
      <c r="C15" s="5">
        <f t="shared" ref="C15:C36" si="9">pretaxincome*B15/expnorm</f>
        <v>30405.104936952714</v>
      </c>
      <c r="D15" s="5">
        <f t="shared" si="0"/>
        <v>29219.305844411556</v>
      </c>
      <c r="E15" s="5">
        <f t="shared" si="1"/>
        <v>19719.305844411556</v>
      </c>
      <c r="F15" s="5">
        <f t="shared" si="2"/>
        <v>6740.1033582003729</v>
      </c>
      <c r="G15" s="5">
        <f t="shared" si="3"/>
        <v>22479.202486211183</v>
      </c>
      <c r="H15" s="22">
        <f t="shared" ref="H15:H36" si="10">benefits*B15/expnorm</f>
        <v>12984.05402837612</v>
      </c>
      <c r="I15" s="5">
        <f t="shared" si="4"/>
        <v>34956.878407480632</v>
      </c>
      <c r="J15" s="26">
        <f t="shared" si="5"/>
        <v>0.16164487386825352</v>
      </c>
      <c r="L15" s="22">
        <f t="shared" ref="L15:L36" si="11">(sincome+sbenefits)*(1-sunemp)*B15/expnorm</f>
        <v>28509.41748039969</v>
      </c>
      <c r="M15" s="5">
        <f>scrimecost*Meta!O12</f>
        <v>869.67399999999998</v>
      </c>
      <c r="N15" s="5">
        <f>L15-Grade17!L15</f>
        <v>85.004841015204875</v>
      </c>
      <c r="O15" s="5">
        <f>Grade17!M15-M15</f>
        <v>0</v>
      </c>
      <c r="P15" s="22">
        <f t="shared" ref="P15:P56" si="12">(spart-initialspart)*(L15*J15+nptrans)</f>
        <v>0</v>
      </c>
      <c r="Q15" s="22"/>
      <c r="R15" s="22"/>
      <c r="S15" s="22">
        <f t="shared" si="6"/>
        <v>18.328913829380504</v>
      </c>
      <c r="T15" s="22">
        <f t="shared" si="7"/>
        <v>20.350295641839839</v>
      </c>
    </row>
    <row r="16" spans="1:20" x14ac:dyDescent="0.2">
      <c r="A16" s="5">
        <v>25</v>
      </c>
      <c r="B16" s="1">
        <f t="shared" si="8"/>
        <v>1.0249999999999999</v>
      </c>
      <c r="C16" s="5">
        <f t="shared" si="9"/>
        <v>31165.232560376528</v>
      </c>
      <c r="D16" s="5">
        <f t="shared" si="0"/>
        <v>30558.188490521843</v>
      </c>
      <c r="E16" s="5">
        <f t="shared" si="1"/>
        <v>21058.188490521843</v>
      </c>
      <c r="F16" s="5">
        <f t="shared" si="2"/>
        <v>7177.2485421553811</v>
      </c>
      <c r="G16" s="5">
        <f t="shared" si="3"/>
        <v>23380.93994836646</v>
      </c>
      <c r="H16" s="22">
        <f t="shared" si="10"/>
        <v>13308.655379085521</v>
      </c>
      <c r="I16" s="5">
        <f t="shared" si="4"/>
        <v>36170.557767667648</v>
      </c>
      <c r="J16" s="26">
        <f t="shared" si="5"/>
        <v>0.1536953624141856</v>
      </c>
      <c r="L16" s="22">
        <f t="shared" si="11"/>
        <v>29222.15291740968</v>
      </c>
      <c r="M16" s="5">
        <f>scrimecost*Meta!O13</f>
        <v>736.16399999999999</v>
      </c>
      <c r="N16" s="5">
        <f>L16-Grade17!L16</f>
        <v>87.12996204058436</v>
      </c>
      <c r="O16" s="5">
        <f>Grade17!M16-M16</f>
        <v>0</v>
      </c>
      <c r="P16" s="22">
        <f t="shared" si="12"/>
        <v>0</v>
      </c>
      <c r="Q16" s="22"/>
      <c r="R16" s="22"/>
      <c r="S16" s="22">
        <f t="shared" si="6"/>
        <v>18.78713667511488</v>
      </c>
      <c r="T16" s="22">
        <f t="shared" si="7"/>
        <v>23.159468148494579</v>
      </c>
    </row>
    <row r="17" spans="1:20" x14ac:dyDescent="0.2">
      <c r="A17" s="5">
        <v>26</v>
      </c>
      <c r="B17" s="1">
        <f t="shared" si="8"/>
        <v>1.0506249999999999</v>
      </c>
      <c r="C17" s="5">
        <f t="shared" si="9"/>
        <v>31944.363374385946</v>
      </c>
      <c r="D17" s="5">
        <f t="shared" si="0"/>
        <v>31306.933202784894</v>
      </c>
      <c r="E17" s="5">
        <f t="shared" si="1"/>
        <v>21806.933202784894</v>
      </c>
      <c r="F17" s="5">
        <f t="shared" si="2"/>
        <v>7421.7136907092681</v>
      </c>
      <c r="G17" s="5">
        <f t="shared" si="3"/>
        <v>23885.219512075626</v>
      </c>
      <c r="H17" s="22">
        <f t="shared" si="10"/>
        <v>13641.37176356266</v>
      </c>
      <c r="I17" s="5">
        <f t="shared" si="4"/>
        <v>36994.57777685934</v>
      </c>
      <c r="J17" s="26">
        <f t="shared" si="5"/>
        <v>0.15552708570220111</v>
      </c>
      <c r="L17" s="22">
        <f t="shared" si="11"/>
        <v>29952.706740344925</v>
      </c>
      <c r="M17" s="5">
        <f>scrimecost*Meta!O14</f>
        <v>736.16399999999999</v>
      </c>
      <c r="N17" s="5">
        <f>L17-Grade17!L17</f>
        <v>89.30821109160388</v>
      </c>
      <c r="O17" s="5">
        <f>Grade17!M17-M17</f>
        <v>0</v>
      </c>
      <c r="P17" s="22">
        <f t="shared" si="12"/>
        <v>0</v>
      </c>
      <c r="Q17" s="22"/>
      <c r="R17" s="22"/>
      <c r="S17" s="22">
        <f t="shared" si="6"/>
        <v>19.256815091993811</v>
      </c>
      <c r="T17" s="22">
        <f t="shared" si="7"/>
        <v>26.356421270776035</v>
      </c>
    </row>
    <row r="18" spans="1:20" x14ac:dyDescent="0.2">
      <c r="A18" s="5">
        <v>27</v>
      </c>
      <c r="B18" s="1">
        <f t="shared" si="8"/>
        <v>1.0768906249999999</v>
      </c>
      <c r="C18" s="5">
        <f t="shared" si="9"/>
        <v>32742.972458745593</v>
      </c>
      <c r="D18" s="5">
        <f t="shared" si="0"/>
        <v>32074.396532854516</v>
      </c>
      <c r="E18" s="5">
        <f t="shared" si="1"/>
        <v>22574.396532854516</v>
      </c>
      <c r="F18" s="5">
        <f t="shared" si="2"/>
        <v>7672.2904679769999</v>
      </c>
      <c r="G18" s="5">
        <f t="shared" si="3"/>
        <v>24402.106064877516</v>
      </c>
      <c r="H18" s="22">
        <f t="shared" si="10"/>
        <v>13982.406057651726</v>
      </c>
      <c r="I18" s="5">
        <f t="shared" si="4"/>
        <v>37839.198286280822</v>
      </c>
      <c r="J18" s="26">
        <f t="shared" si="5"/>
        <v>0.15731413281246012</v>
      </c>
      <c r="L18" s="22">
        <f t="shared" si="11"/>
        <v>30701.524408853544</v>
      </c>
      <c r="M18" s="5">
        <f>scrimecost*Meta!O15</f>
        <v>736.16399999999999</v>
      </c>
      <c r="N18" s="5">
        <f>L18-Grade17!L18</f>
        <v>91.540916368889157</v>
      </c>
      <c r="O18" s="5">
        <f>Grade17!M18-M18</f>
        <v>0</v>
      </c>
      <c r="P18" s="22">
        <f t="shared" si="12"/>
        <v>0</v>
      </c>
      <c r="Q18" s="22"/>
      <c r="R18" s="22"/>
      <c r="S18" s="22">
        <f t="shared" si="6"/>
        <v>19.738235469292615</v>
      </c>
      <c r="T18" s="22">
        <f t="shared" si="7"/>
        <v>29.994684582067794</v>
      </c>
    </row>
    <row r="19" spans="1:20" x14ac:dyDescent="0.2">
      <c r="A19" s="5">
        <v>28</v>
      </c>
      <c r="B19" s="1">
        <f t="shared" si="8"/>
        <v>1.1038128906249998</v>
      </c>
      <c r="C19" s="5">
        <f t="shared" si="9"/>
        <v>33561.546770214227</v>
      </c>
      <c r="D19" s="5">
        <f t="shared" si="0"/>
        <v>32861.046446175867</v>
      </c>
      <c r="E19" s="5">
        <f t="shared" si="1"/>
        <v>23361.046446175867</v>
      </c>
      <c r="F19" s="5">
        <f t="shared" si="2"/>
        <v>7929.1316646764208</v>
      </c>
      <c r="G19" s="5">
        <f t="shared" si="3"/>
        <v>24931.914781499447</v>
      </c>
      <c r="H19" s="22">
        <f t="shared" si="10"/>
        <v>14331.966209093018</v>
      </c>
      <c r="I19" s="5">
        <f t="shared" si="4"/>
        <v>38704.934308437834</v>
      </c>
      <c r="J19" s="26">
        <f t="shared" si="5"/>
        <v>0.15905759340783474</v>
      </c>
      <c r="L19" s="22">
        <f t="shared" si="11"/>
        <v>31469.06251907488</v>
      </c>
      <c r="M19" s="5">
        <f>scrimecost*Meta!O16</f>
        <v>736.16399999999999</v>
      </c>
      <c r="N19" s="5">
        <f>L19-Grade17!L19</f>
        <v>93.829439278113568</v>
      </c>
      <c r="O19" s="5">
        <f>Grade17!M19-M19</f>
        <v>0</v>
      </c>
      <c r="P19" s="22">
        <f t="shared" si="12"/>
        <v>0</v>
      </c>
      <c r="Q19" s="22"/>
      <c r="R19" s="22"/>
      <c r="S19" s="22">
        <f t="shared" si="6"/>
        <v>20.231691356025401</v>
      </c>
      <c r="T19" s="22">
        <f t="shared" si="7"/>
        <v>34.135176924621746</v>
      </c>
    </row>
    <row r="20" spans="1:20" x14ac:dyDescent="0.2">
      <c r="A20" s="5">
        <v>29</v>
      </c>
      <c r="B20" s="1">
        <f t="shared" si="8"/>
        <v>1.1314082128906247</v>
      </c>
      <c r="C20" s="5">
        <f t="shared" si="9"/>
        <v>34400.585439469578</v>
      </c>
      <c r="D20" s="5">
        <f t="shared" si="0"/>
        <v>33667.362607330266</v>
      </c>
      <c r="E20" s="5">
        <f t="shared" si="1"/>
        <v>24167.362607330266</v>
      </c>
      <c r="F20" s="5">
        <f t="shared" si="2"/>
        <v>8192.3938912933318</v>
      </c>
      <c r="G20" s="5">
        <f t="shared" si="3"/>
        <v>25474.968716036936</v>
      </c>
      <c r="H20" s="22">
        <f t="shared" si="10"/>
        <v>14690.265364320343</v>
      </c>
      <c r="I20" s="5">
        <f t="shared" si="4"/>
        <v>39592.313731148781</v>
      </c>
      <c r="J20" s="26">
        <f t="shared" si="5"/>
        <v>0.16075853057405387</v>
      </c>
      <c r="L20" s="22">
        <f t="shared" si="11"/>
        <v>32255.78908205175</v>
      </c>
      <c r="M20" s="5">
        <f>scrimecost*Meta!O17</f>
        <v>736.16399999999999</v>
      </c>
      <c r="N20" s="5">
        <f>L20-Grade17!L20</f>
        <v>96.175175260064862</v>
      </c>
      <c r="O20" s="5">
        <f>Grade17!M20-M20</f>
        <v>0</v>
      </c>
      <c r="P20" s="22">
        <f t="shared" si="12"/>
        <v>0</v>
      </c>
      <c r="Q20" s="22"/>
      <c r="R20" s="22"/>
      <c r="S20" s="22">
        <f t="shared" si="6"/>
        <v>20.737483639925703</v>
      </c>
      <c r="T20" s="22">
        <f t="shared" si="7"/>
        <v>38.847226430638962</v>
      </c>
    </row>
    <row r="21" spans="1:20" x14ac:dyDescent="0.2">
      <c r="A21" s="5">
        <v>30</v>
      </c>
      <c r="B21" s="1">
        <f t="shared" si="8"/>
        <v>1.1596934182128902</v>
      </c>
      <c r="C21" s="5">
        <f t="shared" si="9"/>
        <v>35260.600075456314</v>
      </c>
      <c r="D21" s="5">
        <f t="shared" si="0"/>
        <v>34493.83667251352</v>
      </c>
      <c r="E21" s="5">
        <f t="shared" si="1"/>
        <v>24993.83667251352</v>
      </c>
      <c r="F21" s="5">
        <f t="shared" si="2"/>
        <v>8462.2376735756643</v>
      </c>
      <c r="G21" s="5">
        <f t="shared" si="3"/>
        <v>26031.598998937858</v>
      </c>
      <c r="H21" s="22">
        <f t="shared" si="10"/>
        <v>15057.52199842835</v>
      </c>
      <c r="I21" s="5">
        <f t="shared" si="4"/>
        <v>40501.877639427505</v>
      </c>
      <c r="J21" s="26">
        <f t="shared" si="5"/>
        <v>0.16241798146792624</v>
      </c>
      <c r="L21" s="22">
        <f t="shared" si="11"/>
        <v>33062.183809103037</v>
      </c>
      <c r="M21" s="5">
        <f>scrimecost*Meta!O18</f>
        <v>580.68399999999997</v>
      </c>
      <c r="N21" s="5">
        <f>L21-Grade17!L21</f>
        <v>98.579554641561117</v>
      </c>
      <c r="O21" s="5">
        <f>Grade17!M21-M21</f>
        <v>0</v>
      </c>
      <c r="P21" s="22">
        <f t="shared" si="12"/>
        <v>0</v>
      </c>
      <c r="Q21" s="22"/>
      <c r="R21" s="22"/>
      <c r="S21" s="22">
        <f t="shared" si="6"/>
        <v>21.255920730922689</v>
      </c>
      <c r="T21" s="22">
        <f t="shared" si="7"/>
        <v>44.209731347979506</v>
      </c>
    </row>
    <row r="22" spans="1:20" x14ac:dyDescent="0.2">
      <c r="A22" s="5">
        <v>31</v>
      </c>
      <c r="B22" s="1">
        <f t="shared" si="8"/>
        <v>1.1886857536682125</v>
      </c>
      <c r="C22" s="5">
        <f t="shared" si="9"/>
        <v>36142.115077342729</v>
      </c>
      <c r="D22" s="5">
        <f t="shared" si="0"/>
        <v>35340.97258932636</v>
      </c>
      <c r="E22" s="5">
        <f t="shared" si="1"/>
        <v>25840.97258932636</v>
      </c>
      <c r="F22" s="5">
        <f t="shared" si="2"/>
        <v>8738.827550415057</v>
      </c>
      <c r="G22" s="5">
        <f t="shared" si="3"/>
        <v>26602.145038911302</v>
      </c>
      <c r="H22" s="22">
        <f t="shared" si="10"/>
        <v>15433.960048389059</v>
      </c>
      <c r="I22" s="5">
        <f t="shared" si="4"/>
        <v>41434.180645413187</v>
      </c>
      <c r="J22" s="26">
        <f t="shared" si="5"/>
        <v>0.16403695794975293</v>
      </c>
      <c r="L22" s="22">
        <f t="shared" si="11"/>
        <v>33888.738404330623</v>
      </c>
      <c r="M22" s="5">
        <f>scrimecost*Meta!O19</f>
        <v>580.68399999999997</v>
      </c>
      <c r="N22" s="5">
        <f>L22-Grade17!L22</f>
        <v>101.04404350760888</v>
      </c>
      <c r="O22" s="5">
        <f>Grade17!M22-M22</f>
        <v>0</v>
      </c>
      <c r="P22" s="22">
        <f t="shared" si="12"/>
        <v>0</v>
      </c>
      <c r="Q22" s="22"/>
      <c r="R22" s="22"/>
      <c r="S22" s="22">
        <f t="shared" si="6"/>
        <v>21.787318749197638</v>
      </c>
      <c r="T22" s="22">
        <f t="shared" si="7"/>
        <v>50.312481107255437</v>
      </c>
    </row>
    <row r="23" spans="1:20" x14ac:dyDescent="0.2">
      <c r="A23" s="5">
        <v>32</v>
      </c>
      <c r="B23" s="1">
        <f t="shared" si="8"/>
        <v>1.2184028975099177</v>
      </c>
      <c r="C23" s="5">
        <f t="shared" si="9"/>
        <v>37045.667954276294</v>
      </c>
      <c r="D23" s="5">
        <f t="shared" si="0"/>
        <v>36209.286904059518</v>
      </c>
      <c r="E23" s="5">
        <f t="shared" si="1"/>
        <v>26709.286904059518</v>
      </c>
      <c r="F23" s="5">
        <f t="shared" si="2"/>
        <v>9022.3321741754335</v>
      </c>
      <c r="G23" s="5">
        <f t="shared" si="3"/>
        <v>27186.954729884084</v>
      </c>
      <c r="H23" s="22">
        <f t="shared" si="10"/>
        <v>15819.809049598785</v>
      </c>
      <c r="I23" s="5">
        <f t="shared" si="4"/>
        <v>42389.791226548521</v>
      </c>
      <c r="J23" s="26">
        <f t="shared" si="5"/>
        <v>0.16561644720031554</v>
      </c>
      <c r="L23" s="22">
        <f t="shared" si="11"/>
        <v>34735.956864438878</v>
      </c>
      <c r="M23" s="5">
        <f>scrimecost*Meta!O20</f>
        <v>580.68399999999997</v>
      </c>
      <c r="N23" s="5">
        <f>L23-Grade17!L23</f>
        <v>103.57014459530183</v>
      </c>
      <c r="O23" s="5">
        <f>Grade17!M23-M23</f>
        <v>0</v>
      </c>
      <c r="P23" s="22">
        <f t="shared" si="12"/>
        <v>0</v>
      </c>
      <c r="Q23" s="22"/>
      <c r="R23" s="22"/>
      <c r="S23" s="22">
        <f t="shared" si="6"/>
        <v>22.332001717928168</v>
      </c>
      <c r="T23" s="22">
        <f t="shared" si="7"/>
        <v>57.257659750141698</v>
      </c>
    </row>
    <row r="24" spans="1:20" x14ac:dyDescent="0.2">
      <c r="A24" s="5">
        <v>33</v>
      </c>
      <c r="B24" s="1">
        <f t="shared" si="8"/>
        <v>1.2488629699476654</v>
      </c>
      <c r="C24" s="5">
        <f t="shared" si="9"/>
        <v>37971.80965313319</v>
      </c>
      <c r="D24" s="5">
        <f t="shared" si="0"/>
        <v>37099.309076660997</v>
      </c>
      <c r="E24" s="5">
        <f t="shared" si="1"/>
        <v>27599.309076660997</v>
      </c>
      <c r="F24" s="5">
        <f t="shared" si="2"/>
        <v>9312.9244135298159</v>
      </c>
      <c r="G24" s="5">
        <f t="shared" si="3"/>
        <v>27786.384663131183</v>
      </c>
      <c r="H24" s="22">
        <f t="shared" si="10"/>
        <v>16215.304275838751</v>
      </c>
      <c r="I24" s="5">
        <f t="shared" si="4"/>
        <v>43369.292072212222</v>
      </c>
      <c r="J24" s="26">
        <f t="shared" si="5"/>
        <v>0.16715741232281564</v>
      </c>
      <c r="L24" s="22">
        <f t="shared" si="11"/>
        <v>35604.355786049848</v>
      </c>
      <c r="M24" s="5">
        <f>scrimecost*Meta!O21</f>
        <v>580.68399999999997</v>
      </c>
      <c r="N24" s="5">
        <f>L24-Grade17!L24</f>
        <v>106.15939821017673</v>
      </c>
      <c r="O24" s="5">
        <f>Grade17!M24-M24</f>
        <v>0</v>
      </c>
      <c r="P24" s="22">
        <f t="shared" si="12"/>
        <v>0</v>
      </c>
      <c r="Q24" s="22"/>
      <c r="R24" s="22"/>
      <c r="S24" s="22">
        <f t="shared" si="6"/>
        <v>22.890301760874724</v>
      </c>
      <c r="T24" s="22">
        <f t="shared" si="7"/>
        <v>65.161556892289653</v>
      </c>
    </row>
    <row r="25" spans="1:20" x14ac:dyDescent="0.2">
      <c r="A25" s="5">
        <v>34</v>
      </c>
      <c r="B25" s="1">
        <f t="shared" si="8"/>
        <v>1.2800845441963571</v>
      </c>
      <c r="C25" s="5">
        <f t="shared" si="9"/>
        <v>38921.104894461518</v>
      </c>
      <c r="D25" s="5">
        <f t="shared" si="0"/>
        <v>38011.581803577516</v>
      </c>
      <c r="E25" s="5">
        <f t="shared" si="1"/>
        <v>28511.581803577516</v>
      </c>
      <c r="F25" s="5">
        <f t="shared" si="2"/>
        <v>9610.7814588680594</v>
      </c>
      <c r="G25" s="5">
        <f t="shared" si="3"/>
        <v>28400.800344709456</v>
      </c>
      <c r="H25" s="22">
        <f t="shared" si="10"/>
        <v>16620.686882734721</v>
      </c>
      <c r="I25" s="5">
        <f t="shared" si="4"/>
        <v>44373.280439017522</v>
      </c>
      <c r="J25" s="26">
        <f t="shared" si="5"/>
        <v>0.16866079293013281</v>
      </c>
      <c r="L25" s="22">
        <f t="shared" si="11"/>
        <v>36494.464680701094</v>
      </c>
      <c r="M25" s="5">
        <f>scrimecost*Meta!O22</f>
        <v>580.68399999999997</v>
      </c>
      <c r="N25" s="5">
        <f>L25-Grade17!L25</f>
        <v>108.81338316543406</v>
      </c>
      <c r="O25" s="5">
        <f>Grade17!M25-M25</f>
        <v>0</v>
      </c>
      <c r="P25" s="22">
        <f t="shared" si="12"/>
        <v>0</v>
      </c>
      <c r="Q25" s="22"/>
      <c r="R25" s="22"/>
      <c r="S25" s="22">
        <f t="shared" si="6"/>
        <v>23.462559304897219</v>
      </c>
      <c r="T25" s="22">
        <f t="shared" si="7"/>
        <v>74.156514869034837</v>
      </c>
    </row>
    <row r="26" spans="1:20" x14ac:dyDescent="0.2">
      <c r="A26" s="5">
        <v>35</v>
      </c>
      <c r="B26" s="1">
        <f t="shared" si="8"/>
        <v>1.312086657801266</v>
      </c>
      <c r="C26" s="5">
        <f t="shared" si="9"/>
        <v>39894.132516823061</v>
      </c>
      <c r="D26" s="5">
        <f t="shared" si="0"/>
        <v>38946.661348666959</v>
      </c>
      <c r="E26" s="5">
        <f t="shared" si="1"/>
        <v>29446.661348666959</v>
      </c>
      <c r="F26" s="5">
        <f t="shared" si="2"/>
        <v>9916.0849303397626</v>
      </c>
      <c r="G26" s="5">
        <f t="shared" si="3"/>
        <v>29030.576418327197</v>
      </c>
      <c r="H26" s="22">
        <f t="shared" si="10"/>
        <v>17036.204054803089</v>
      </c>
      <c r="I26" s="5">
        <f t="shared" si="4"/>
        <v>45402.368514992966</v>
      </c>
      <c r="J26" s="26">
        <f t="shared" si="5"/>
        <v>0.17012750571775934</v>
      </c>
      <c r="L26" s="22">
        <f t="shared" si="11"/>
        <v>37406.826297718617</v>
      </c>
      <c r="M26" s="5">
        <f>scrimecost*Meta!O23</f>
        <v>462.38400000000001</v>
      </c>
      <c r="N26" s="5">
        <f>L26-Grade17!L26</f>
        <v>111.533717744569</v>
      </c>
      <c r="O26" s="5">
        <f>Grade17!M26-M26</f>
        <v>0</v>
      </c>
      <c r="P26" s="22">
        <f t="shared" si="12"/>
        <v>0</v>
      </c>
      <c r="Q26" s="22"/>
      <c r="R26" s="22"/>
      <c r="S26" s="22">
        <f t="shared" si="6"/>
        <v>24.049123287519457</v>
      </c>
      <c r="T26" s="22">
        <f t="shared" si="7"/>
        <v>84.393144666742842</v>
      </c>
    </row>
    <row r="27" spans="1:20" x14ac:dyDescent="0.2">
      <c r="A27" s="5">
        <v>36</v>
      </c>
      <c r="B27" s="1">
        <f t="shared" si="8"/>
        <v>1.3448888242462975</v>
      </c>
      <c r="C27" s="5">
        <f t="shared" si="9"/>
        <v>40891.485829743637</v>
      </c>
      <c r="D27" s="5">
        <f t="shared" si="0"/>
        <v>39905.117882383638</v>
      </c>
      <c r="E27" s="5">
        <f t="shared" si="1"/>
        <v>30405.117882383638</v>
      </c>
      <c r="F27" s="5">
        <f t="shared" si="2"/>
        <v>10229.020988598259</v>
      </c>
      <c r="G27" s="5">
        <f t="shared" si="3"/>
        <v>29676.09689378538</v>
      </c>
      <c r="H27" s="22">
        <f t="shared" si="10"/>
        <v>17462.109156173166</v>
      </c>
      <c r="I27" s="5">
        <f t="shared" si="4"/>
        <v>46457.183792867792</v>
      </c>
      <c r="J27" s="26">
        <f t="shared" si="5"/>
        <v>0.17155844502276085</v>
      </c>
      <c r="L27" s="22">
        <f t="shared" si="11"/>
        <v>38341.99695516158</v>
      </c>
      <c r="M27" s="5">
        <f>scrimecost*Meta!O24</f>
        <v>462.38400000000001</v>
      </c>
      <c r="N27" s="5">
        <f>L27-Grade17!L27</f>
        <v>114.3220606881805</v>
      </c>
      <c r="O27" s="5">
        <f>Grade17!M27-M27</f>
        <v>0</v>
      </c>
      <c r="P27" s="22">
        <f t="shared" si="12"/>
        <v>0</v>
      </c>
      <c r="Q27" s="22"/>
      <c r="R27" s="22"/>
      <c r="S27" s="22">
        <f t="shared" si="6"/>
        <v>24.650351369706854</v>
      </c>
      <c r="T27" s="22">
        <f t="shared" si="7"/>
        <v>96.042847743316131</v>
      </c>
    </row>
    <row r="28" spans="1:20" x14ac:dyDescent="0.2">
      <c r="A28" s="5">
        <v>37</v>
      </c>
      <c r="B28" s="1">
        <f t="shared" si="8"/>
        <v>1.3785110448524549</v>
      </c>
      <c r="C28" s="5">
        <f t="shared" si="9"/>
        <v>41913.77297548722</v>
      </c>
      <c r="D28" s="5">
        <f t="shared" si="0"/>
        <v>40887.535829443215</v>
      </c>
      <c r="E28" s="5">
        <f t="shared" si="1"/>
        <v>31387.535829443215</v>
      </c>
      <c r="F28" s="5">
        <f t="shared" si="2"/>
        <v>10549.780448313209</v>
      </c>
      <c r="G28" s="5">
        <f t="shared" si="3"/>
        <v>30337.755381130006</v>
      </c>
      <c r="H28" s="22">
        <f t="shared" si="10"/>
        <v>17898.661885077494</v>
      </c>
      <c r="I28" s="5">
        <f t="shared" si="4"/>
        <v>47538.369452689476</v>
      </c>
      <c r="J28" s="26">
        <f t="shared" si="5"/>
        <v>0.17295448336910371</v>
      </c>
      <c r="L28" s="22">
        <f t="shared" si="11"/>
        <v>39300.546879040616</v>
      </c>
      <c r="M28" s="5">
        <f>scrimecost*Meta!O25</f>
        <v>462.38400000000001</v>
      </c>
      <c r="N28" s="5">
        <f>L28-Grade17!L28</f>
        <v>117.18011220538756</v>
      </c>
      <c r="O28" s="5">
        <f>Grade17!M28-M28</f>
        <v>0</v>
      </c>
      <c r="P28" s="22">
        <f t="shared" si="12"/>
        <v>0</v>
      </c>
      <c r="Q28" s="22"/>
      <c r="R28" s="22"/>
      <c r="S28" s="22">
        <f t="shared" si="6"/>
        <v>25.266610153950072</v>
      </c>
      <c r="T28" s="22">
        <f t="shared" si="7"/>
        <v>109.30068596295897</v>
      </c>
    </row>
    <row r="29" spans="1:20" x14ac:dyDescent="0.2">
      <c r="A29" s="5">
        <v>38</v>
      </c>
      <c r="B29" s="1">
        <f t="shared" si="8"/>
        <v>1.4129738209737661</v>
      </c>
      <c r="C29" s="5">
        <f t="shared" si="9"/>
        <v>42961.617299874393</v>
      </c>
      <c r="D29" s="5">
        <f t="shared" si="0"/>
        <v>41894.514225179293</v>
      </c>
      <c r="E29" s="5">
        <f t="shared" si="1"/>
        <v>32394.514225179293</v>
      </c>
      <c r="F29" s="5">
        <f t="shared" si="2"/>
        <v>10878.55889452104</v>
      </c>
      <c r="G29" s="5">
        <f t="shared" si="3"/>
        <v>31015.955330658253</v>
      </c>
      <c r="H29" s="22">
        <f t="shared" si="10"/>
        <v>18346.128432204427</v>
      </c>
      <c r="I29" s="5">
        <f t="shared" si="4"/>
        <v>48646.584754006704</v>
      </c>
      <c r="J29" s="26">
        <f t="shared" si="5"/>
        <v>0.17431647199968217</v>
      </c>
      <c r="L29" s="22">
        <f t="shared" si="11"/>
        <v>40283.060551016628</v>
      </c>
      <c r="M29" s="5">
        <f>scrimecost*Meta!O26</f>
        <v>462.38400000000001</v>
      </c>
      <c r="N29" s="5">
        <f>L29-Grade17!L29</f>
        <v>120.10961501051497</v>
      </c>
      <c r="O29" s="5">
        <f>Grade17!M29-M29</f>
        <v>0</v>
      </c>
      <c r="P29" s="22">
        <f t="shared" si="12"/>
        <v>0</v>
      </c>
      <c r="Q29" s="22"/>
      <c r="R29" s="22"/>
      <c r="S29" s="22">
        <f t="shared" si="6"/>
        <v>25.898275407797257</v>
      </c>
      <c r="T29" s="22">
        <f t="shared" si="7"/>
        <v>124.38864769921184</v>
      </c>
    </row>
    <row r="30" spans="1:20" x14ac:dyDescent="0.2">
      <c r="A30" s="5">
        <v>39</v>
      </c>
      <c r="B30" s="1">
        <f t="shared" si="8"/>
        <v>1.4482981664981105</v>
      </c>
      <c r="C30" s="5">
        <f t="shared" si="9"/>
        <v>44035.65773237127</v>
      </c>
      <c r="D30" s="5">
        <f t="shared" si="0"/>
        <v>42926.667080808787</v>
      </c>
      <c r="E30" s="5">
        <f t="shared" si="1"/>
        <v>33426.667080808787</v>
      </c>
      <c r="F30" s="5">
        <f t="shared" si="2"/>
        <v>11215.55680188407</v>
      </c>
      <c r="G30" s="5">
        <f t="shared" si="3"/>
        <v>31711.110278924716</v>
      </c>
      <c r="H30" s="22">
        <f t="shared" si="10"/>
        <v>18804.781643009541</v>
      </c>
      <c r="I30" s="5">
        <f t="shared" si="4"/>
        <v>49782.505437856889</v>
      </c>
      <c r="J30" s="26">
        <f t="shared" si="5"/>
        <v>0.1756452413953685</v>
      </c>
      <c r="L30" s="22">
        <f t="shared" si="11"/>
        <v>41290.137064792056</v>
      </c>
      <c r="M30" s="5">
        <f>scrimecost*Meta!O27</f>
        <v>462.38400000000001</v>
      </c>
      <c r="N30" s="5">
        <f>L30-Grade17!L30</f>
        <v>123.1123553857833</v>
      </c>
      <c r="O30" s="5">
        <f>Grade17!M30-M30</f>
        <v>0</v>
      </c>
      <c r="P30" s="22">
        <f t="shared" si="12"/>
        <v>0</v>
      </c>
      <c r="Q30" s="22"/>
      <c r="R30" s="22"/>
      <c r="S30" s="22">
        <f t="shared" si="6"/>
        <v>26.545732292993367</v>
      </c>
      <c r="T30" s="22">
        <f t="shared" si="7"/>
        <v>141.55936479377422</v>
      </c>
    </row>
    <row r="31" spans="1:20" x14ac:dyDescent="0.2">
      <c r="A31" s="5">
        <v>40</v>
      </c>
      <c r="B31" s="1">
        <f t="shared" si="8"/>
        <v>1.4845056206605631</v>
      </c>
      <c r="C31" s="5">
        <f t="shared" si="9"/>
        <v>45136.549175680542</v>
      </c>
      <c r="D31" s="5">
        <f t="shared" si="0"/>
        <v>43984.623757829002</v>
      </c>
      <c r="E31" s="5">
        <f t="shared" si="1"/>
        <v>34484.623757829002</v>
      </c>
      <c r="F31" s="5">
        <f t="shared" si="2"/>
        <v>11560.979656931169</v>
      </c>
      <c r="G31" s="5">
        <f t="shared" si="3"/>
        <v>32423.644100897833</v>
      </c>
      <c r="H31" s="22">
        <f t="shared" si="10"/>
        <v>19274.901184084778</v>
      </c>
      <c r="I31" s="5">
        <f t="shared" si="4"/>
        <v>50946.824138803306</v>
      </c>
      <c r="J31" s="26">
        <f t="shared" si="5"/>
        <v>0.17694160178140389</v>
      </c>
      <c r="L31" s="22">
        <f t="shared" si="11"/>
        <v>42322.390491411854</v>
      </c>
      <c r="M31" s="5">
        <f>scrimecost*Meta!O28</f>
        <v>396.81199999999995</v>
      </c>
      <c r="N31" s="5">
        <f>L31-Grade17!L31</f>
        <v>126.19016427043971</v>
      </c>
      <c r="O31" s="5">
        <f>Grade17!M31-M31</f>
        <v>0</v>
      </c>
      <c r="P31" s="22">
        <f t="shared" si="12"/>
        <v>0</v>
      </c>
      <c r="Q31" s="22"/>
      <c r="R31" s="22"/>
      <c r="S31" s="22">
        <f t="shared" si="6"/>
        <v>27.209375600320751</v>
      </c>
      <c r="T31" s="22">
        <f t="shared" si="7"/>
        <v>161.10034260742913</v>
      </c>
    </row>
    <row r="32" spans="1:20" x14ac:dyDescent="0.2">
      <c r="A32" s="5">
        <v>41</v>
      </c>
      <c r="B32" s="1">
        <f t="shared" si="8"/>
        <v>1.521618261177077</v>
      </c>
      <c r="C32" s="5">
        <f t="shared" si="9"/>
        <v>46264.962905072549</v>
      </c>
      <c r="D32" s="5">
        <f t="shared" si="0"/>
        <v>45069.02935177472</v>
      </c>
      <c r="E32" s="5">
        <f t="shared" si="1"/>
        <v>35569.02935177472</v>
      </c>
      <c r="F32" s="5">
        <f t="shared" si="2"/>
        <v>12021.941018531918</v>
      </c>
      <c r="G32" s="5">
        <f t="shared" si="3"/>
        <v>33047.088333242806</v>
      </c>
      <c r="H32" s="22">
        <f t="shared" si="10"/>
        <v>19756.773713686893</v>
      </c>
      <c r="I32" s="5">
        <f t="shared" si="4"/>
        <v>52033.34787209591</v>
      </c>
      <c r="J32" s="26">
        <f t="shared" si="5"/>
        <v>0.17989126367105276</v>
      </c>
      <c r="L32" s="22">
        <f t="shared" si="11"/>
        <v>43380.450253697141</v>
      </c>
      <c r="M32" s="5">
        <f>scrimecost*Meta!O29</f>
        <v>396.81199999999995</v>
      </c>
      <c r="N32" s="5">
        <f>L32-Grade17!L32</f>
        <v>129.34491837718087</v>
      </c>
      <c r="O32" s="5">
        <f>Grade17!M32-M32</f>
        <v>0</v>
      </c>
      <c r="P32" s="22">
        <f t="shared" si="12"/>
        <v>0</v>
      </c>
      <c r="Q32" s="22"/>
      <c r="R32" s="22"/>
      <c r="S32" s="22">
        <f t="shared" si="6"/>
        <v>27.889609990324495</v>
      </c>
      <c r="T32" s="22">
        <f t="shared" si="7"/>
        <v>183.33877399092469</v>
      </c>
    </row>
    <row r="33" spans="1:20" x14ac:dyDescent="0.2">
      <c r="A33" s="5">
        <v>42</v>
      </c>
      <c r="B33" s="1">
        <f t="shared" si="8"/>
        <v>1.559658717706504</v>
      </c>
      <c r="C33" s="5">
        <f t="shared" si="9"/>
        <v>47421.586977699364</v>
      </c>
      <c r="D33" s="5">
        <f t="shared" si="0"/>
        <v>46180.545085569087</v>
      </c>
      <c r="E33" s="5">
        <f t="shared" si="1"/>
        <v>36680.545085569087</v>
      </c>
      <c r="F33" s="5">
        <f t="shared" si="2"/>
        <v>12496.002478995215</v>
      </c>
      <c r="G33" s="5">
        <f t="shared" si="3"/>
        <v>33684.542606573872</v>
      </c>
      <c r="H33" s="22">
        <f t="shared" si="10"/>
        <v>20250.693056529068</v>
      </c>
      <c r="I33" s="5">
        <f t="shared" si="4"/>
        <v>53145.458633898306</v>
      </c>
      <c r="J33" s="26">
        <f t="shared" si="5"/>
        <v>0.18279321741227966</v>
      </c>
      <c r="L33" s="22">
        <f t="shared" si="11"/>
        <v>44464.961510039575</v>
      </c>
      <c r="M33" s="5">
        <f>scrimecost*Meta!O30</f>
        <v>396.81199999999995</v>
      </c>
      <c r="N33" s="5">
        <f>L33-Grade17!L33</f>
        <v>132.57854133662477</v>
      </c>
      <c r="O33" s="5">
        <f>Grade17!M33-M33</f>
        <v>0</v>
      </c>
      <c r="P33" s="22">
        <f t="shared" si="12"/>
        <v>0</v>
      </c>
      <c r="Q33" s="22"/>
      <c r="R33" s="22"/>
      <c r="S33" s="22">
        <f t="shared" si="6"/>
        <v>28.586850240085703</v>
      </c>
      <c r="T33" s="22">
        <f t="shared" si="7"/>
        <v>208.64701778079331</v>
      </c>
    </row>
    <row r="34" spans="1:20" x14ac:dyDescent="0.2">
      <c r="A34" s="5">
        <v>43</v>
      </c>
      <c r="B34" s="1">
        <f t="shared" si="8"/>
        <v>1.5986501856491666</v>
      </c>
      <c r="C34" s="5">
        <f t="shared" si="9"/>
        <v>48607.126652141851</v>
      </c>
      <c r="D34" s="5">
        <f t="shared" si="0"/>
        <v>47319.848712708321</v>
      </c>
      <c r="E34" s="5">
        <f t="shared" si="1"/>
        <v>37819.848712708321</v>
      </c>
      <c r="F34" s="5">
        <f t="shared" si="2"/>
        <v>12981.915475970098</v>
      </c>
      <c r="G34" s="5">
        <f t="shared" si="3"/>
        <v>34337.933236738223</v>
      </c>
      <c r="H34" s="22">
        <f t="shared" si="10"/>
        <v>20756.960382942292</v>
      </c>
      <c r="I34" s="5">
        <f t="shared" si="4"/>
        <v>54285.372164745764</v>
      </c>
      <c r="J34" s="26">
        <f t="shared" si="5"/>
        <v>0.1856243917939645</v>
      </c>
      <c r="L34" s="22">
        <f t="shared" si="11"/>
        <v>45576.585547790564</v>
      </c>
      <c r="M34" s="5">
        <f>scrimecost*Meta!O31</f>
        <v>396.81199999999995</v>
      </c>
      <c r="N34" s="5">
        <f>L34-Grade17!L34</f>
        <v>135.8930048700422</v>
      </c>
      <c r="O34" s="5">
        <f>Grade17!M34-M34</f>
        <v>0</v>
      </c>
      <c r="P34" s="22">
        <f t="shared" si="12"/>
        <v>0</v>
      </c>
      <c r="Q34" s="22"/>
      <c r="R34" s="22"/>
      <c r="S34" s="22">
        <f t="shared" si="6"/>
        <v>29.301521496088238</v>
      </c>
      <c r="T34" s="22">
        <f t="shared" si="7"/>
        <v>237.44883355099492</v>
      </c>
    </row>
    <row r="35" spans="1:20" x14ac:dyDescent="0.2">
      <c r="A35" s="5">
        <v>44</v>
      </c>
      <c r="B35" s="1">
        <f t="shared" si="8"/>
        <v>1.6386164402903955</v>
      </c>
      <c r="C35" s="5">
        <f t="shared" si="9"/>
        <v>49822.304818445387</v>
      </c>
      <c r="D35" s="5">
        <f t="shared" si="0"/>
        <v>48487.634930526016</v>
      </c>
      <c r="E35" s="5">
        <f t="shared" si="1"/>
        <v>38987.634930526016</v>
      </c>
      <c r="F35" s="5">
        <f t="shared" si="2"/>
        <v>13479.976297869347</v>
      </c>
      <c r="G35" s="5">
        <f t="shared" si="3"/>
        <v>35007.658632656668</v>
      </c>
      <c r="H35" s="22">
        <f t="shared" si="10"/>
        <v>21275.884392515851</v>
      </c>
      <c r="I35" s="5">
        <f t="shared" si="4"/>
        <v>55453.7835338644</v>
      </c>
      <c r="J35" s="26">
        <f t="shared" si="5"/>
        <v>0.18838651314194965</v>
      </c>
      <c r="L35" s="22">
        <f t="shared" si="11"/>
        <v>46716.000186485318</v>
      </c>
      <c r="M35" s="5">
        <f>scrimecost*Meta!O32</f>
        <v>396.81199999999995</v>
      </c>
      <c r="N35" s="5">
        <f>L35-Grade17!L35</f>
        <v>139.29032999178889</v>
      </c>
      <c r="O35" s="5">
        <f>Grade17!M35-M35</f>
        <v>0</v>
      </c>
      <c r="P35" s="22">
        <f t="shared" si="12"/>
        <v>0</v>
      </c>
      <c r="Q35" s="22"/>
      <c r="R35" s="22"/>
      <c r="S35" s="22">
        <f t="shared" si="6"/>
        <v>30.034059533489501</v>
      </c>
      <c r="T35" s="22">
        <f t="shared" si="7"/>
        <v>270.22647701565046</v>
      </c>
    </row>
    <row r="36" spans="1:20" x14ac:dyDescent="0.2">
      <c r="A36" s="5">
        <v>45</v>
      </c>
      <c r="B36" s="1">
        <f t="shared" si="8"/>
        <v>1.6795818512976552</v>
      </c>
      <c r="C36" s="5">
        <f t="shared" si="9"/>
        <v>51067.862438906523</v>
      </c>
      <c r="D36" s="5">
        <f t="shared" si="0"/>
        <v>49684.615803789166</v>
      </c>
      <c r="E36" s="5">
        <f t="shared" si="1"/>
        <v>40184.615803789166</v>
      </c>
      <c r="F36" s="5">
        <f t="shared" si="2"/>
        <v>13990.488640316078</v>
      </c>
      <c r="G36" s="5">
        <f t="shared" si="3"/>
        <v>35694.127163473087</v>
      </c>
      <c r="H36" s="22">
        <f t="shared" si="10"/>
        <v>21807.781502328744</v>
      </c>
      <c r="I36" s="5">
        <f t="shared" si="4"/>
        <v>56651.405187211014</v>
      </c>
      <c r="J36" s="26">
        <f t="shared" si="5"/>
        <v>0.1910812656765693</v>
      </c>
      <c r="L36" s="22">
        <f t="shared" si="11"/>
        <v>47883.900191147448</v>
      </c>
      <c r="M36" s="5">
        <f>scrimecost*Meta!O33</f>
        <v>305.55200000000002</v>
      </c>
      <c r="N36" s="5">
        <f>L36-Grade17!L36</f>
        <v>142.77258824158343</v>
      </c>
      <c r="O36" s="5">
        <f>Grade17!M36-M36</f>
        <v>0</v>
      </c>
      <c r="P36" s="22">
        <f t="shared" si="12"/>
        <v>0</v>
      </c>
      <c r="Q36" s="22"/>
      <c r="R36" s="22"/>
      <c r="S36" s="22">
        <f t="shared" si="6"/>
        <v>30.784911021826698</v>
      </c>
      <c r="T36" s="22">
        <f t="shared" si="7"/>
        <v>307.52877488703126</v>
      </c>
    </row>
    <row r="37" spans="1:20" x14ac:dyDescent="0.2">
      <c r="A37" s="5">
        <v>46</v>
      </c>
      <c r="B37" s="1">
        <f t="shared" ref="B37:B56" si="13">(1+experiencepremium)^(A37-startage)</f>
        <v>1.7215713975800966</v>
      </c>
      <c r="C37" s="5">
        <f t="shared" ref="C37:C56" si="14">pretaxincome*B37/expnorm</f>
        <v>52344.558999879177</v>
      </c>
      <c r="D37" s="5">
        <f t="shared" ref="D37:D56" si="15">IF(A37&lt;startage,1,0)*(C37*(1-initialunempprob))+IF(A37=startage,1,0)*(C37*(1-unempprob))+IF(A37&gt;startage,1,0)*(C37*(1-unempprob)+unempprob*300*52)</f>
        <v>50911.521198883886</v>
      </c>
      <c r="E37" s="5">
        <f t="shared" si="1"/>
        <v>41411.521198883886</v>
      </c>
      <c r="F37" s="5">
        <f t="shared" si="2"/>
        <v>14513.763791323978</v>
      </c>
      <c r="G37" s="5">
        <f t="shared" si="3"/>
        <v>36397.757407559911</v>
      </c>
      <c r="H37" s="22">
        <f t="shared" ref="H37:H56" si="16">benefits*B37/expnorm</f>
        <v>22352.976039886962</v>
      </c>
      <c r="I37" s="5">
        <f t="shared" ref="I37:I56" si="17">G37+IF(A37&lt;startage,1,0)*(H37*(1-initialunempprob))+IF(A37&gt;=startage,1,0)*(H37*(1-unempprob))</f>
        <v>57878.967381891285</v>
      </c>
      <c r="J37" s="26">
        <f t="shared" si="5"/>
        <v>0.19371029253961289</v>
      </c>
      <c r="L37" s="22">
        <f t="shared" ref="L37:L56" si="18">(sincome+sbenefits)*(1-sunemp)*B37/expnorm</f>
        <v>49080.997695926133</v>
      </c>
      <c r="M37" s="5">
        <f>scrimecost*Meta!O34</f>
        <v>305.55200000000002</v>
      </c>
      <c r="N37" s="5">
        <f>L37-Grade17!L37</f>
        <v>146.34190294762084</v>
      </c>
      <c r="O37" s="5">
        <f>Grade17!M37-M37</f>
        <v>0</v>
      </c>
      <c r="P37" s="22">
        <f t="shared" si="12"/>
        <v>0</v>
      </c>
      <c r="Q37" s="22"/>
      <c r="R37" s="22"/>
      <c r="S37" s="22">
        <f t="shared" si="6"/>
        <v>31.554533797371896</v>
      </c>
      <c r="T37" s="22">
        <f t="shared" si="7"/>
        <v>349.98031439398773</v>
      </c>
    </row>
    <row r="38" spans="1:20" x14ac:dyDescent="0.2">
      <c r="A38" s="5">
        <v>47</v>
      </c>
      <c r="B38" s="1">
        <f t="shared" si="13"/>
        <v>1.7646106825195991</v>
      </c>
      <c r="C38" s="5">
        <f t="shared" si="14"/>
        <v>53653.172974876157</v>
      </c>
      <c r="D38" s="5">
        <f t="shared" si="15"/>
        <v>52169.099228855986</v>
      </c>
      <c r="E38" s="5">
        <f t="shared" si="1"/>
        <v>42669.099228855986</v>
      </c>
      <c r="F38" s="5">
        <f t="shared" si="2"/>
        <v>15050.120821107077</v>
      </c>
      <c r="G38" s="5">
        <f t="shared" si="3"/>
        <v>37118.978407748909</v>
      </c>
      <c r="H38" s="22">
        <f t="shared" si="16"/>
        <v>22911.800440884137</v>
      </c>
      <c r="I38" s="5">
        <f t="shared" si="17"/>
        <v>59137.218631438562</v>
      </c>
      <c r="J38" s="26">
        <f t="shared" si="5"/>
        <v>0.19627519679624073</v>
      </c>
      <c r="L38" s="22">
        <f t="shared" si="18"/>
        <v>50308.022638324292</v>
      </c>
      <c r="M38" s="5">
        <f>scrimecost*Meta!O35</f>
        <v>305.55200000000002</v>
      </c>
      <c r="N38" s="5">
        <f>L38-Grade17!L38</f>
        <v>150.00045052131463</v>
      </c>
      <c r="O38" s="5">
        <f>Grade17!M38-M38</f>
        <v>0</v>
      </c>
      <c r="P38" s="22">
        <f t="shared" si="12"/>
        <v>0</v>
      </c>
      <c r="Q38" s="22"/>
      <c r="R38" s="22"/>
      <c r="S38" s="22">
        <f t="shared" si="6"/>
        <v>32.343397142306905</v>
      </c>
      <c r="T38" s="22">
        <f t="shared" si="7"/>
        <v>398.29190132960264</v>
      </c>
    </row>
    <row r="39" spans="1:20" x14ac:dyDescent="0.2">
      <c r="A39" s="5">
        <v>48</v>
      </c>
      <c r="B39" s="1">
        <f t="shared" si="13"/>
        <v>1.8087259495825889</v>
      </c>
      <c r="C39" s="5">
        <f t="shared" si="14"/>
        <v>54994.502299248059</v>
      </c>
      <c r="D39" s="5">
        <f t="shared" si="15"/>
        <v>53458.116709577385</v>
      </c>
      <c r="E39" s="5">
        <f t="shared" si="1"/>
        <v>43958.116709577385</v>
      </c>
      <c r="F39" s="5">
        <f t="shared" si="2"/>
        <v>15599.886776634756</v>
      </c>
      <c r="G39" s="5">
        <f t="shared" si="3"/>
        <v>37858.229932942631</v>
      </c>
      <c r="H39" s="22">
        <f t="shared" si="16"/>
        <v>23484.595451906236</v>
      </c>
      <c r="I39" s="5">
        <f t="shared" si="17"/>
        <v>60426.926162224525</v>
      </c>
      <c r="J39" s="26">
        <f t="shared" si="5"/>
        <v>0.19877754241246309</v>
      </c>
      <c r="L39" s="22">
        <f t="shared" si="18"/>
        <v>51565.723204282389</v>
      </c>
      <c r="M39" s="5">
        <f>scrimecost*Meta!O36</f>
        <v>305.55200000000002</v>
      </c>
      <c r="N39" s="5">
        <f>L39-Grade17!L39</f>
        <v>153.7504617843515</v>
      </c>
      <c r="O39" s="5">
        <f>Grade17!M39-M39</f>
        <v>0</v>
      </c>
      <c r="P39" s="22">
        <f t="shared" si="12"/>
        <v>0</v>
      </c>
      <c r="Q39" s="22"/>
      <c r="R39" s="22"/>
      <c r="S39" s="22">
        <f t="shared" si="6"/>
        <v>33.151982070865436</v>
      </c>
      <c r="T39" s="22">
        <f t="shared" si="7"/>
        <v>453.27246173671</v>
      </c>
    </row>
    <row r="40" spans="1:20" x14ac:dyDescent="0.2">
      <c r="A40" s="5">
        <v>49</v>
      </c>
      <c r="B40" s="1">
        <f t="shared" si="13"/>
        <v>1.8539440983221533</v>
      </c>
      <c r="C40" s="5">
        <f t="shared" si="14"/>
        <v>56369.364856729255</v>
      </c>
      <c r="D40" s="5">
        <f t="shared" si="15"/>
        <v>54779.359627316815</v>
      </c>
      <c r="E40" s="5">
        <f t="shared" si="1"/>
        <v>45279.359627316815</v>
      </c>
      <c r="F40" s="5">
        <f t="shared" si="2"/>
        <v>16163.396881050623</v>
      </c>
      <c r="G40" s="5">
        <f t="shared" si="3"/>
        <v>38615.962746266188</v>
      </c>
      <c r="H40" s="22">
        <f t="shared" si="16"/>
        <v>24071.710338203891</v>
      </c>
      <c r="I40" s="5">
        <f t="shared" si="17"/>
        <v>61748.876381280126</v>
      </c>
      <c r="J40" s="26">
        <f t="shared" si="5"/>
        <v>0.20121885520877758</v>
      </c>
      <c r="L40" s="22">
        <f t="shared" si="18"/>
        <v>52854.866284389442</v>
      </c>
      <c r="M40" s="5">
        <f>scrimecost*Meta!O37</f>
        <v>305.55200000000002</v>
      </c>
      <c r="N40" s="5">
        <f>L40-Grade17!L40</f>
        <v>157.59422332895338</v>
      </c>
      <c r="O40" s="5">
        <f>Grade17!M40-M40</f>
        <v>0</v>
      </c>
      <c r="P40" s="22">
        <f t="shared" si="12"/>
        <v>0</v>
      </c>
      <c r="Q40" s="22"/>
      <c r="R40" s="22"/>
      <c r="S40" s="22">
        <f t="shared" si="6"/>
        <v>33.980781622635583</v>
      </c>
      <c r="T40" s="22">
        <f t="shared" si="7"/>
        <v>515.84258651249809</v>
      </c>
    </row>
    <row r="41" spans="1:20" x14ac:dyDescent="0.2">
      <c r="A41" s="5">
        <v>50</v>
      </c>
      <c r="B41" s="1">
        <f t="shared" si="13"/>
        <v>1.9002927007802071</v>
      </c>
      <c r="C41" s="5">
        <f t="shared" si="14"/>
        <v>57778.598978147478</v>
      </c>
      <c r="D41" s="5">
        <f t="shared" si="15"/>
        <v>56133.633617999723</v>
      </c>
      <c r="E41" s="5">
        <f t="shared" si="1"/>
        <v>46633.633617999723</v>
      </c>
      <c r="F41" s="5">
        <f t="shared" si="2"/>
        <v>16740.994738076879</v>
      </c>
      <c r="G41" s="5">
        <f t="shared" si="3"/>
        <v>39392.638879922844</v>
      </c>
      <c r="H41" s="22">
        <f t="shared" si="16"/>
        <v>24673.503096658987</v>
      </c>
      <c r="I41" s="5">
        <f t="shared" si="17"/>
        <v>63103.875355812132</v>
      </c>
      <c r="J41" s="26">
        <f t="shared" si="5"/>
        <v>0.20360062379054772</v>
      </c>
      <c r="L41" s="22">
        <f t="shared" si="18"/>
        <v>54176.237941499181</v>
      </c>
      <c r="M41" s="5">
        <f>scrimecost*Meta!O38</f>
        <v>185.56200000000001</v>
      </c>
      <c r="N41" s="5">
        <f>L41-Grade17!L41</f>
        <v>161.53407891218376</v>
      </c>
      <c r="O41" s="5">
        <f>Grade17!M41-M41</f>
        <v>0</v>
      </c>
      <c r="P41" s="22">
        <f t="shared" si="12"/>
        <v>0</v>
      </c>
      <c r="Q41" s="22"/>
      <c r="R41" s="22"/>
      <c r="S41" s="22">
        <f t="shared" si="6"/>
        <v>34.830301163202883</v>
      </c>
      <c r="T41" s="22">
        <f t="shared" si="7"/>
        <v>587.04994572225053</v>
      </c>
    </row>
    <row r="42" spans="1:20" x14ac:dyDescent="0.2">
      <c r="A42" s="5">
        <v>51</v>
      </c>
      <c r="B42" s="1">
        <f t="shared" si="13"/>
        <v>1.9478000182997122</v>
      </c>
      <c r="C42" s="5">
        <f t="shared" si="14"/>
        <v>59223.063952601166</v>
      </c>
      <c r="D42" s="5">
        <f t="shared" si="15"/>
        <v>57521.764458449717</v>
      </c>
      <c r="E42" s="5">
        <f t="shared" si="1"/>
        <v>48021.764458449717</v>
      </c>
      <c r="F42" s="5">
        <f t="shared" si="2"/>
        <v>17333.032541528806</v>
      </c>
      <c r="G42" s="5">
        <f t="shared" si="3"/>
        <v>40188.731916920908</v>
      </c>
      <c r="H42" s="22">
        <f t="shared" si="16"/>
        <v>25290.340674075458</v>
      </c>
      <c r="I42" s="5">
        <f t="shared" si="17"/>
        <v>64492.749304707424</v>
      </c>
      <c r="J42" s="26">
        <f t="shared" si="5"/>
        <v>0.20592430045568944</v>
      </c>
      <c r="L42" s="22">
        <f t="shared" si="18"/>
        <v>55530.643890036656</v>
      </c>
      <c r="M42" s="5">
        <f>scrimecost*Meta!O39</f>
        <v>185.56200000000001</v>
      </c>
      <c r="N42" s="5">
        <f>L42-Grade17!L42</f>
        <v>165.57243088498217</v>
      </c>
      <c r="O42" s="5">
        <f>Grade17!M42-M42</f>
        <v>0</v>
      </c>
      <c r="P42" s="22">
        <f t="shared" si="12"/>
        <v>0</v>
      </c>
      <c r="Q42" s="22"/>
      <c r="R42" s="22"/>
      <c r="S42" s="22">
        <f t="shared" si="6"/>
        <v>35.70105869228162</v>
      </c>
      <c r="T42" s="22">
        <f t="shared" si="7"/>
        <v>668.08683071792234</v>
      </c>
    </row>
    <row r="43" spans="1:20" x14ac:dyDescent="0.2">
      <c r="A43" s="5">
        <v>52</v>
      </c>
      <c r="B43" s="1">
        <f t="shared" si="13"/>
        <v>1.9964950187572048</v>
      </c>
      <c r="C43" s="5">
        <f t="shared" si="14"/>
        <v>60703.640551416189</v>
      </c>
      <c r="D43" s="5">
        <f t="shared" si="15"/>
        <v>58944.598569910959</v>
      </c>
      <c r="E43" s="5">
        <f t="shared" si="1"/>
        <v>49444.598569910959</v>
      </c>
      <c r="F43" s="5">
        <f t="shared" si="2"/>
        <v>17939.871290067022</v>
      </c>
      <c r="G43" s="5">
        <f t="shared" si="3"/>
        <v>41004.727279843937</v>
      </c>
      <c r="H43" s="22">
        <f t="shared" si="16"/>
        <v>25922.599190927343</v>
      </c>
      <c r="I43" s="5">
        <f t="shared" si="17"/>
        <v>65916.345102325111</v>
      </c>
      <c r="J43" s="26">
        <f t="shared" si="5"/>
        <v>0.20819130208021783</v>
      </c>
      <c r="L43" s="22">
        <f t="shared" si="18"/>
        <v>56918.909987287567</v>
      </c>
      <c r="M43" s="5">
        <f>scrimecost*Meta!O40</f>
        <v>185.56200000000001</v>
      </c>
      <c r="N43" s="5">
        <f>L43-Grade17!L43</f>
        <v>169.71174165709817</v>
      </c>
      <c r="O43" s="5">
        <f>Grade17!M43-M43</f>
        <v>0</v>
      </c>
      <c r="P43" s="22">
        <f t="shared" si="12"/>
        <v>0</v>
      </c>
      <c r="Q43" s="22"/>
      <c r="R43" s="22"/>
      <c r="S43" s="22">
        <f t="shared" si="6"/>
        <v>36.593585159586816</v>
      </c>
      <c r="T43" s="22">
        <f t="shared" si="7"/>
        <v>760.31011778661787</v>
      </c>
    </row>
    <row r="44" spans="1:20" x14ac:dyDescent="0.2">
      <c r="A44" s="5">
        <v>53</v>
      </c>
      <c r="B44" s="1">
        <f t="shared" si="13"/>
        <v>2.0464073942261352</v>
      </c>
      <c r="C44" s="5">
        <f t="shared" si="14"/>
        <v>62221.231565201604</v>
      </c>
      <c r="D44" s="5">
        <f t="shared" si="15"/>
        <v>60403.003534158743</v>
      </c>
      <c r="E44" s="5">
        <f t="shared" si="1"/>
        <v>50903.003534158743</v>
      </c>
      <c r="F44" s="5">
        <f t="shared" si="2"/>
        <v>18561.881007318705</v>
      </c>
      <c r="G44" s="5">
        <f t="shared" si="3"/>
        <v>41841.122526840038</v>
      </c>
      <c r="H44" s="22">
        <f t="shared" si="16"/>
        <v>26570.664170700533</v>
      </c>
      <c r="I44" s="5">
        <f t="shared" si="17"/>
        <v>67375.530794883249</v>
      </c>
      <c r="J44" s="26">
        <f t="shared" si="5"/>
        <v>0.21040301098219688</v>
      </c>
      <c r="L44" s="22">
        <f t="shared" si="18"/>
        <v>58341.882736969761</v>
      </c>
      <c r="M44" s="5">
        <f>scrimecost*Meta!O41</f>
        <v>185.56200000000001</v>
      </c>
      <c r="N44" s="5">
        <f>L44-Grade17!L44</f>
        <v>173.95453519854345</v>
      </c>
      <c r="O44" s="5">
        <f>Grade17!M44-M44</f>
        <v>0</v>
      </c>
      <c r="P44" s="22">
        <f t="shared" si="12"/>
        <v>0</v>
      </c>
      <c r="Q44" s="22"/>
      <c r="R44" s="22"/>
      <c r="S44" s="22">
        <f t="shared" si="6"/>
        <v>37.508424788580335</v>
      </c>
      <c r="T44" s="22">
        <f t="shared" si="7"/>
        <v>865.26398759813424</v>
      </c>
    </row>
    <row r="45" spans="1:20" x14ac:dyDescent="0.2">
      <c r="A45" s="5">
        <v>54</v>
      </c>
      <c r="B45" s="1">
        <f t="shared" si="13"/>
        <v>2.097567579081788</v>
      </c>
      <c r="C45" s="5">
        <f t="shared" si="14"/>
        <v>63776.762354331622</v>
      </c>
      <c r="D45" s="5">
        <f t="shared" si="15"/>
        <v>61897.868622512688</v>
      </c>
      <c r="E45" s="5">
        <f t="shared" si="1"/>
        <v>52397.868622512688</v>
      </c>
      <c r="F45" s="5">
        <f t="shared" si="2"/>
        <v>19199.440967501661</v>
      </c>
      <c r="G45" s="5">
        <f t="shared" si="3"/>
        <v>42698.427655011023</v>
      </c>
      <c r="H45" s="22">
        <f t="shared" si="16"/>
        <v>27234.930774968037</v>
      </c>
      <c r="I45" s="5">
        <f t="shared" si="17"/>
        <v>68871.196129755306</v>
      </c>
      <c r="J45" s="26">
        <f t="shared" si="5"/>
        <v>0.21256077576461532</v>
      </c>
      <c r="L45" s="22">
        <f t="shared" si="18"/>
        <v>59800.429805393986</v>
      </c>
      <c r="M45" s="5">
        <f>scrimecost*Meta!O42</f>
        <v>185.56200000000001</v>
      </c>
      <c r="N45" s="5">
        <f>L45-Grade17!L45</f>
        <v>178.30339857847866</v>
      </c>
      <c r="O45" s="5">
        <f>Grade17!M45-M45</f>
        <v>0</v>
      </c>
      <c r="P45" s="22">
        <f t="shared" si="12"/>
        <v>0</v>
      </c>
      <c r="Q45" s="22"/>
      <c r="R45" s="22"/>
      <c r="S45" s="22">
        <f t="shared" si="6"/>
        <v>38.446135408288725</v>
      </c>
      <c r="T45" s="22">
        <f t="shared" si="7"/>
        <v>984.70578086420642</v>
      </c>
    </row>
    <row r="46" spans="1:20" x14ac:dyDescent="0.2">
      <c r="A46" s="5">
        <v>55</v>
      </c>
      <c r="B46" s="1">
        <f t="shared" si="13"/>
        <v>2.1500067685588333</v>
      </c>
      <c r="C46" s="5">
        <f t="shared" si="14"/>
        <v>65371.18141318993</v>
      </c>
      <c r="D46" s="5">
        <f t="shared" si="15"/>
        <v>63430.105338075518</v>
      </c>
      <c r="E46" s="5">
        <f t="shared" si="1"/>
        <v>53930.105338075518</v>
      </c>
      <c r="F46" s="5">
        <f t="shared" si="2"/>
        <v>19852.939926689207</v>
      </c>
      <c r="G46" s="5">
        <f t="shared" si="3"/>
        <v>43577.165411386311</v>
      </c>
      <c r="H46" s="22">
        <f t="shared" si="16"/>
        <v>27915.804044342247</v>
      </c>
      <c r="I46" s="5">
        <f t="shared" si="17"/>
        <v>70404.253097999215</v>
      </c>
      <c r="J46" s="26">
        <f t="shared" si="5"/>
        <v>0.21466591213770655</v>
      </c>
      <c r="L46" s="22">
        <f t="shared" si="18"/>
        <v>61295.440550528852</v>
      </c>
      <c r="M46" s="5">
        <f>scrimecost*Meta!O43</f>
        <v>92.612000000000009</v>
      </c>
      <c r="N46" s="5">
        <f>L46-Grade17!L46</f>
        <v>182.76098354296846</v>
      </c>
      <c r="O46" s="5">
        <f>Grade17!M46-M46</f>
        <v>0</v>
      </c>
      <c r="P46" s="22">
        <f t="shared" si="12"/>
        <v>0</v>
      </c>
      <c r="Q46" s="22"/>
      <c r="R46" s="22"/>
      <c r="S46" s="22">
        <f t="shared" ref="S46:S69" si="19">IF(A46&lt;startage,1,0)*(N46-Q46-R46)+IF(A46&gt;=startage,1,0)*completionprob*(N46*spart+O46+P46)</f>
        <v>39.407288793501941</v>
      </c>
      <c r="T46" s="22">
        <f t="shared" ref="T46:T69" si="20">S46/sreturn^(A46-startage+1)</f>
        <v>1120.6354231375146</v>
      </c>
    </row>
    <row r="47" spans="1:20" x14ac:dyDescent="0.2">
      <c r="A47" s="5">
        <v>56</v>
      </c>
      <c r="B47" s="1">
        <f t="shared" si="13"/>
        <v>2.2037569377728037</v>
      </c>
      <c r="C47" s="5">
        <f t="shared" si="14"/>
        <v>67005.460948519671</v>
      </c>
      <c r="D47" s="5">
        <f t="shared" si="15"/>
        <v>65000.647971527404</v>
      </c>
      <c r="E47" s="5">
        <f t="shared" si="1"/>
        <v>55500.647971527404</v>
      </c>
      <c r="F47" s="5">
        <f t="shared" si="2"/>
        <v>20522.776359856438</v>
      </c>
      <c r="G47" s="5">
        <f t="shared" si="3"/>
        <v>44477.871611670969</v>
      </c>
      <c r="H47" s="22">
        <f t="shared" si="16"/>
        <v>28613.699145450795</v>
      </c>
      <c r="I47" s="5">
        <f t="shared" si="17"/>
        <v>71975.636490449178</v>
      </c>
      <c r="J47" s="26">
        <f t="shared" si="5"/>
        <v>0.21671970372121024</v>
      </c>
      <c r="L47" s="22">
        <f t="shared" si="18"/>
        <v>62827.82656429206</v>
      </c>
      <c r="M47" s="5">
        <f>scrimecost*Meta!O44</f>
        <v>92.612000000000009</v>
      </c>
      <c r="N47" s="5">
        <f>L47-Grade17!L47</f>
        <v>187.33000813153194</v>
      </c>
      <c r="O47" s="5">
        <f>Grade17!M47-M47</f>
        <v>0</v>
      </c>
      <c r="P47" s="22">
        <f t="shared" si="12"/>
        <v>0</v>
      </c>
      <c r="Q47" s="22"/>
      <c r="R47" s="22"/>
      <c r="S47" s="22">
        <f t="shared" si="19"/>
        <v>40.392471013337179</v>
      </c>
      <c r="T47" s="22">
        <f t="shared" si="20"/>
        <v>1275.3289114319875</v>
      </c>
    </row>
    <row r="48" spans="1:20" x14ac:dyDescent="0.2">
      <c r="A48" s="5">
        <v>57</v>
      </c>
      <c r="B48" s="1">
        <f t="shared" si="13"/>
        <v>2.2588508612171236</v>
      </c>
      <c r="C48" s="5">
        <f t="shared" si="14"/>
        <v>68680.59747223265</v>
      </c>
      <c r="D48" s="5">
        <f t="shared" si="15"/>
        <v>66610.454170815574</v>
      </c>
      <c r="E48" s="5">
        <f t="shared" si="1"/>
        <v>57110.454170815574</v>
      </c>
      <c r="F48" s="5">
        <f t="shared" si="2"/>
        <v>21209.358703852842</v>
      </c>
      <c r="G48" s="5">
        <f t="shared" si="3"/>
        <v>45401.095466962732</v>
      </c>
      <c r="H48" s="22">
        <f t="shared" si="16"/>
        <v>29329.041624087062</v>
      </c>
      <c r="I48" s="5">
        <f t="shared" si="17"/>
        <v>73586.304467710404</v>
      </c>
      <c r="J48" s="26">
        <f t="shared" si="5"/>
        <v>0.21872340282706748</v>
      </c>
      <c r="L48" s="22">
        <f t="shared" si="18"/>
        <v>64398.522228399364</v>
      </c>
      <c r="M48" s="5">
        <f>scrimecost*Meta!O45</f>
        <v>92.612000000000009</v>
      </c>
      <c r="N48" s="5">
        <f>L48-Grade17!L48</f>
        <v>192.01325833482406</v>
      </c>
      <c r="O48" s="5">
        <f>Grade17!M48-M48</f>
        <v>0</v>
      </c>
      <c r="P48" s="22">
        <f t="shared" si="12"/>
        <v>0</v>
      </c>
      <c r="Q48" s="22"/>
      <c r="R48" s="22"/>
      <c r="S48" s="22">
        <f t="shared" si="19"/>
        <v>41.402282788671428</v>
      </c>
      <c r="T48" s="22">
        <f t="shared" si="20"/>
        <v>1451.3764233694385</v>
      </c>
    </row>
    <row r="49" spans="1:20" x14ac:dyDescent="0.2">
      <c r="A49" s="5">
        <v>58</v>
      </c>
      <c r="B49" s="1">
        <f t="shared" si="13"/>
        <v>2.3153221327475517</v>
      </c>
      <c r="C49" s="5">
        <f t="shared" si="14"/>
        <v>70397.612409038469</v>
      </c>
      <c r="D49" s="5">
        <f t="shared" si="15"/>
        <v>68260.505525085959</v>
      </c>
      <c r="E49" s="5">
        <f t="shared" si="1"/>
        <v>58760.505525085959</v>
      </c>
      <c r="F49" s="5">
        <f t="shared" si="2"/>
        <v>21913.105606449164</v>
      </c>
      <c r="G49" s="5">
        <f t="shared" si="3"/>
        <v>46347.399918636795</v>
      </c>
      <c r="H49" s="22">
        <f t="shared" si="16"/>
        <v>30062.267664689243</v>
      </c>
      <c r="I49" s="5">
        <f t="shared" si="17"/>
        <v>75237.239144403153</v>
      </c>
      <c r="J49" s="26">
        <f t="shared" si="5"/>
        <v>0.22067823122302571</v>
      </c>
      <c r="L49" s="22">
        <f t="shared" si="18"/>
        <v>66008.485284109338</v>
      </c>
      <c r="M49" s="5">
        <f>scrimecost*Meta!O46</f>
        <v>92.612000000000009</v>
      </c>
      <c r="N49" s="5">
        <f>L49-Grade17!L49</f>
        <v>196.81358979319339</v>
      </c>
      <c r="O49" s="5">
        <f>Grade17!M49-M49</f>
        <v>0</v>
      </c>
      <c r="P49" s="22">
        <f t="shared" si="12"/>
        <v>0</v>
      </c>
      <c r="Q49" s="22"/>
      <c r="R49" s="22"/>
      <c r="S49" s="22">
        <f t="shared" si="19"/>
        <v>42.437339858387944</v>
      </c>
      <c r="T49" s="22">
        <f t="shared" si="20"/>
        <v>1651.7256869424832</v>
      </c>
    </row>
    <row r="50" spans="1:20" x14ac:dyDescent="0.2">
      <c r="A50" s="5">
        <v>59</v>
      </c>
      <c r="B50" s="1">
        <f t="shared" si="13"/>
        <v>2.3732051860662402</v>
      </c>
      <c r="C50" s="5">
        <f t="shared" si="14"/>
        <v>72157.552719264422</v>
      </c>
      <c r="D50" s="5">
        <f t="shared" si="15"/>
        <v>69951.808163213107</v>
      </c>
      <c r="E50" s="5">
        <f t="shared" si="1"/>
        <v>60451.808163213107</v>
      </c>
      <c r="F50" s="5">
        <f t="shared" si="2"/>
        <v>22634.44618161039</v>
      </c>
      <c r="G50" s="5">
        <f t="shared" si="3"/>
        <v>47317.36198160272</v>
      </c>
      <c r="H50" s="22">
        <f t="shared" si="16"/>
        <v>30813.824356306468</v>
      </c>
      <c r="I50" s="5">
        <f t="shared" si="17"/>
        <v>76929.447188013233</v>
      </c>
      <c r="J50" s="26">
        <f t="shared" si="5"/>
        <v>0.22258538087761912</v>
      </c>
      <c r="L50" s="22">
        <f t="shared" si="18"/>
        <v>67658.697416212075</v>
      </c>
      <c r="M50" s="5">
        <f>scrimecost*Meta!O47</f>
        <v>92.612000000000009</v>
      </c>
      <c r="N50" s="5">
        <f>L50-Grade17!L50</f>
        <v>201.73392953802249</v>
      </c>
      <c r="O50" s="5">
        <f>Grade17!M50-M50</f>
        <v>0</v>
      </c>
      <c r="P50" s="22">
        <f t="shared" si="12"/>
        <v>0</v>
      </c>
      <c r="Q50" s="22"/>
      <c r="R50" s="22"/>
      <c r="S50" s="22">
        <f t="shared" si="19"/>
        <v>43.498273354847484</v>
      </c>
      <c r="T50" s="22">
        <f t="shared" si="20"/>
        <v>1879.7313370793124</v>
      </c>
    </row>
    <row r="51" spans="1:20" x14ac:dyDescent="0.2">
      <c r="A51" s="5">
        <v>60</v>
      </c>
      <c r="B51" s="1">
        <f t="shared" si="13"/>
        <v>2.4325353157178964</v>
      </c>
      <c r="C51" s="5">
        <f t="shared" si="14"/>
        <v>73961.491537246038</v>
      </c>
      <c r="D51" s="5">
        <f t="shared" si="15"/>
        <v>71685.393367293436</v>
      </c>
      <c r="E51" s="5">
        <f t="shared" si="1"/>
        <v>62185.393367293436</v>
      </c>
      <c r="F51" s="5">
        <f t="shared" si="2"/>
        <v>23373.820271150649</v>
      </c>
      <c r="G51" s="5">
        <f t="shared" si="3"/>
        <v>48311.573096142791</v>
      </c>
      <c r="H51" s="22">
        <f t="shared" si="16"/>
        <v>31584.169965214132</v>
      </c>
      <c r="I51" s="5">
        <f t="shared" si="17"/>
        <v>78663.960432713575</v>
      </c>
      <c r="J51" s="26">
        <f t="shared" si="5"/>
        <v>0.22444601468697858</v>
      </c>
      <c r="L51" s="22">
        <f t="shared" si="18"/>
        <v>69350.164851617374</v>
      </c>
      <c r="M51" s="5">
        <f>scrimecost*Meta!O48</f>
        <v>46.306000000000004</v>
      </c>
      <c r="N51" s="5">
        <f>L51-Grade17!L51</f>
        <v>206.77727777647669</v>
      </c>
      <c r="O51" s="5">
        <f>Grade17!M51-M51</f>
        <v>0</v>
      </c>
      <c r="P51" s="22">
        <f t="shared" si="12"/>
        <v>0</v>
      </c>
      <c r="Q51" s="22"/>
      <c r="R51" s="22"/>
      <c r="S51" s="22">
        <f t="shared" si="19"/>
        <v>44.585730188719452</v>
      </c>
      <c r="T51" s="22">
        <f t="shared" si="20"/>
        <v>2139.2110854307343</v>
      </c>
    </row>
    <row r="52" spans="1:20" x14ac:dyDescent="0.2">
      <c r="A52" s="5">
        <v>61</v>
      </c>
      <c r="B52" s="1">
        <f t="shared" si="13"/>
        <v>2.4933486986108435</v>
      </c>
      <c r="C52" s="5">
        <f t="shared" si="14"/>
        <v>75810.528825677189</v>
      </c>
      <c r="D52" s="5">
        <f t="shared" si="15"/>
        <v>73462.318201475777</v>
      </c>
      <c r="E52" s="5">
        <f t="shared" si="1"/>
        <v>63962.318201475777</v>
      </c>
      <c r="F52" s="5">
        <f t="shared" si="2"/>
        <v>24131.678712929421</v>
      </c>
      <c r="G52" s="5">
        <f t="shared" si="3"/>
        <v>49330.639488546352</v>
      </c>
      <c r="H52" s="22">
        <f t="shared" si="16"/>
        <v>32373.774214344481</v>
      </c>
      <c r="I52" s="5">
        <f t="shared" si="17"/>
        <v>80441.8365085314</v>
      </c>
      <c r="J52" s="26">
        <f t="shared" si="5"/>
        <v>0.22626126718391468</v>
      </c>
      <c r="L52" s="22">
        <f t="shared" si="18"/>
        <v>71083.918972907806</v>
      </c>
      <c r="M52" s="5">
        <f>scrimecost*Meta!O49</f>
        <v>46.306000000000004</v>
      </c>
      <c r="N52" s="5">
        <f>L52-Grade17!L52</f>
        <v>211.94670972089807</v>
      </c>
      <c r="O52" s="5">
        <f>Grade17!M52-M52</f>
        <v>0</v>
      </c>
      <c r="P52" s="22">
        <f t="shared" si="12"/>
        <v>0</v>
      </c>
      <c r="Q52" s="22"/>
      <c r="R52" s="22"/>
      <c r="S52" s="22">
        <f t="shared" si="19"/>
        <v>45.700373443439474</v>
      </c>
      <c r="T52" s="22">
        <f t="shared" si="20"/>
        <v>2434.509643883634</v>
      </c>
    </row>
    <row r="53" spans="1:20" x14ac:dyDescent="0.2">
      <c r="A53" s="5">
        <v>62</v>
      </c>
      <c r="B53" s="1">
        <f t="shared" si="13"/>
        <v>2.555682416076114</v>
      </c>
      <c r="C53" s="5">
        <f t="shared" si="14"/>
        <v>77705.792046319097</v>
      </c>
      <c r="D53" s="5">
        <f t="shared" si="15"/>
        <v>75283.666156512641</v>
      </c>
      <c r="E53" s="5">
        <f t="shared" si="1"/>
        <v>65783.666156512641</v>
      </c>
      <c r="F53" s="5">
        <f t="shared" si="2"/>
        <v>24908.483615752644</v>
      </c>
      <c r="G53" s="5">
        <f t="shared" si="3"/>
        <v>50375.182540759997</v>
      </c>
      <c r="H53" s="22">
        <f t="shared" si="16"/>
        <v>33183.118569703089</v>
      </c>
      <c r="I53" s="5">
        <f t="shared" si="17"/>
        <v>82264.159486244665</v>
      </c>
      <c r="J53" s="26">
        <f t="shared" si="5"/>
        <v>0.22803224522970586</v>
      </c>
      <c r="L53" s="22">
        <f t="shared" si="18"/>
        <v>72861.016947230484</v>
      </c>
      <c r="M53" s="5">
        <f>scrimecost*Meta!O50</f>
        <v>46.306000000000004</v>
      </c>
      <c r="N53" s="5">
        <f>L53-Grade17!L53</f>
        <v>217.24537746389979</v>
      </c>
      <c r="O53" s="5">
        <f>Grade17!M53-M53</f>
        <v>0</v>
      </c>
      <c r="P53" s="22">
        <f t="shared" si="12"/>
        <v>0</v>
      </c>
      <c r="Q53" s="22"/>
      <c r="R53" s="22"/>
      <c r="S53" s="22">
        <f t="shared" si="19"/>
        <v>46.842882779520998</v>
      </c>
      <c r="T53" s="22">
        <f t="shared" si="20"/>
        <v>2770.5714721313766</v>
      </c>
    </row>
    <row r="54" spans="1:20" x14ac:dyDescent="0.2">
      <c r="A54" s="5">
        <v>63</v>
      </c>
      <c r="B54" s="1">
        <f t="shared" si="13"/>
        <v>2.6195744764780171</v>
      </c>
      <c r="C54" s="5">
        <f t="shared" si="14"/>
        <v>79648.436847477089</v>
      </c>
      <c r="D54" s="5">
        <f t="shared" si="15"/>
        <v>77150.547810425473</v>
      </c>
      <c r="E54" s="5">
        <f t="shared" si="1"/>
        <v>67650.547810425473</v>
      </c>
      <c r="F54" s="5">
        <f t="shared" si="2"/>
        <v>25704.708641146466</v>
      </c>
      <c r="G54" s="5">
        <f t="shared" si="3"/>
        <v>51445.839169279003</v>
      </c>
      <c r="H54" s="22">
        <f t="shared" si="16"/>
        <v>34012.696533945666</v>
      </c>
      <c r="I54" s="5">
        <f t="shared" si="17"/>
        <v>84132.04053840079</v>
      </c>
      <c r="J54" s="26">
        <f t="shared" si="5"/>
        <v>0.22976002868901443</v>
      </c>
      <c r="L54" s="22">
        <f t="shared" si="18"/>
        <v>74682.542370911251</v>
      </c>
      <c r="M54" s="5">
        <f>scrimecost*Meta!O51</f>
        <v>46.306000000000004</v>
      </c>
      <c r="N54" s="5">
        <f>L54-Grade17!L54</f>
        <v>222.67651190051401</v>
      </c>
      <c r="O54" s="5">
        <f>Grade17!M54-M54</f>
        <v>0</v>
      </c>
      <c r="P54" s="22">
        <f t="shared" si="12"/>
        <v>0</v>
      </c>
      <c r="Q54" s="22"/>
      <c r="R54" s="22"/>
      <c r="S54" s="22">
        <f t="shared" si="19"/>
        <v>48.013954849012634</v>
      </c>
      <c r="T54" s="22">
        <f t="shared" si="20"/>
        <v>3153.0235673843308</v>
      </c>
    </row>
    <row r="55" spans="1:20" x14ac:dyDescent="0.2">
      <c r="A55" s="5">
        <v>64</v>
      </c>
      <c r="B55" s="1">
        <f t="shared" si="13"/>
        <v>2.6850638383899672</v>
      </c>
      <c r="C55" s="5">
        <f t="shared" si="14"/>
        <v>81639.647768663999</v>
      </c>
      <c r="D55" s="5">
        <f t="shared" si="15"/>
        <v>79064.101505686092</v>
      </c>
      <c r="E55" s="5">
        <f t="shared" si="1"/>
        <v>69564.101505686092</v>
      </c>
      <c r="F55" s="5">
        <f t="shared" si="2"/>
        <v>26520.839292175118</v>
      </c>
      <c r="G55" s="5">
        <f t="shared" si="3"/>
        <v>52543.26221351097</v>
      </c>
      <c r="H55" s="22">
        <f t="shared" si="16"/>
        <v>34863.013947294305</v>
      </c>
      <c r="I55" s="5">
        <f t="shared" si="17"/>
        <v>86046.618616860796</v>
      </c>
      <c r="J55" s="26">
        <f t="shared" si="5"/>
        <v>0.2314456710883398</v>
      </c>
      <c r="L55" s="22">
        <f t="shared" si="18"/>
        <v>76549.605930184014</v>
      </c>
      <c r="M55" s="5">
        <f>scrimecost*Meta!O52</f>
        <v>46.306000000000004</v>
      </c>
      <c r="N55" s="5">
        <f>L55-Grade17!L55</f>
        <v>228.2434246979974</v>
      </c>
      <c r="O55" s="5">
        <f>Grade17!M55-M55</f>
        <v>0</v>
      </c>
      <c r="P55" s="22">
        <f t="shared" si="12"/>
        <v>0</v>
      </c>
      <c r="Q55" s="22"/>
      <c r="R55" s="22"/>
      <c r="S55" s="22">
        <f t="shared" si="19"/>
        <v>49.214303720231591</v>
      </c>
      <c r="T55" s="22">
        <f t="shared" si="20"/>
        <v>3588.2696824388454</v>
      </c>
    </row>
    <row r="56" spans="1:20" x14ac:dyDescent="0.2">
      <c r="A56" s="5">
        <v>65</v>
      </c>
      <c r="B56" s="1">
        <f t="shared" si="13"/>
        <v>2.7521904343497163</v>
      </c>
      <c r="C56" s="5">
        <f t="shared" si="14"/>
        <v>83680.638962880592</v>
      </c>
      <c r="D56" s="5">
        <f t="shared" si="15"/>
        <v>81025.494043328246</v>
      </c>
      <c r="E56" s="5">
        <f t="shared" si="1"/>
        <v>71525.494043328246</v>
      </c>
      <c r="F56" s="5">
        <f t="shared" si="2"/>
        <v>27357.373209479498</v>
      </c>
      <c r="G56" s="5">
        <f t="shared" si="3"/>
        <v>53668.120833848749</v>
      </c>
      <c r="H56" s="22">
        <f t="shared" si="16"/>
        <v>35734.589295976657</v>
      </c>
      <c r="I56" s="5">
        <f t="shared" si="17"/>
        <v>88009.061147282308</v>
      </c>
      <c r="J56" s="26">
        <f t="shared" si="5"/>
        <v>0.2330902002584134</v>
      </c>
      <c r="L56" s="22">
        <f t="shared" si="18"/>
        <v>78463.346078438626</v>
      </c>
      <c r="M56" s="5">
        <f>scrimecost*Meta!O53</f>
        <v>12.843999999999999</v>
      </c>
      <c r="N56" s="5">
        <f>L56-Grade17!L56</f>
        <v>233.9495103154768</v>
      </c>
      <c r="O56" s="5">
        <f>Grade17!M56-M56</f>
        <v>0</v>
      </c>
      <c r="P56" s="22">
        <f t="shared" si="12"/>
        <v>0</v>
      </c>
      <c r="Q56" s="22"/>
      <c r="R56" s="22"/>
      <c r="S56" s="22">
        <f t="shared" si="19"/>
        <v>50.444661313243735</v>
      </c>
      <c r="T56" s="22">
        <f t="shared" si="20"/>
        <v>4083.597549698748</v>
      </c>
    </row>
    <row r="57" spans="1:20" x14ac:dyDescent="0.2">
      <c r="A57" s="5">
        <v>66</v>
      </c>
      <c r="C57" s="5"/>
      <c r="H57" s="21"/>
      <c r="I57" s="5"/>
      <c r="M57" s="5">
        <f>scrimecost*Meta!O54</f>
        <v>12.843999999999999</v>
      </c>
      <c r="N57" s="5">
        <f>L57-Grade17!L57</f>
        <v>0</v>
      </c>
      <c r="O57" s="5">
        <f>Grade17!M57-M57</f>
        <v>0</v>
      </c>
      <c r="Q57" s="22"/>
      <c r="R57" s="22"/>
      <c r="S57" s="22">
        <f t="shared" si="19"/>
        <v>0</v>
      </c>
      <c r="T57" s="22">
        <f t="shared" si="20"/>
        <v>0</v>
      </c>
    </row>
    <row r="58" spans="1:20" x14ac:dyDescent="0.2">
      <c r="A58" s="5">
        <v>67</v>
      </c>
      <c r="C58" s="5"/>
      <c r="H58" s="21"/>
      <c r="I58" s="5"/>
      <c r="M58" s="5">
        <f>scrimecost*Meta!O55</f>
        <v>12.843999999999999</v>
      </c>
      <c r="N58" s="5">
        <f>L58-Grade17!L58</f>
        <v>0</v>
      </c>
      <c r="O58" s="5">
        <f>Grade17!M58-M58</f>
        <v>0</v>
      </c>
      <c r="Q58" s="22"/>
      <c r="R58" s="22"/>
      <c r="S58" s="22">
        <f t="shared" si="19"/>
        <v>0</v>
      </c>
      <c r="T58" s="22">
        <f t="shared" si="20"/>
        <v>0</v>
      </c>
    </row>
    <row r="59" spans="1:20" x14ac:dyDescent="0.2">
      <c r="A59" s="5">
        <v>68</v>
      </c>
      <c r="H59" s="21"/>
      <c r="I59" s="5"/>
      <c r="M59" s="5">
        <f>scrimecost*Meta!O56</f>
        <v>12.843999999999999</v>
      </c>
      <c r="N59" s="5">
        <f>L59-Grade17!L59</f>
        <v>0</v>
      </c>
      <c r="O59" s="5">
        <f>Grade17!M59-M59</f>
        <v>0</v>
      </c>
      <c r="Q59" s="22"/>
      <c r="R59" s="22"/>
      <c r="S59" s="22">
        <f t="shared" si="19"/>
        <v>0</v>
      </c>
      <c r="T59" s="22">
        <f t="shared" si="20"/>
        <v>0</v>
      </c>
    </row>
    <row r="60" spans="1:20" x14ac:dyDescent="0.2">
      <c r="A60" s="5">
        <v>69</v>
      </c>
      <c r="H60" s="21"/>
      <c r="I60" s="5"/>
      <c r="M60" s="5">
        <f>scrimecost*Meta!O57</f>
        <v>12.843999999999999</v>
      </c>
      <c r="N60" s="5">
        <f>L60-Grade17!L60</f>
        <v>0</v>
      </c>
      <c r="O60" s="5">
        <f>Grade17!M60-M60</f>
        <v>0</v>
      </c>
      <c r="Q60" s="22"/>
      <c r="R60" s="22"/>
      <c r="S60" s="22">
        <f t="shared" si="19"/>
        <v>0</v>
      </c>
      <c r="T60" s="22">
        <f t="shared" si="20"/>
        <v>0</v>
      </c>
    </row>
    <row r="61" spans="1:20" x14ac:dyDescent="0.2">
      <c r="A61" s="5">
        <v>70</v>
      </c>
      <c r="H61" s="21"/>
      <c r="I61" s="5"/>
      <c r="M61" s="5">
        <f>scrimecost*Meta!O58</f>
        <v>12.843999999999999</v>
      </c>
      <c r="N61" s="5">
        <f>L61-Grade17!L61</f>
        <v>0</v>
      </c>
      <c r="O61" s="5">
        <f>Grade17!M61-M61</f>
        <v>0</v>
      </c>
      <c r="Q61" s="22"/>
      <c r="R61" s="22"/>
      <c r="S61" s="22">
        <f t="shared" si="19"/>
        <v>0</v>
      </c>
      <c r="T61" s="22">
        <f t="shared" si="20"/>
        <v>0</v>
      </c>
    </row>
    <row r="62" spans="1:20" x14ac:dyDescent="0.2">
      <c r="A62" s="5">
        <v>71</v>
      </c>
      <c r="H62" s="21"/>
      <c r="I62" s="5"/>
      <c r="M62" s="5">
        <f>scrimecost*Meta!O59</f>
        <v>12.843999999999999</v>
      </c>
      <c r="N62" s="5">
        <f>L62-Grade17!L62</f>
        <v>0</v>
      </c>
      <c r="O62" s="5">
        <f>Grade17!M62-M62</f>
        <v>0</v>
      </c>
      <c r="Q62" s="22"/>
      <c r="R62" s="22"/>
      <c r="S62" s="22">
        <f t="shared" si="19"/>
        <v>0</v>
      </c>
      <c r="T62" s="22">
        <f t="shared" si="20"/>
        <v>0</v>
      </c>
    </row>
    <row r="63" spans="1:20" x14ac:dyDescent="0.2">
      <c r="A63" s="5">
        <v>72</v>
      </c>
      <c r="H63" s="21"/>
      <c r="M63" s="5">
        <f>scrimecost*Meta!O60</f>
        <v>12.843999999999999</v>
      </c>
      <c r="N63" s="5">
        <f>L63-Grade17!L63</f>
        <v>0</v>
      </c>
      <c r="O63" s="5">
        <f>Grade17!M63-M63</f>
        <v>0</v>
      </c>
      <c r="Q63" s="22"/>
      <c r="R63" s="22"/>
      <c r="S63" s="22">
        <f t="shared" si="19"/>
        <v>0</v>
      </c>
      <c r="T63" s="22">
        <f t="shared" si="20"/>
        <v>0</v>
      </c>
    </row>
    <row r="64" spans="1:20" x14ac:dyDescent="0.2">
      <c r="A64" s="5">
        <v>73</v>
      </c>
      <c r="H64" s="21"/>
      <c r="M64" s="5">
        <f>scrimecost*Meta!O61</f>
        <v>12.843999999999999</v>
      </c>
      <c r="N64" s="5">
        <f>L64-Grade17!L64</f>
        <v>0</v>
      </c>
      <c r="O64" s="5">
        <f>Grade17!M64-M64</f>
        <v>0</v>
      </c>
      <c r="Q64" s="22"/>
      <c r="R64" s="22"/>
      <c r="S64" s="22">
        <f t="shared" si="19"/>
        <v>0</v>
      </c>
      <c r="T64" s="22">
        <f t="shared" si="20"/>
        <v>0</v>
      </c>
    </row>
    <row r="65" spans="1:20" x14ac:dyDescent="0.2">
      <c r="A65" s="5">
        <v>74</v>
      </c>
      <c r="H65" s="21"/>
      <c r="M65" s="5">
        <f>scrimecost*Meta!O62</f>
        <v>12.843999999999999</v>
      </c>
      <c r="N65" s="5">
        <f>L65-Grade17!L65</f>
        <v>0</v>
      </c>
      <c r="O65" s="5">
        <f>Grade17!M65-M65</f>
        <v>0</v>
      </c>
      <c r="Q65" s="22"/>
      <c r="R65" s="22"/>
      <c r="S65" s="22">
        <f t="shared" si="19"/>
        <v>0</v>
      </c>
      <c r="T65" s="22">
        <f t="shared" si="20"/>
        <v>0</v>
      </c>
    </row>
    <row r="66" spans="1:20" x14ac:dyDescent="0.2">
      <c r="A66" s="5">
        <v>75</v>
      </c>
      <c r="H66" s="21"/>
      <c r="M66" s="5">
        <f>scrimecost*Meta!O63</f>
        <v>12.843999999999999</v>
      </c>
      <c r="N66" s="5">
        <f>L66-Grade17!L66</f>
        <v>0</v>
      </c>
      <c r="O66" s="5">
        <f>Grade17!M66-M66</f>
        <v>0</v>
      </c>
      <c r="Q66" s="22"/>
      <c r="R66" s="22"/>
      <c r="S66" s="22">
        <f t="shared" si="19"/>
        <v>0</v>
      </c>
      <c r="T66" s="22">
        <f t="shared" si="20"/>
        <v>0</v>
      </c>
    </row>
    <row r="67" spans="1:20" x14ac:dyDescent="0.2">
      <c r="A67" s="5">
        <v>76</v>
      </c>
      <c r="H67" s="21"/>
      <c r="M67" s="5">
        <f>scrimecost*Meta!O64</f>
        <v>12.843999999999999</v>
      </c>
      <c r="N67" s="5">
        <f>L67-Grade17!L67</f>
        <v>0</v>
      </c>
      <c r="O67" s="5">
        <f>Grade17!M67-M67</f>
        <v>0</v>
      </c>
      <c r="Q67" s="22"/>
      <c r="R67" s="22"/>
      <c r="S67" s="22">
        <f t="shared" si="19"/>
        <v>0</v>
      </c>
      <c r="T67" s="22">
        <f t="shared" si="20"/>
        <v>0</v>
      </c>
    </row>
    <row r="68" spans="1:20" x14ac:dyDescent="0.2">
      <c r="A68" s="5">
        <v>77</v>
      </c>
      <c r="H68" s="21"/>
      <c r="M68" s="5">
        <f>scrimecost*Meta!O65</f>
        <v>12.843999999999999</v>
      </c>
      <c r="N68" s="5">
        <f>L68-Grade17!L68</f>
        <v>0</v>
      </c>
      <c r="O68" s="5">
        <f>Grade17!M68-M68</f>
        <v>0</v>
      </c>
      <c r="Q68" s="22"/>
      <c r="R68" s="22"/>
      <c r="S68" s="22">
        <f t="shared" si="19"/>
        <v>0</v>
      </c>
      <c r="T68" s="22">
        <f t="shared" si="20"/>
        <v>0</v>
      </c>
    </row>
    <row r="69" spans="1:20" x14ac:dyDescent="0.2">
      <c r="A69" s="5">
        <v>78</v>
      </c>
      <c r="H69" s="21"/>
      <c r="M69" s="5">
        <f>scrimecost*Meta!O66</f>
        <v>12.843999999999999</v>
      </c>
      <c r="N69" s="5">
        <f>L69-Grade17!L69</f>
        <v>0</v>
      </c>
      <c r="O69" s="5">
        <f>Grade17!M69-M69</f>
        <v>0</v>
      </c>
      <c r="Q69" s="22"/>
      <c r="R69" s="22"/>
      <c r="S69" s="22">
        <f t="shared" si="19"/>
        <v>0</v>
      </c>
      <c r="T69" s="22">
        <f t="shared" si="20"/>
        <v>0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-7.9126039054244757E-11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tabSelected="1" workbookViewId="0">
      <selection activeCell="G4" sqref="G4"/>
    </sheetView>
  </sheetViews>
  <sheetFormatPr defaultRowHeight="12.75" x14ac:dyDescent="0.2"/>
  <cols>
    <col min="1" max="16384" width="9.140625" style="8"/>
  </cols>
  <sheetData>
    <row r="1" spans="1:22" x14ac:dyDescent="0.2">
      <c r="A1" s="18" t="s">
        <v>5</v>
      </c>
      <c r="B1" s="8" t="s">
        <v>8</v>
      </c>
      <c r="D1" s="8" t="s">
        <v>13</v>
      </c>
      <c r="F1" s="8" t="s">
        <v>21</v>
      </c>
      <c r="G1" s="8" t="s">
        <v>34</v>
      </c>
      <c r="K1" s="8" t="s">
        <v>22</v>
      </c>
      <c r="L1" s="8" t="s">
        <v>26</v>
      </c>
      <c r="M1" s="8" t="s">
        <v>30</v>
      </c>
      <c r="N1" s="8" t="s">
        <v>23</v>
      </c>
      <c r="O1" s="8" t="s">
        <v>27</v>
      </c>
      <c r="P1" s="8" t="s">
        <v>31</v>
      </c>
      <c r="Q1" s="8" t="s">
        <v>24</v>
      </c>
      <c r="R1" s="8" t="s">
        <v>28</v>
      </c>
      <c r="S1" s="8" t="s">
        <v>32</v>
      </c>
      <c r="T1" s="8" t="s">
        <v>25</v>
      </c>
      <c r="U1" s="8" t="s">
        <v>29</v>
      </c>
      <c r="V1" s="8" t="s">
        <v>33</v>
      </c>
    </row>
    <row r="2" spans="1:22" x14ac:dyDescent="0.2">
      <c r="A2" s="18">
        <v>8</v>
      </c>
      <c r="B2" s="11">
        <f>Meta!E2</f>
        <v>1</v>
      </c>
    </row>
    <row r="3" spans="1:22" x14ac:dyDescent="0.2">
      <c r="A3" s="18">
        <v>9</v>
      </c>
      <c r="B3" s="11">
        <f>Meta!E3</f>
        <v>0.95</v>
      </c>
      <c r="D3" s="8">
        <f>Grade9!T2</f>
        <v>0.98973232123444177</v>
      </c>
      <c r="F3" s="15">
        <f t="shared" ref="F3:F12" si="0">(D3-1)*100</f>
        <v>-1.026767876555823</v>
      </c>
      <c r="G3" s="15">
        <f>K3*M3+K4*M4+K5*M5+K6*M6</f>
        <v>-0.98765016072240641</v>
      </c>
      <c r="H3" s="15"/>
      <c r="I3" s="15"/>
      <c r="K3" s="8">
        <f>1-B3</f>
        <v>5.0000000000000044E-2</v>
      </c>
      <c r="L3" s="8">
        <f>D3</f>
        <v>0.98973232123444177</v>
      </c>
      <c r="M3" s="8">
        <f t="shared" ref="M3:M12" si="1">(L3-1)*100</f>
        <v>-1.026767876555823</v>
      </c>
    </row>
    <row r="4" spans="1:22" x14ac:dyDescent="0.2">
      <c r="A4" s="18">
        <v>10</v>
      </c>
      <c r="B4" s="11">
        <f>Meta!E4</f>
        <v>0.95</v>
      </c>
      <c r="D4" s="8">
        <f>Grade10!T2</f>
        <v>0.99092993235447402</v>
      </c>
      <c r="F4" s="15">
        <f t="shared" si="0"/>
        <v>-0.9070067645525981</v>
      </c>
      <c r="G4" s="15">
        <f>N4*P4+N5*P5+N6*P6</f>
        <v>-0.96979627134644808</v>
      </c>
      <c r="H4" s="15"/>
      <c r="I4" s="15"/>
      <c r="K4" s="8">
        <f>B3*(1-B4)</f>
        <v>4.7500000000000042E-2</v>
      </c>
      <c r="L4" s="8">
        <f>(D3*D4)^0.5</f>
        <v>0.99033094575999281</v>
      </c>
      <c r="M4" s="8">
        <f t="shared" si="1"/>
        <v>-0.9669054240007191</v>
      </c>
      <c r="N4" s="8">
        <f>1-B4</f>
        <v>5.0000000000000044E-2</v>
      </c>
      <c r="O4" s="8">
        <f>D4</f>
        <v>0.99092993235447402</v>
      </c>
      <c r="P4" s="8">
        <f>(O4-1)*100</f>
        <v>-0.9070067645525981</v>
      </c>
    </row>
    <row r="5" spans="1:22" x14ac:dyDescent="0.2">
      <c r="A5" s="18">
        <v>11</v>
      </c>
      <c r="B5" s="11">
        <f>Meta!E5</f>
        <v>0.95</v>
      </c>
      <c r="D5" s="8">
        <f>Grade11!T2</f>
        <v>0.98879642957403802</v>
      </c>
      <c r="F5" s="15">
        <f t="shared" si="0"/>
        <v>-1.1203570425961984</v>
      </c>
      <c r="G5" s="15">
        <f>Q5*S5+Q6*S6</f>
        <v>-1.0087959518922818</v>
      </c>
      <c r="H5" s="15"/>
      <c r="I5" s="15"/>
      <c r="K5" s="8">
        <f>B3*B4*(1-B5)</f>
        <v>4.512500000000004E-2</v>
      </c>
      <c r="L5" s="8">
        <f>(D3*D4*D5)^(1/3)</f>
        <v>0.98981917594475544</v>
      </c>
      <c r="M5" s="8">
        <f t="shared" si="1"/>
        <v>-1.0180824055244564</v>
      </c>
      <c r="N5" s="8">
        <f>B4*(1-B5)</f>
        <v>4.7500000000000042E-2</v>
      </c>
      <c r="O5" s="8">
        <f>(D4*D5)^0.5</f>
        <v>0.98986260615812083</v>
      </c>
      <c r="P5" s="8">
        <f>(O5-1)*100</f>
        <v>-1.0137393841879172</v>
      </c>
      <c r="Q5" s="8">
        <f>1-B5</f>
        <v>5.0000000000000044E-2</v>
      </c>
      <c r="R5" s="8">
        <f>D5</f>
        <v>0.98879642957403802</v>
      </c>
      <c r="S5" s="8">
        <f>(R5-1)*100</f>
        <v>-1.1203570425961984</v>
      </c>
    </row>
    <row r="6" spans="1:22" x14ac:dyDescent="0.2">
      <c r="A6" s="18">
        <v>12</v>
      </c>
      <c r="B6" s="11">
        <f>Meta!E6</f>
        <v>0.95</v>
      </c>
      <c r="D6" s="8">
        <f>Grade12!T2</f>
        <v>0.99114647878499296</v>
      </c>
      <c r="F6" s="15">
        <f t="shared" si="0"/>
        <v>-0.8853521215007043</v>
      </c>
      <c r="G6" s="15">
        <f>T6*V6</f>
        <v>-0.8853521215007043</v>
      </c>
      <c r="H6" s="15"/>
      <c r="I6" s="15"/>
      <c r="K6" s="8">
        <f>B3*B4*B5</f>
        <v>0.85737499999999989</v>
      </c>
      <c r="L6" s="8">
        <f>(D3*D4*D5*D6)^0.25</f>
        <v>0.99015083492397971</v>
      </c>
      <c r="M6" s="8">
        <f t="shared" si="1"/>
        <v>-0.98491650760202942</v>
      </c>
      <c r="N6" s="8">
        <f>B4*B5</f>
        <v>0.90249999999999997</v>
      </c>
      <c r="O6" s="8">
        <f>(D4*D5*D6)^(1/3)</f>
        <v>0.9902903788103059</v>
      </c>
      <c r="P6" s="8">
        <f>(O6-1)*100</f>
        <v>-0.97096211896940954</v>
      </c>
      <c r="Q6" s="8">
        <f>B5</f>
        <v>0.95</v>
      </c>
      <c r="R6" s="8">
        <f>(D5*D6)^0.5</f>
        <v>0.98997075684460556</v>
      </c>
      <c r="S6" s="8">
        <f>(R6-1)*100</f>
        <v>-1.0029243155394441</v>
      </c>
      <c r="T6" s="8">
        <v>1</v>
      </c>
      <c r="U6" s="8">
        <f>D6</f>
        <v>0.99114647878499296</v>
      </c>
      <c r="V6" s="8">
        <f>(U6-1)*100</f>
        <v>-0.8853521215007043</v>
      </c>
    </row>
    <row r="7" spans="1:22" x14ac:dyDescent="0.2">
      <c r="A7" s="18">
        <v>13</v>
      </c>
      <c r="B7" s="11">
        <f>Meta!E7</f>
        <v>0.64800000000000002</v>
      </c>
      <c r="D7" s="8">
        <f>Grade13!T2</f>
        <v>0.96693066865678878</v>
      </c>
      <c r="F7" s="15">
        <f t="shared" si="0"/>
        <v>-3.3069331343211217</v>
      </c>
      <c r="G7" s="15">
        <f>K7*M7+K8*M8+K9*M9+K10*M10</f>
        <v>-3.440849213875445</v>
      </c>
      <c r="H7" s="15"/>
      <c r="I7" s="15"/>
      <c r="K7" s="8">
        <f>1-B7</f>
        <v>0.35199999999999998</v>
      </c>
      <c r="L7" s="8">
        <f>D7</f>
        <v>0.96693066865678878</v>
      </c>
      <c r="M7" s="8">
        <f t="shared" si="1"/>
        <v>-3.3069331343211217</v>
      </c>
    </row>
    <row r="8" spans="1:22" x14ac:dyDescent="0.2">
      <c r="A8" s="18">
        <v>14</v>
      </c>
      <c r="B8" s="11">
        <f>Meta!E8</f>
        <v>0.64800000000000002</v>
      </c>
      <c r="D8" s="8">
        <f>Grade14!T2</f>
        <v>0.96406420424503314</v>
      </c>
      <c r="F8" s="15">
        <f t="shared" si="0"/>
        <v>-3.5935795754966859</v>
      </c>
      <c r="G8" s="15">
        <f>N8*P8+N9*P9+N10*P10</f>
        <v>-3.623576331061269</v>
      </c>
      <c r="H8" s="15"/>
      <c r="I8" s="15"/>
      <c r="K8" s="8">
        <f>B7*(1-B8)</f>
        <v>0.22809599999999999</v>
      </c>
      <c r="L8" s="8">
        <f>(D7*D8)^0.5</f>
        <v>0.96549637266989508</v>
      </c>
      <c r="M8" s="8">
        <f t="shared" si="1"/>
        <v>-3.4503627330104925</v>
      </c>
      <c r="N8" s="8">
        <f>1-B8</f>
        <v>0.35199999999999998</v>
      </c>
      <c r="O8" s="8">
        <f>D8</f>
        <v>0.96406420424503314</v>
      </c>
      <c r="P8" s="8">
        <f>(O8-1)*100</f>
        <v>-3.5935795754966859</v>
      </c>
    </row>
    <row r="9" spans="1:22" x14ac:dyDescent="0.2">
      <c r="A9" s="18">
        <v>15</v>
      </c>
      <c r="B9" s="11">
        <f>Meta!E9</f>
        <v>0.64800000000000002</v>
      </c>
      <c r="D9" s="8">
        <f>Grade15!T2</f>
        <v>0.96379110500739751</v>
      </c>
      <c r="F9" s="15">
        <f t="shared" si="0"/>
        <v>-3.6208894992602492</v>
      </c>
      <c r="G9" s="15">
        <f>Q9*S9+Q10*S10</f>
        <v>-3.6654089406837609</v>
      </c>
      <c r="H9" s="15"/>
      <c r="I9" s="15"/>
      <c r="K9" s="8">
        <f>B7*B8*(1-B9)</f>
        <v>0.14780620799999999</v>
      </c>
      <c r="L9" s="8">
        <f>(D7*D8*D9)^(1/3)</f>
        <v>0.9649276151361047</v>
      </c>
      <c r="M9" s="8">
        <f t="shared" si="1"/>
        <v>-3.5072384863895301</v>
      </c>
      <c r="N9" s="8">
        <f>B8*(1-B9)</f>
        <v>0.22809599999999999</v>
      </c>
      <c r="O9" s="8">
        <f>(D8*D9)^0.5</f>
        <v>0.96392764495443217</v>
      </c>
      <c r="P9" s="8">
        <f>(O9-1)*100</f>
        <v>-3.6072355045567828</v>
      </c>
      <c r="Q9" s="8">
        <f>1-B9</f>
        <v>0.35199999999999998</v>
      </c>
      <c r="R9" s="8">
        <f>D9</f>
        <v>0.96379110500739751</v>
      </c>
      <c r="S9" s="8">
        <f>(R9-1)*100</f>
        <v>-3.6208894992602492</v>
      </c>
    </row>
    <row r="10" spans="1:22" x14ac:dyDescent="0.2">
      <c r="A10" s="18">
        <v>16</v>
      </c>
      <c r="B10" s="11">
        <f>Meta!E10</f>
        <v>0.64800000000000002</v>
      </c>
      <c r="D10" s="8">
        <f>Grade16!T2</f>
        <v>0.96241753791436579</v>
      </c>
      <c r="F10" s="15">
        <f t="shared" si="0"/>
        <v>-3.7582462085634205</v>
      </c>
      <c r="G10" s="15">
        <f>T10*V10</f>
        <v>-3.7582462085634205</v>
      </c>
      <c r="H10" s="15"/>
      <c r="I10" s="15"/>
      <c r="K10" s="8">
        <f>B7*B8*B9</f>
        <v>0.272097792</v>
      </c>
      <c r="L10" s="8">
        <f>(D7*D8*D9*D10)^0.25</f>
        <v>0.96429948276019994</v>
      </c>
      <c r="M10" s="8">
        <f t="shared" si="1"/>
        <v>-3.5700517239800056</v>
      </c>
      <c r="N10" s="8">
        <f>B8*B9</f>
        <v>0.419904</v>
      </c>
      <c r="O10" s="8">
        <f>(D8*D9*D10)^(1/3)</f>
        <v>0.96342401284962631</v>
      </c>
      <c r="P10" s="8">
        <f>(O10-1)*100</f>
        <v>-3.657598715037369</v>
      </c>
      <c r="Q10" s="8">
        <f>B9</f>
        <v>0.64800000000000002</v>
      </c>
      <c r="R10" s="8">
        <f>(D9*D10)^0.5</f>
        <v>0.96310407659036801</v>
      </c>
      <c r="S10" s="8">
        <f>(R10-1)*100</f>
        <v>-3.6895923409631992</v>
      </c>
      <c r="T10" s="8">
        <v>1</v>
      </c>
      <c r="U10" s="8">
        <f>D10</f>
        <v>0.96241753791436579</v>
      </c>
      <c r="V10" s="8">
        <f>(U10-1)*100</f>
        <v>-3.7582462085634205</v>
      </c>
    </row>
    <row r="11" spans="1:22" x14ac:dyDescent="0.2">
      <c r="A11" s="18">
        <v>17</v>
      </c>
      <c r="B11" s="11">
        <f>Meta!E11</f>
        <v>0.36299999999999999</v>
      </c>
      <c r="D11" s="8">
        <f>Grade17!T2</f>
        <v>0.89361145979381751</v>
      </c>
      <c r="F11" s="15">
        <f t="shared" si="0"/>
        <v>-10.638854020618249</v>
      </c>
      <c r="G11" s="15">
        <f>K11*M11+K12*M12</f>
        <v>-10.510981911767956</v>
      </c>
      <c r="H11" s="15"/>
      <c r="I11" s="15"/>
      <c r="K11" s="8">
        <f>1-B11</f>
        <v>0.63700000000000001</v>
      </c>
      <c r="L11" s="8">
        <f>D11</f>
        <v>0.89361145979381751</v>
      </c>
      <c r="M11" s="8">
        <f t="shared" si="1"/>
        <v>-10.638854020618249</v>
      </c>
    </row>
    <row r="12" spans="1:22" x14ac:dyDescent="0.2">
      <c r="A12" s="18">
        <v>18</v>
      </c>
      <c r="B12" s="11">
        <f>Meta!E12</f>
        <v>0.36299999999999999</v>
      </c>
      <c r="D12" s="8">
        <f>Grade18!T2</f>
        <v>0.90067064144741904</v>
      </c>
      <c r="F12" s="15">
        <f t="shared" si="0"/>
        <v>-9.932935855258096</v>
      </c>
      <c r="G12" s="15">
        <f>N12*P12</f>
        <v>-9.932935855258096</v>
      </c>
      <c r="H12" s="15"/>
      <c r="I12" s="15"/>
      <c r="K12" s="8">
        <f>B11</f>
        <v>0.36299999999999999</v>
      </c>
      <c r="L12" s="8">
        <f>(D11*D12)^0.5</f>
        <v>0.89713410742054733</v>
      </c>
      <c r="M12" s="8">
        <f t="shared" si="1"/>
        <v>-10.286589257945266</v>
      </c>
      <c r="N12" s="8">
        <v>1</v>
      </c>
      <c r="O12" s="8">
        <f>D12</f>
        <v>0.90067064144741904</v>
      </c>
      <c r="P12" s="8">
        <f>(O12-1)*100</f>
        <v>-9.932935855258096</v>
      </c>
    </row>
    <row r="14" spans="1:22" x14ac:dyDescent="0.2">
      <c r="B14" s="16"/>
    </row>
    <row r="15" spans="1:22" x14ac:dyDescent="0.2">
      <c r="B15" s="16"/>
    </row>
    <row r="16" spans="1:22" x14ac:dyDescent="0.2">
      <c r="B16" s="16"/>
    </row>
    <row r="17" spans="2:4" x14ac:dyDescent="0.2">
      <c r="B17" s="16"/>
    </row>
    <row r="18" spans="2:4" x14ac:dyDescent="0.2">
      <c r="B18" s="16"/>
    </row>
    <row r="19" spans="2:4" x14ac:dyDescent="0.2">
      <c r="B19" s="16"/>
      <c r="D19" s="30"/>
    </row>
    <row r="20" spans="2:4" x14ac:dyDescent="0.2">
      <c r="B20" s="16"/>
    </row>
    <row r="21" spans="2:4" x14ac:dyDescent="0.2">
      <c r="B21" s="16"/>
    </row>
    <row r="22" spans="2:4" x14ac:dyDescent="0.2">
      <c r="B22" s="16"/>
    </row>
    <row r="23" spans="2:4" x14ac:dyDescent="0.2">
      <c r="B23" s="16"/>
    </row>
    <row r="24" spans="2:4" x14ac:dyDescent="0.2">
      <c r="B24" s="16"/>
    </row>
    <row r="25" spans="2:4" x14ac:dyDescent="0.2">
      <c r="B25" s="16"/>
    </row>
    <row r="26" spans="2:4" x14ac:dyDescent="0.2">
      <c r="B26" s="16"/>
    </row>
    <row r="27" spans="2:4" x14ac:dyDescent="0.2">
      <c r="B27" s="2"/>
    </row>
    <row r="28" spans="2:4" x14ac:dyDescent="0.2">
      <c r="B28" s="2"/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workbookViewId="0">
      <selection activeCell="R2" sqref="R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8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</row>
    <row r="2" spans="1:18" x14ac:dyDescent="0.2">
      <c r="B2" s="5">
        <f>Meta!A2+6</f>
        <v>14</v>
      </c>
      <c r="C2" s="7">
        <f>Meta!B2</f>
        <v>23686</v>
      </c>
      <c r="D2" s="7">
        <f>Meta!C2</f>
        <v>10896</v>
      </c>
      <c r="E2" s="1">
        <f>Meta!D2</f>
        <v>8.8999999999999996E-2</v>
      </c>
      <c r="F2" s="1">
        <f>Meta!F2</f>
        <v>0.45100000000000001</v>
      </c>
      <c r="G2" s="1">
        <f>Meta!I2</f>
        <v>2.0085479604911836</v>
      </c>
      <c r="H2" s="1">
        <f>Meta!E2</f>
        <v>1</v>
      </c>
      <c r="I2" s="13"/>
      <c r="K2" s="1">
        <f>Meta!D2</f>
        <v>8.8999999999999996E-2</v>
      </c>
      <c r="L2" s="13"/>
      <c r="N2" s="22">
        <f>Meta!T2</f>
        <v>29445</v>
      </c>
      <c r="O2" s="22">
        <f>Meta!U2</f>
        <v>13545</v>
      </c>
      <c r="P2" s="1">
        <f>Meta!V2</f>
        <v>6.5000000000000002E-2</v>
      </c>
      <c r="Q2" s="1">
        <f>Meta!X2</f>
        <v>0.54</v>
      </c>
      <c r="R2" s="22">
        <f>Meta!W2</f>
        <v>379</v>
      </c>
    </row>
    <row r="3" spans="1:18" ht="14.25" x14ac:dyDescent="0.2">
      <c r="C3" s="3"/>
      <c r="G3" s="4"/>
      <c r="L3" s="1" t="s">
        <v>10</v>
      </c>
    </row>
    <row r="4" spans="1:18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</row>
    <row r="5" spans="1:18" x14ac:dyDescent="0.2">
      <c r="A5" s="5">
        <v>14</v>
      </c>
      <c r="B5" s="1">
        <f t="shared" ref="B5:B36" si="0">(1+experiencepremium)^(A5-startage)</f>
        <v>1</v>
      </c>
      <c r="C5" s="5">
        <f>pretaxincome*B5/expnorm</f>
        <v>11792.598666256228</v>
      </c>
      <c r="D5" s="5">
        <f>IF(A5&lt;startage,1,0)*(C5*(1-initialunempprob))+IF(A5=startage,1,0)*(C5*(1-unempprob))+IF(A5&gt;startage,1,0)*(C5*(1-unempprob)+unempprob*300*52)</f>
        <v>10743.057384959424</v>
      </c>
      <c r="E5" s="5">
        <f>IF(D5-9500&gt;0,1,0)*(D5-9500)</f>
        <v>1243.0573849594239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1070.4553669412808</v>
      </c>
      <c r="G5" s="5">
        <f>D5-F5</f>
        <v>9672.602018018144</v>
      </c>
      <c r="H5" s="22">
        <f t="shared" ref="H5:H36" si="1">benefits*B5/expnorm</f>
        <v>5424.8144502038276</v>
      </c>
      <c r="I5" s="5">
        <f>G5+IF(A5&lt;startage,1,0)*(H5*(1-initialunempprob))+IF(A5&gt;=startage,1,0)*(H5*(1-unempprob))</f>
        <v>14614.607982153831</v>
      </c>
      <c r="J5" s="26">
        <f t="shared" ref="J5:J36" si="2">(F5-(IF(A5&gt;startage,1,0)*(unempprob*300*52)))/(IF(A5&lt;startage,1,0)*((C5+H5)*(1-initialunempprob))+IF(A5&gt;=startage,1,0)*((C5+H5)*(1-unempprob)))</f>
        <v>6.8246799079905315E-2</v>
      </c>
      <c r="L5" s="22">
        <f t="shared" ref="L5:L36" si="3">(sincome+sbenefits)*(1-sunemp)*B5/expnorm</f>
        <v>20012.292855665888</v>
      </c>
      <c r="M5" s="5">
        <f>scrimecost*Meta!O2</f>
        <v>501.03800000000001</v>
      </c>
      <c r="N5" s="22"/>
    </row>
    <row r="6" spans="1:18" x14ac:dyDescent="0.2">
      <c r="A6" s="5">
        <v>15</v>
      </c>
      <c r="B6" s="1">
        <f t="shared" si="0"/>
        <v>1.0249999999999999</v>
      </c>
      <c r="C6" s="5">
        <f t="shared" ref="C6:C36" si="4">pretaxincome*B6/expnorm</f>
        <v>12087.413632912634</v>
      </c>
      <c r="D6" s="5">
        <f t="shared" ref="D6:D36" si="5">IF(A6&lt;startage,1,0)*(C6*(1-initialunempprob))+IF(A6=startage,1,0)*(C6*(1-unempprob))+IF(A6&gt;startage,1,0)*(C6*(1-unempprob)+unempprob*300*52)</f>
        <v>12400.03381958341</v>
      </c>
      <c r="E6" s="5">
        <f t="shared" ref="E6:E56" si="6">IF(D6-9500&gt;0,1,0)*(D6-9500)</f>
        <v>2900.0338195834101</v>
      </c>
      <c r="F6" s="5">
        <f t="shared" ref="F6:F56" si="7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1528.6093511148129</v>
      </c>
      <c r="G6" s="5">
        <f t="shared" ref="G6:G56" si="8">D6-F6</f>
        <v>10871.424468468598</v>
      </c>
      <c r="H6" s="22">
        <f t="shared" si="1"/>
        <v>5560.4348114589238</v>
      </c>
      <c r="I6" s="5">
        <f t="shared" ref="I6:I36" si="9">G6+IF(A6&lt;startage,1,0)*(H6*(1-initialunempprob))+IF(A6&gt;=startage,1,0)*(H6*(1-unempprob))</f>
        <v>15936.980581707678</v>
      </c>
      <c r="J6" s="26">
        <f t="shared" si="2"/>
        <v>8.7210110535901365E-3</v>
      </c>
      <c r="L6" s="22">
        <f t="shared" si="3"/>
        <v>20512.600177057531</v>
      </c>
      <c r="M6" s="5">
        <f>scrimecost*Meta!O3</f>
        <v>823.1880000000001</v>
      </c>
      <c r="N6" s="22"/>
    </row>
    <row r="7" spans="1:18" x14ac:dyDescent="0.2">
      <c r="A7" s="5">
        <v>16</v>
      </c>
      <c r="B7" s="1">
        <f t="shared" si="0"/>
        <v>1.0506249999999999</v>
      </c>
      <c r="C7" s="5">
        <f t="shared" si="4"/>
        <v>12389.59897373545</v>
      </c>
      <c r="D7" s="5">
        <f t="shared" si="5"/>
        <v>12675.324665072994</v>
      </c>
      <c r="E7" s="5">
        <f t="shared" si="6"/>
        <v>3175.3246650729943</v>
      </c>
      <c r="F7" s="5">
        <f t="shared" si="7"/>
        <v>1604.7272698926829</v>
      </c>
      <c r="G7" s="5">
        <f t="shared" si="8"/>
        <v>11070.597395180312</v>
      </c>
      <c r="H7" s="22">
        <f t="shared" si="1"/>
        <v>5699.4456817453965</v>
      </c>
      <c r="I7" s="5">
        <f t="shared" si="9"/>
        <v>16262.792411250368</v>
      </c>
      <c r="J7" s="26">
        <f t="shared" si="2"/>
        <v>1.3127355955805388E-2</v>
      </c>
      <c r="L7" s="22">
        <f t="shared" si="3"/>
        <v>21025.415181483972</v>
      </c>
      <c r="M7" s="5">
        <f>scrimecost*Meta!O4</f>
        <v>997.90700000000004</v>
      </c>
      <c r="N7" s="22"/>
    </row>
    <row r="8" spans="1:18" x14ac:dyDescent="0.2">
      <c r="A8" s="5">
        <v>17</v>
      </c>
      <c r="B8" s="1">
        <f t="shared" si="0"/>
        <v>1.0768906249999999</v>
      </c>
      <c r="C8" s="5">
        <f t="shared" si="4"/>
        <v>12699.338948078836</v>
      </c>
      <c r="D8" s="5">
        <f t="shared" si="5"/>
        <v>12957.49778169982</v>
      </c>
      <c r="E8" s="5">
        <f t="shared" si="6"/>
        <v>3457.4977816998198</v>
      </c>
      <c r="F8" s="5">
        <f t="shared" si="7"/>
        <v>1682.7481366400002</v>
      </c>
      <c r="G8" s="5">
        <f t="shared" si="8"/>
        <v>11274.749645059819</v>
      </c>
      <c r="H8" s="22">
        <f t="shared" si="1"/>
        <v>5841.9318237890311</v>
      </c>
      <c r="I8" s="5">
        <f t="shared" si="9"/>
        <v>16596.749536531628</v>
      </c>
      <c r="J8" s="26">
        <f t="shared" si="2"/>
        <v>1.7426229031137375E-2</v>
      </c>
      <c r="L8" s="22">
        <f t="shared" si="3"/>
        <v>21551.050561021071</v>
      </c>
      <c r="M8" s="5">
        <f>scrimecost*Meta!O5</f>
        <v>1096.068</v>
      </c>
      <c r="N8" s="22"/>
    </row>
    <row r="9" spans="1:18" x14ac:dyDescent="0.2">
      <c r="A9" s="5">
        <v>18</v>
      </c>
      <c r="B9" s="1">
        <f t="shared" si="0"/>
        <v>1.1038128906249998</v>
      </c>
      <c r="C9" s="5">
        <f t="shared" si="4"/>
        <v>13016.822421780806</v>
      </c>
      <c r="D9" s="5">
        <f t="shared" si="5"/>
        <v>13246.725226242314</v>
      </c>
      <c r="E9" s="5">
        <f t="shared" si="6"/>
        <v>3746.7252262423135</v>
      </c>
      <c r="F9" s="5">
        <f t="shared" si="7"/>
        <v>1762.7195250559998</v>
      </c>
      <c r="G9" s="5">
        <f t="shared" si="8"/>
        <v>11484.005701186314</v>
      </c>
      <c r="H9" s="22">
        <f t="shared" si="1"/>
        <v>5987.9801193837566</v>
      </c>
      <c r="I9" s="5">
        <f t="shared" si="9"/>
        <v>16939.055589944917</v>
      </c>
      <c r="J9" s="26">
        <f t="shared" si="2"/>
        <v>2.1620251543656349E-2</v>
      </c>
      <c r="L9" s="22">
        <f t="shared" si="3"/>
        <v>22089.826825046592</v>
      </c>
      <c r="M9" s="5">
        <f>scrimecost*Meta!O6</f>
        <v>1282.1569999999999</v>
      </c>
      <c r="N9" s="22"/>
    </row>
    <row r="10" spans="1:18" x14ac:dyDescent="0.2">
      <c r="A10" s="5">
        <v>19</v>
      </c>
      <c r="B10" s="1">
        <f t="shared" si="0"/>
        <v>1.1314082128906247</v>
      </c>
      <c r="C10" s="5">
        <f t="shared" si="4"/>
        <v>13342.242982325322</v>
      </c>
      <c r="D10" s="5">
        <f t="shared" si="5"/>
        <v>13543.183356898369</v>
      </c>
      <c r="E10" s="5">
        <f t="shared" si="6"/>
        <v>4043.1833568983693</v>
      </c>
      <c r="F10" s="5">
        <f t="shared" si="7"/>
        <v>1844.6901981823989</v>
      </c>
      <c r="G10" s="5">
        <f t="shared" si="8"/>
        <v>11698.49315871597</v>
      </c>
      <c r="H10" s="22">
        <f t="shared" si="1"/>
        <v>6137.6796223683496</v>
      </c>
      <c r="I10" s="5">
        <f t="shared" si="9"/>
        <v>17289.919294693536</v>
      </c>
      <c r="J10" s="26">
        <f t="shared" si="2"/>
        <v>2.571198082416264E-2</v>
      </c>
      <c r="L10" s="22">
        <f t="shared" si="3"/>
        <v>22642.072495672757</v>
      </c>
      <c r="M10" s="5">
        <f>scrimecost*Meta!O7</f>
        <v>1379.9390000000001</v>
      </c>
      <c r="N10" s="22"/>
    </row>
    <row r="11" spans="1:18" x14ac:dyDescent="0.2">
      <c r="A11" s="5">
        <v>20</v>
      </c>
      <c r="B11" s="1">
        <f t="shared" si="0"/>
        <v>1.1596934182128902</v>
      </c>
      <c r="C11" s="5">
        <f t="shared" si="4"/>
        <v>13675.799056883458</v>
      </c>
      <c r="D11" s="5">
        <f t="shared" si="5"/>
        <v>13847.052940820829</v>
      </c>
      <c r="E11" s="5">
        <f t="shared" si="6"/>
        <v>4347.0529408208295</v>
      </c>
      <c r="F11" s="5">
        <f t="shared" si="7"/>
        <v>1928.7101381369594</v>
      </c>
      <c r="G11" s="5">
        <f t="shared" si="8"/>
        <v>11918.34280268387</v>
      </c>
      <c r="H11" s="22">
        <f t="shared" si="1"/>
        <v>6291.1216129275581</v>
      </c>
      <c r="I11" s="5">
        <f t="shared" si="9"/>
        <v>17649.554592060875</v>
      </c>
      <c r="J11" s="26">
        <f t="shared" si="2"/>
        <v>2.9703911829534701E-2</v>
      </c>
      <c r="L11" s="22">
        <f t="shared" si="3"/>
        <v>23208.124308064576</v>
      </c>
      <c r="M11" s="5">
        <f>scrimecost*Meta!O8</f>
        <v>1319.299</v>
      </c>
      <c r="N11" s="22"/>
    </row>
    <row r="12" spans="1:18" x14ac:dyDescent="0.2">
      <c r="A12" s="5">
        <v>21</v>
      </c>
      <c r="B12" s="1">
        <f t="shared" si="0"/>
        <v>1.1886857536682125</v>
      </c>
      <c r="C12" s="5">
        <f t="shared" si="4"/>
        <v>14017.694033305543</v>
      </c>
      <c r="D12" s="5">
        <f t="shared" si="5"/>
        <v>14158.51926434135</v>
      </c>
      <c r="E12" s="5">
        <f t="shared" si="6"/>
        <v>4658.5192643413502</v>
      </c>
      <c r="F12" s="5">
        <f t="shared" si="7"/>
        <v>2014.8305765903833</v>
      </c>
      <c r="G12" s="5">
        <f t="shared" si="8"/>
        <v>12143.688687750968</v>
      </c>
      <c r="H12" s="22">
        <f t="shared" si="1"/>
        <v>6448.3996532507472</v>
      </c>
      <c r="I12" s="5">
        <f t="shared" si="9"/>
        <v>18018.180771862397</v>
      </c>
      <c r="J12" s="26">
        <f t="shared" si="2"/>
        <v>3.3598478664044001E-2</v>
      </c>
      <c r="L12" s="22">
        <f t="shared" si="3"/>
        <v>23788.327415766191</v>
      </c>
      <c r="M12" s="5">
        <f>scrimecost*Meta!O9</f>
        <v>1181.3430000000001</v>
      </c>
      <c r="N12" s="22"/>
    </row>
    <row r="13" spans="1:18" x14ac:dyDescent="0.2">
      <c r="A13" s="5">
        <v>22</v>
      </c>
      <c r="B13" s="1">
        <f t="shared" si="0"/>
        <v>1.2184028975099177</v>
      </c>
      <c r="C13" s="5">
        <f t="shared" si="4"/>
        <v>14368.136384138179</v>
      </c>
      <c r="D13" s="5">
        <f t="shared" si="5"/>
        <v>14477.772245949882</v>
      </c>
      <c r="E13" s="5">
        <f t="shared" si="6"/>
        <v>4977.7722459498818</v>
      </c>
      <c r="F13" s="5">
        <f t="shared" si="7"/>
        <v>2103.1040260051423</v>
      </c>
      <c r="G13" s="5">
        <f t="shared" si="8"/>
        <v>12374.668219944739</v>
      </c>
      <c r="H13" s="22">
        <f t="shared" si="1"/>
        <v>6609.6096445820149</v>
      </c>
      <c r="I13" s="5">
        <f t="shared" si="9"/>
        <v>18396.022606158956</v>
      </c>
      <c r="J13" s="26">
        <f t="shared" si="2"/>
        <v>3.7398056063565249E-2</v>
      </c>
      <c r="L13" s="22">
        <f t="shared" si="3"/>
        <v>24383.03560116034</v>
      </c>
      <c r="M13" s="5">
        <f>scrimecost*Meta!O10</f>
        <v>1088.1089999999999</v>
      </c>
      <c r="N13" s="22"/>
    </row>
    <row r="14" spans="1:18" x14ac:dyDescent="0.2">
      <c r="A14" s="5">
        <v>23</v>
      </c>
      <c r="B14" s="1">
        <f t="shared" si="0"/>
        <v>1.2488629699476654</v>
      </c>
      <c r="C14" s="5">
        <f t="shared" si="4"/>
        <v>14727.339793741632</v>
      </c>
      <c r="D14" s="5">
        <f t="shared" si="5"/>
        <v>14805.006552098626</v>
      </c>
      <c r="E14" s="5">
        <f t="shared" si="6"/>
        <v>5305.0065520986263</v>
      </c>
      <c r="F14" s="5">
        <f t="shared" si="7"/>
        <v>2193.5843116552705</v>
      </c>
      <c r="G14" s="5">
        <f t="shared" si="8"/>
        <v>12611.422240443357</v>
      </c>
      <c r="H14" s="22">
        <f t="shared" si="1"/>
        <v>6774.8498856965643</v>
      </c>
      <c r="I14" s="5">
        <f t="shared" si="9"/>
        <v>18783.310486312927</v>
      </c>
      <c r="J14" s="26">
        <f t="shared" si="2"/>
        <v>4.1104960843585989E-2</v>
      </c>
      <c r="L14" s="22">
        <f t="shared" si="3"/>
        <v>24992.611491189346</v>
      </c>
      <c r="M14" s="5">
        <f>scrimecost*Meta!O11</f>
        <v>1018.3729999999999</v>
      </c>
      <c r="N14" s="22"/>
    </row>
    <row r="15" spans="1:18" x14ac:dyDescent="0.2">
      <c r="A15" s="5">
        <v>24</v>
      </c>
      <c r="B15" s="1">
        <f t="shared" si="0"/>
        <v>1.2800845441963571</v>
      </c>
      <c r="C15" s="5">
        <f t="shared" si="4"/>
        <v>15095.523288585173</v>
      </c>
      <c r="D15" s="5">
        <f t="shared" si="5"/>
        <v>15140.421715901093</v>
      </c>
      <c r="E15" s="5">
        <f t="shared" si="6"/>
        <v>5640.4217159010932</v>
      </c>
      <c r="F15" s="5">
        <f t="shared" si="7"/>
        <v>2286.3266044466523</v>
      </c>
      <c r="G15" s="5">
        <f t="shared" si="8"/>
        <v>12854.09511145444</v>
      </c>
      <c r="H15" s="22">
        <f t="shared" si="1"/>
        <v>6944.2211328389794</v>
      </c>
      <c r="I15" s="5">
        <f t="shared" si="9"/>
        <v>19180.280563470751</v>
      </c>
      <c r="J15" s="26">
        <f t="shared" si="2"/>
        <v>4.4721453311898918E-2</v>
      </c>
      <c r="L15" s="22">
        <f t="shared" si="3"/>
        <v>25617.426778469078</v>
      </c>
      <c r="M15" s="5">
        <f>scrimecost*Meta!O12</f>
        <v>975.16700000000003</v>
      </c>
      <c r="N15" s="22"/>
    </row>
    <row r="16" spans="1:18" x14ac:dyDescent="0.2">
      <c r="A16" s="5">
        <v>25</v>
      </c>
      <c r="B16" s="1">
        <f t="shared" si="0"/>
        <v>1.312086657801266</v>
      </c>
      <c r="C16" s="5">
        <f t="shared" si="4"/>
        <v>15472.911370799802</v>
      </c>
      <c r="D16" s="5">
        <f t="shared" si="5"/>
        <v>15484.22225879862</v>
      </c>
      <c r="E16" s="5">
        <f t="shared" si="6"/>
        <v>5984.2222587986198</v>
      </c>
      <c r="F16" s="5">
        <f t="shared" si="7"/>
        <v>2381.3874545578183</v>
      </c>
      <c r="G16" s="5">
        <f t="shared" si="8"/>
        <v>13102.834804240802</v>
      </c>
      <c r="H16" s="22">
        <f t="shared" si="1"/>
        <v>7117.8266611599529</v>
      </c>
      <c r="I16" s="5">
        <f t="shared" si="9"/>
        <v>19587.174892557519</v>
      </c>
      <c r="J16" s="26">
        <f t="shared" si="2"/>
        <v>4.8249738646838354E-2</v>
      </c>
      <c r="L16" s="22">
        <f t="shared" si="3"/>
        <v>26257.862447930806</v>
      </c>
      <c r="M16" s="5">
        <f>scrimecost*Meta!O13</f>
        <v>825.46199999999999</v>
      </c>
      <c r="N16" s="22"/>
    </row>
    <row r="17" spans="1:14" x14ac:dyDescent="0.2">
      <c r="A17" s="5">
        <v>26</v>
      </c>
      <c r="B17" s="1">
        <f t="shared" si="0"/>
        <v>1.3448888242462975</v>
      </c>
      <c r="C17" s="5">
        <f t="shared" si="4"/>
        <v>15859.734155069797</v>
      </c>
      <c r="D17" s="5">
        <f t="shared" si="5"/>
        <v>15836.617815268584</v>
      </c>
      <c r="E17" s="5">
        <f t="shared" si="6"/>
        <v>6336.6178152685843</v>
      </c>
      <c r="F17" s="5">
        <f t="shared" si="7"/>
        <v>2478.8248259217635</v>
      </c>
      <c r="G17" s="5">
        <f t="shared" si="8"/>
        <v>13357.792989346821</v>
      </c>
      <c r="H17" s="22">
        <f t="shared" si="1"/>
        <v>7295.772327688951</v>
      </c>
      <c r="I17" s="5">
        <f t="shared" si="9"/>
        <v>20004.241579871457</v>
      </c>
      <c r="J17" s="26">
        <f t="shared" si="2"/>
        <v>5.1691968241901212E-2</v>
      </c>
      <c r="L17" s="22">
        <f t="shared" si="3"/>
        <v>26914.309009129072</v>
      </c>
      <c r="M17" s="5">
        <f>scrimecost*Meta!O14</f>
        <v>825.46199999999999</v>
      </c>
      <c r="N17" s="22"/>
    </row>
    <row r="18" spans="1:14" x14ac:dyDescent="0.2">
      <c r="A18" s="5">
        <v>27</v>
      </c>
      <c r="B18" s="1">
        <f t="shared" si="0"/>
        <v>1.3785110448524549</v>
      </c>
      <c r="C18" s="5">
        <f t="shared" si="4"/>
        <v>16256.22750894654</v>
      </c>
      <c r="D18" s="5">
        <f t="shared" si="5"/>
        <v>16197.823260650299</v>
      </c>
      <c r="E18" s="5">
        <f t="shared" si="6"/>
        <v>6697.8232606502988</v>
      </c>
      <c r="F18" s="5">
        <f t="shared" si="7"/>
        <v>2578.6981315698076</v>
      </c>
      <c r="G18" s="5">
        <f t="shared" si="8"/>
        <v>13619.12512908049</v>
      </c>
      <c r="H18" s="22">
        <f t="shared" si="1"/>
        <v>7478.1666358811744</v>
      </c>
      <c r="I18" s="5">
        <f t="shared" si="9"/>
        <v>20431.73493436824</v>
      </c>
      <c r="J18" s="26">
        <f t="shared" si="2"/>
        <v>5.5050241017572318E-2</v>
      </c>
      <c r="L18" s="22">
        <f t="shared" si="3"/>
        <v>27587.166734357299</v>
      </c>
      <c r="M18" s="5">
        <f>scrimecost*Meta!O15</f>
        <v>825.46199999999999</v>
      </c>
      <c r="N18" s="22"/>
    </row>
    <row r="19" spans="1:14" x14ac:dyDescent="0.2">
      <c r="A19" s="5">
        <v>28</v>
      </c>
      <c r="B19" s="1">
        <f t="shared" si="0"/>
        <v>1.4129738209737661</v>
      </c>
      <c r="C19" s="5">
        <f t="shared" si="4"/>
        <v>16662.633196670202</v>
      </c>
      <c r="D19" s="5">
        <f t="shared" si="5"/>
        <v>16568.058842166556</v>
      </c>
      <c r="E19" s="5">
        <f t="shared" si="6"/>
        <v>7068.0588421665561</v>
      </c>
      <c r="F19" s="5">
        <f t="shared" si="7"/>
        <v>2681.0682698590526</v>
      </c>
      <c r="G19" s="5">
        <f t="shared" si="8"/>
        <v>13886.990572307503</v>
      </c>
      <c r="H19" s="22">
        <f t="shared" si="1"/>
        <v>7665.1208017782028</v>
      </c>
      <c r="I19" s="5">
        <f t="shared" si="9"/>
        <v>20869.915622727443</v>
      </c>
      <c r="J19" s="26">
        <f t="shared" si="2"/>
        <v>5.8326604701153882E-2</v>
      </c>
      <c r="L19" s="22">
        <f t="shared" si="3"/>
        <v>28276.845902716232</v>
      </c>
      <c r="M19" s="5">
        <f>scrimecost*Meta!O16</f>
        <v>825.46199999999999</v>
      </c>
      <c r="N19" s="22"/>
    </row>
    <row r="20" spans="1:14" x14ac:dyDescent="0.2">
      <c r="A20" s="5">
        <v>29</v>
      </c>
      <c r="B20" s="1">
        <f t="shared" si="0"/>
        <v>1.4482981664981105</v>
      </c>
      <c r="C20" s="5">
        <f t="shared" si="4"/>
        <v>17079.199026586957</v>
      </c>
      <c r="D20" s="5">
        <f t="shared" si="5"/>
        <v>16947.55031322072</v>
      </c>
      <c r="E20" s="5">
        <f t="shared" si="6"/>
        <v>7447.5503132207195</v>
      </c>
      <c r="F20" s="5">
        <f t="shared" si="7"/>
        <v>2785.9976616055292</v>
      </c>
      <c r="G20" s="5">
        <f t="shared" si="8"/>
        <v>14161.552651615191</v>
      </c>
      <c r="H20" s="22">
        <f t="shared" si="1"/>
        <v>7856.748821822659</v>
      </c>
      <c r="I20" s="5">
        <f t="shared" si="9"/>
        <v>21319.050828295633</v>
      </c>
      <c r="J20" s="26">
        <f t="shared" si="2"/>
        <v>6.1523057075379785E-2</v>
      </c>
      <c r="L20" s="22">
        <f t="shared" si="3"/>
        <v>28983.767050284139</v>
      </c>
      <c r="M20" s="5">
        <f>scrimecost*Meta!O17</f>
        <v>825.46199999999999</v>
      </c>
      <c r="N20" s="22"/>
    </row>
    <row r="21" spans="1:14" x14ac:dyDescent="0.2">
      <c r="A21" s="5">
        <v>30</v>
      </c>
      <c r="B21" s="1">
        <f t="shared" si="0"/>
        <v>1.4845056206605631</v>
      </c>
      <c r="C21" s="5">
        <f t="shared" si="4"/>
        <v>17506.179002251629</v>
      </c>
      <c r="D21" s="5">
        <f t="shared" si="5"/>
        <v>17336.529071051234</v>
      </c>
      <c r="E21" s="5">
        <f t="shared" si="6"/>
        <v>7836.5290710512345</v>
      </c>
      <c r="F21" s="5">
        <f t="shared" si="7"/>
        <v>2893.5502881456664</v>
      </c>
      <c r="G21" s="5">
        <f t="shared" si="8"/>
        <v>14442.978782905568</v>
      </c>
      <c r="H21" s="22">
        <f t="shared" si="1"/>
        <v>8053.1675423682254</v>
      </c>
      <c r="I21" s="5">
        <f t="shared" si="9"/>
        <v>21779.414414003022</v>
      </c>
      <c r="J21" s="26">
        <f t="shared" si="2"/>
        <v>6.4641547196575763E-2</v>
      </c>
      <c r="L21" s="22">
        <f t="shared" si="3"/>
        <v>29708.361226541241</v>
      </c>
      <c r="M21" s="5">
        <f>scrimecost*Meta!O18</f>
        <v>651.12199999999996</v>
      </c>
      <c r="N21" s="22"/>
    </row>
    <row r="22" spans="1:14" x14ac:dyDescent="0.2">
      <c r="A22" s="5">
        <v>31</v>
      </c>
      <c r="B22" s="1">
        <f t="shared" si="0"/>
        <v>1.521618261177077</v>
      </c>
      <c r="C22" s="5">
        <f t="shared" si="4"/>
        <v>17943.833477307919</v>
      </c>
      <c r="D22" s="5">
        <f t="shared" si="5"/>
        <v>17735.232297827515</v>
      </c>
      <c r="E22" s="5">
        <f t="shared" si="6"/>
        <v>8235.2322978275151</v>
      </c>
      <c r="F22" s="5">
        <f t="shared" si="7"/>
        <v>3003.7917303493077</v>
      </c>
      <c r="G22" s="5">
        <f t="shared" si="8"/>
        <v>14731.440567478207</v>
      </c>
      <c r="H22" s="22">
        <f t="shared" si="1"/>
        <v>8254.4967309274289</v>
      </c>
      <c r="I22" s="5">
        <f t="shared" si="9"/>
        <v>22251.287089353093</v>
      </c>
      <c r="J22" s="26">
        <f t="shared" si="2"/>
        <v>6.7683976583108443E-2</v>
      </c>
      <c r="L22" s="22">
        <f t="shared" si="3"/>
        <v>30451.07025720477</v>
      </c>
      <c r="M22" s="5">
        <f>scrimecost*Meta!O19</f>
        <v>651.12199999999996</v>
      </c>
      <c r="N22" s="22"/>
    </row>
    <row r="23" spans="1:14" x14ac:dyDescent="0.2">
      <c r="A23" s="5">
        <v>32</v>
      </c>
      <c r="B23" s="1">
        <f t="shared" si="0"/>
        <v>1.559658717706504</v>
      </c>
      <c r="C23" s="5">
        <f t="shared" si="4"/>
        <v>18392.429314240617</v>
      </c>
      <c r="D23" s="5">
        <f t="shared" si="5"/>
        <v>18143.903105273203</v>
      </c>
      <c r="E23" s="5">
        <f t="shared" si="6"/>
        <v>8643.9031052732025</v>
      </c>
      <c r="F23" s="5">
        <f t="shared" si="7"/>
        <v>3123.9843638717007</v>
      </c>
      <c r="G23" s="5">
        <f t="shared" si="8"/>
        <v>15019.918741401501</v>
      </c>
      <c r="H23" s="22">
        <f t="shared" si="1"/>
        <v>8460.8591492006162</v>
      </c>
      <c r="I23" s="5">
        <f t="shared" si="9"/>
        <v>22727.761426323261</v>
      </c>
      <c r="J23" s="26">
        <f t="shared" si="2"/>
        <v>7.0946320211331515E-2</v>
      </c>
      <c r="L23" s="22">
        <f t="shared" si="3"/>
        <v>31212.347013634888</v>
      </c>
      <c r="M23" s="5">
        <f>scrimecost*Meta!O20</f>
        <v>651.12199999999996</v>
      </c>
      <c r="N23" s="22"/>
    </row>
    <row r="24" spans="1:14" x14ac:dyDescent="0.2">
      <c r="A24" s="5">
        <v>33</v>
      </c>
      <c r="B24" s="1">
        <f t="shared" si="0"/>
        <v>1.5986501856491666</v>
      </c>
      <c r="C24" s="5">
        <f t="shared" si="4"/>
        <v>18852.240047096635</v>
      </c>
      <c r="D24" s="5">
        <f t="shared" si="5"/>
        <v>18562.790682905037</v>
      </c>
      <c r="E24" s="5">
        <f t="shared" si="6"/>
        <v>9062.7906829050371</v>
      </c>
      <c r="F24" s="5">
        <f t="shared" si="7"/>
        <v>3260.7511579684947</v>
      </c>
      <c r="G24" s="5">
        <f t="shared" si="8"/>
        <v>15302.039524936543</v>
      </c>
      <c r="H24" s="22">
        <f t="shared" si="1"/>
        <v>8672.3806279306318</v>
      </c>
      <c r="I24" s="5">
        <f t="shared" si="9"/>
        <v>23202.578276981349</v>
      </c>
      <c r="J24" s="26">
        <f t="shared" si="2"/>
        <v>7.4670246344094651E-2</v>
      </c>
      <c r="L24" s="22">
        <f t="shared" si="3"/>
        <v>31992.655688975759</v>
      </c>
      <c r="M24" s="5">
        <f>scrimecost*Meta!O21</f>
        <v>651.12199999999996</v>
      </c>
      <c r="N24" s="22"/>
    </row>
    <row r="25" spans="1:14" x14ac:dyDescent="0.2">
      <c r="A25" s="5">
        <v>34</v>
      </c>
      <c r="B25" s="1">
        <f t="shared" si="0"/>
        <v>1.6386164402903955</v>
      </c>
      <c r="C25" s="5">
        <f t="shared" si="4"/>
        <v>19323.546048274045</v>
      </c>
      <c r="D25" s="5">
        <f t="shared" si="5"/>
        <v>18992.150449977657</v>
      </c>
      <c r="E25" s="5">
        <f t="shared" si="6"/>
        <v>9492.1504499776565</v>
      </c>
      <c r="F25" s="5">
        <f t="shared" si="7"/>
        <v>3400.9371219177046</v>
      </c>
      <c r="G25" s="5">
        <f t="shared" si="8"/>
        <v>15591.213328059952</v>
      </c>
      <c r="H25" s="22">
        <f t="shared" si="1"/>
        <v>8889.1901436288954</v>
      </c>
      <c r="I25" s="5">
        <f t="shared" si="9"/>
        <v>23689.265548905874</v>
      </c>
      <c r="J25" s="26">
        <f t="shared" si="2"/>
        <v>7.8303345010204903E-2</v>
      </c>
      <c r="L25" s="22">
        <f t="shared" si="3"/>
        <v>32792.472081200154</v>
      </c>
      <c r="M25" s="5">
        <f>scrimecost*Meta!O22</f>
        <v>651.12199999999996</v>
      </c>
      <c r="N25" s="22"/>
    </row>
    <row r="26" spans="1:14" x14ac:dyDescent="0.2">
      <c r="A26" s="5">
        <v>35</v>
      </c>
      <c r="B26" s="1">
        <f t="shared" si="0"/>
        <v>1.6795818512976552</v>
      </c>
      <c r="C26" s="5">
        <f t="shared" si="4"/>
        <v>19806.634699480896</v>
      </c>
      <c r="D26" s="5">
        <f t="shared" si="5"/>
        <v>19432.244211227098</v>
      </c>
      <c r="E26" s="5">
        <f t="shared" si="6"/>
        <v>9932.2442112270983</v>
      </c>
      <c r="F26" s="5">
        <f t="shared" si="7"/>
        <v>3544.6277349656475</v>
      </c>
      <c r="G26" s="5">
        <f t="shared" si="8"/>
        <v>15887.61647626145</v>
      </c>
      <c r="H26" s="22">
        <f t="shared" si="1"/>
        <v>9111.4198972196173</v>
      </c>
      <c r="I26" s="5">
        <f t="shared" si="9"/>
        <v>24188.120002628522</v>
      </c>
      <c r="J26" s="26">
        <f t="shared" si="2"/>
        <v>8.1847831513727196E-2</v>
      </c>
      <c r="L26" s="22">
        <f t="shared" si="3"/>
        <v>33612.28388323015</v>
      </c>
      <c r="M26" s="5">
        <f>scrimecost*Meta!O23</f>
        <v>518.47200000000009</v>
      </c>
      <c r="N26" s="22"/>
    </row>
    <row r="27" spans="1:14" x14ac:dyDescent="0.2">
      <c r="A27" s="5">
        <v>36</v>
      </c>
      <c r="B27" s="1">
        <f t="shared" si="0"/>
        <v>1.7215713975800966</v>
      </c>
      <c r="C27" s="5">
        <f t="shared" si="4"/>
        <v>20301.800566967919</v>
      </c>
      <c r="D27" s="5">
        <f t="shared" si="5"/>
        <v>19883.340316507776</v>
      </c>
      <c r="E27" s="5">
        <f t="shared" si="6"/>
        <v>10383.340316507776</v>
      </c>
      <c r="F27" s="5">
        <f t="shared" si="7"/>
        <v>3691.9106133397891</v>
      </c>
      <c r="G27" s="5">
        <f t="shared" si="8"/>
        <v>16191.429703167987</v>
      </c>
      <c r="H27" s="22">
        <f t="shared" si="1"/>
        <v>9339.2053946501073</v>
      </c>
      <c r="I27" s="5">
        <f t="shared" si="9"/>
        <v>24699.445817694235</v>
      </c>
      <c r="J27" s="26">
        <f t="shared" si="2"/>
        <v>8.5305867126919677E-2</v>
      </c>
      <c r="L27" s="22">
        <f t="shared" si="3"/>
        <v>34452.590980310903</v>
      </c>
      <c r="M27" s="5">
        <f>scrimecost*Meta!O24</f>
        <v>518.47200000000009</v>
      </c>
      <c r="N27" s="22"/>
    </row>
    <row r="28" spans="1:14" x14ac:dyDescent="0.2">
      <c r="A28" s="5">
        <v>37</v>
      </c>
      <c r="B28" s="1">
        <f t="shared" si="0"/>
        <v>1.7646106825195991</v>
      </c>
      <c r="C28" s="5">
        <f t="shared" si="4"/>
        <v>20809.345581142115</v>
      </c>
      <c r="D28" s="5">
        <f t="shared" si="5"/>
        <v>20345.713824420469</v>
      </c>
      <c r="E28" s="5">
        <f t="shared" si="6"/>
        <v>10845.713824420469</v>
      </c>
      <c r="F28" s="5">
        <f t="shared" si="7"/>
        <v>3842.8755636732831</v>
      </c>
      <c r="G28" s="5">
        <f t="shared" si="8"/>
        <v>16502.838260747187</v>
      </c>
      <c r="H28" s="22">
        <f t="shared" si="1"/>
        <v>9572.6855295163605</v>
      </c>
      <c r="I28" s="5">
        <f t="shared" si="9"/>
        <v>25223.554778136589</v>
      </c>
      <c r="J28" s="26">
        <f t="shared" si="2"/>
        <v>8.8679560408083016E-2</v>
      </c>
      <c r="L28" s="22">
        <f t="shared" si="3"/>
        <v>35313.905754818683</v>
      </c>
      <c r="M28" s="5">
        <f>scrimecost*Meta!O25</f>
        <v>518.47200000000009</v>
      </c>
      <c r="N28" s="22"/>
    </row>
    <row r="29" spans="1:14" x14ac:dyDescent="0.2">
      <c r="A29" s="5">
        <v>38</v>
      </c>
      <c r="B29" s="1">
        <f t="shared" si="0"/>
        <v>1.8087259495825889</v>
      </c>
      <c r="C29" s="5">
        <f t="shared" si="4"/>
        <v>21329.579220670668</v>
      </c>
      <c r="D29" s="5">
        <f t="shared" si="5"/>
        <v>20819.646670030979</v>
      </c>
      <c r="E29" s="5">
        <f t="shared" si="6"/>
        <v>11319.646670030979</v>
      </c>
      <c r="F29" s="5">
        <f t="shared" si="7"/>
        <v>3997.6146377651148</v>
      </c>
      <c r="G29" s="5">
        <f t="shared" si="8"/>
        <v>16822.032032265866</v>
      </c>
      <c r="H29" s="22">
        <f t="shared" si="1"/>
        <v>9812.0026677542701</v>
      </c>
      <c r="I29" s="5">
        <f t="shared" si="9"/>
        <v>25760.766462590007</v>
      </c>
      <c r="J29" s="26">
        <f t="shared" si="2"/>
        <v>9.1970968487266797E-2</v>
      </c>
      <c r="L29" s="22">
        <f t="shared" si="3"/>
        <v>36196.753398689143</v>
      </c>
      <c r="M29" s="5">
        <f>scrimecost*Meta!O26</f>
        <v>518.47200000000009</v>
      </c>
      <c r="N29" s="22"/>
    </row>
    <row r="30" spans="1:14" x14ac:dyDescent="0.2">
      <c r="A30" s="5">
        <v>39</v>
      </c>
      <c r="B30" s="1">
        <f t="shared" si="0"/>
        <v>1.8539440983221533</v>
      </c>
      <c r="C30" s="5">
        <f t="shared" si="4"/>
        <v>21862.818701187432</v>
      </c>
      <c r="D30" s="5">
        <f t="shared" si="5"/>
        <v>21305.427836781753</v>
      </c>
      <c r="E30" s="5">
        <f t="shared" si="6"/>
        <v>11805.427836781753</v>
      </c>
      <c r="F30" s="5">
        <f t="shared" si="7"/>
        <v>4156.2221887092419</v>
      </c>
      <c r="G30" s="5">
        <f t="shared" si="8"/>
        <v>17149.205648072511</v>
      </c>
      <c r="H30" s="22">
        <f t="shared" si="1"/>
        <v>10057.302734448123</v>
      </c>
      <c r="I30" s="5">
        <f t="shared" si="9"/>
        <v>26311.408439154751</v>
      </c>
      <c r="J30" s="26">
        <f t="shared" si="2"/>
        <v>9.5182098320616818E-2</v>
      </c>
      <c r="L30" s="22">
        <f t="shared" si="3"/>
        <v>37101.672233656362</v>
      </c>
      <c r="M30" s="5">
        <f>scrimecost*Meta!O27</f>
        <v>518.47200000000009</v>
      </c>
      <c r="N30" s="22"/>
    </row>
    <row r="31" spans="1:14" x14ac:dyDescent="0.2">
      <c r="A31" s="5">
        <v>40</v>
      </c>
      <c r="B31" s="1">
        <f t="shared" si="0"/>
        <v>1.9002927007802071</v>
      </c>
      <c r="C31" s="5">
        <f t="shared" si="4"/>
        <v>22409.389168717116</v>
      </c>
      <c r="D31" s="5">
        <f t="shared" si="5"/>
        <v>21803.353532701294</v>
      </c>
      <c r="E31" s="5">
        <f t="shared" si="6"/>
        <v>12303.353532701294</v>
      </c>
      <c r="F31" s="5">
        <f t="shared" si="7"/>
        <v>4318.7949284269725</v>
      </c>
      <c r="G31" s="5">
        <f t="shared" si="8"/>
        <v>17484.558604274323</v>
      </c>
      <c r="H31" s="22">
        <f t="shared" si="1"/>
        <v>10308.735302809326</v>
      </c>
      <c r="I31" s="5">
        <f t="shared" si="9"/>
        <v>26875.816465133619</v>
      </c>
      <c r="J31" s="26">
        <f t="shared" si="2"/>
        <v>9.8314907914129029E-2</v>
      </c>
      <c r="L31" s="22">
        <f t="shared" si="3"/>
        <v>38029.214039497769</v>
      </c>
      <c r="M31" s="5">
        <f>scrimecost*Meta!O28</f>
        <v>444.94599999999997</v>
      </c>
      <c r="N31" s="22"/>
    </row>
    <row r="32" spans="1:14" x14ac:dyDescent="0.2">
      <c r="A32" s="5">
        <v>41</v>
      </c>
      <c r="B32" s="1">
        <f t="shared" si="0"/>
        <v>1.9478000182997122</v>
      </c>
      <c r="C32" s="5">
        <f t="shared" si="4"/>
        <v>22969.623897935046</v>
      </c>
      <c r="D32" s="5">
        <f t="shared" si="5"/>
        <v>22313.727371018827</v>
      </c>
      <c r="E32" s="5">
        <f t="shared" si="6"/>
        <v>12813.727371018827</v>
      </c>
      <c r="F32" s="5">
        <f t="shared" si="7"/>
        <v>4485.4319866376472</v>
      </c>
      <c r="G32" s="5">
        <f t="shared" si="8"/>
        <v>17828.295384381181</v>
      </c>
      <c r="H32" s="22">
        <f t="shared" si="1"/>
        <v>10566.45368537956</v>
      </c>
      <c r="I32" s="5">
        <f t="shared" si="9"/>
        <v>27454.33469176196</v>
      </c>
      <c r="J32" s="26">
        <f t="shared" si="2"/>
        <v>0.1013713075175556</v>
      </c>
      <c r="L32" s="22">
        <f t="shared" si="3"/>
        <v>38979.944390485209</v>
      </c>
      <c r="M32" s="5">
        <f>scrimecost*Meta!O29</f>
        <v>444.94599999999997</v>
      </c>
      <c r="N32" s="22"/>
    </row>
    <row r="33" spans="1:14" x14ac:dyDescent="0.2">
      <c r="A33" s="5">
        <v>42</v>
      </c>
      <c r="B33" s="1">
        <f t="shared" si="0"/>
        <v>1.9964950187572048</v>
      </c>
      <c r="C33" s="5">
        <f t="shared" si="4"/>
        <v>23543.864495383419</v>
      </c>
      <c r="D33" s="5">
        <f t="shared" si="5"/>
        <v>22836.860555294297</v>
      </c>
      <c r="E33" s="5">
        <f t="shared" si="6"/>
        <v>13336.860555294297</v>
      </c>
      <c r="F33" s="5">
        <f t="shared" si="7"/>
        <v>4656.2349713035883</v>
      </c>
      <c r="G33" s="5">
        <f t="shared" si="8"/>
        <v>18180.62558399071</v>
      </c>
      <c r="H33" s="22">
        <f t="shared" si="1"/>
        <v>10830.615027514048</v>
      </c>
      <c r="I33" s="5">
        <f t="shared" si="9"/>
        <v>28047.31587405601</v>
      </c>
      <c r="J33" s="26">
        <f t="shared" si="2"/>
        <v>0.10435316078919127</v>
      </c>
      <c r="L33" s="22">
        <f t="shared" si="3"/>
        <v>39954.443000247345</v>
      </c>
      <c r="M33" s="5">
        <f>scrimecost*Meta!O30</f>
        <v>444.94599999999997</v>
      </c>
      <c r="N33" s="22"/>
    </row>
    <row r="34" spans="1:14" x14ac:dyDescent="0.2">
      <c r="A34" s="5">
        <v>43</v>
      </c>
      <c r="B34" s="1">
        <f t="shared" si="0"/>
        <v>2.0464073942261352</v>
      </c>
      <c r="C34" s="5">
        <f t="shared" si="4"/>
        <v>24132.461107768006</v>
      </c>
      <c r="D34" s="5">
        <f t="shared" si="5"/>
        <v>23373.072069176655</v>
      </c>
      <c r="E34" s="5">
        <f t="shared" si="6"/>
        <v>13873.072069176655</v>
      </c>
      <c r="F34" s="5">
        <f t="shared" si="7"/>
        <v>4831.3080305861777</v>
      </c>
      <c r="G34" s="5">
        <f t="shared" si="8"/>
        <v>18541.764038590478</v>
      </c>
      <c r="H34" s="22">
        <f t="shared" si="1"/>
        <v>11101.3804032019</v>
      </c>
      <c r="I34" s="5">
        <f t="shared" si="9"/>
        <v>28655.121585907407</v>
      </c>
      <c r="J34" s="26">
        <f t="shared" si="2"/>
        <v>0.10726228593225044</v>
      </c>
      <c r="L34" s="22">
        <f t="shared" si="3"/>
        <v>40953.304075253531</v>
      </c>
      <c r="M34" s="5">
        <f>scrimecost*Meta!O31</f>
        <v>444.94599999999997</v>
      </c>
      <c r="N34" s="22"/>
    </row>
    <row r="35" spans="1:14" x14ac:dyDescent="0.2">
      <c r="A35" s="5">
        <v>44</v>
      </c>
      <c r="B35" s="1">
        <f t="shared" si="0"/>
        <v>2.097567579081788</v>
      </c>
      <c r="C35" s="5">
        <f t="shared" si="4"/>
        <v>24735.772635462203</v>
      </c>
      <c r="D35" s="5">
        <f t="shared" si="5"/>
        <v>23922.688870906069</v>
      </c>
      <c r="E35" s="5">
        <f t="shared" si="6"/>
        <v>14422.688870906069</v>
      </c>
      <c r="F35" s="5">
        <f t="shared" si="7"/>
        <v>5010.7579163508317</v>
      </c>
      <c r="G35" s="5">
        <f t="shared" si="8"/>
        <v>18911.930954555239</v>
      </c>
      <c r="H35" s="22">
        <f t="shared" si="1"/>
        <v>11378.914913281944</v>
      </c>
      <c r="I35" s="5">
        <f t="shared" si="9"/>
        <v>29278.122440555089</v>
      </c>
      <c r="J35" s="26">
        <f t="shared" si="2"/>
        <v>0.11010045680352773</v>
      </c>
      <c r="L35" s="22">
        <f t="shared" si="3"/>
        <v>41977.136677134862</v>
      </c>
      <c r="M35" s="5">
        <f>scrimecost*Meta!O32</f>
        <v>444.94599999999997</v>
      </c>
      <c r="N35" s="22"/>
    </row>
    <row r="36" spans="1:14" x14ac:dyDescent="0.2">
      <c r="A36" s="5">
        <v>45</v>
      </c>
      <c r="B36" s="1">
        <f t="shared" si="0"/>
        <v>2.1500067685588333</v>
      </c>
      <c r="C36" s="5">
        <f t="shared" si="4"/>
        <v>25354.166951348765</v>
      </c>
      <c r="D36" s="5">
        <f t="shared" si="5"/>
        <v>24486.046092678727</v>
      </c>
      <c r="E36" s="5">
        <f t="shared" si="6"/>
        <v>14986.046092678727</v>
      </c>
      <c r="F36" s="5">
        <f t="shared" si="7"/>
        <v>5194.6940492596041</v>
      </c>
      <c r="G36" s="5">
        <f t="shared" si="8"/>
        <v>19291.352043419123</v>
      </c>
      <c r="H36" s="22">
        <f t="shared" si="1"/>
        <v>11663.387786113995</v>
      </c>
      <c r="I36" s="5">
        <f t="shared" si="9"/>
        <v>29916.698316568974</v>
      </c>
      <c r="J36" s="26">
        <f t="shared" si="2"/>
        <v>0.11286940399501773</v>
      </c>
      <c r="L36" s="22">
        <f t="shared" si="3"/>
        <v>43026.56509406324</v>
      </c>
      <c r="M36" s="5">
        <f>scrimecost*Meta!O33</f>
        <v>342.61599999999999</v>
      </c>
      <c r="N36" s="22"/>
    </row>
    <row r="37" spans="1:14" x14ac:dyDescent="0.2">
      <c r="A37" s="5">
        <v>46</v>
      </c>
      <c r="B37" s="1">
        <f t="shared" ref="B37:B56" si="10">(1+experiencepremium)^(A37-startage)</f>
        <v>2.2037569377728037</v>
      </c>
      <c r="C37" s="5">
        <f t="shared" ref="C37:C56" si="11">pretaxincome*B37/expnorm</f>
        <v>25988.021125132476</v>
      </c>
      <c r="D37" s="5">
        <f t="shared" ref="D37:D56" si="12">IF(A37&lt;startage,1,0)*(C37*(1-initialunempprob))+IF(A37=startage,1,0)*(C37*(1-unempprob))+IF(A37&gt;startage,1,0)*(C37*(1-unempprob)+unempprob*300*52)</f>
        <v>25063.487244995689</v>
      </c>
      <c r="E37" s="5">
        <f t="shared" si="6"/>
        <v>15563.487244995689</v>
      </c>
      <c r="F37" s="5">
        <f t="shared" si="7"/>
        <v>5383.2285854910924</v>
      </c>
      <c r="G37" s="5">
        <f t="shared" si="8"/>
        <v>19680.258659504598</v>
      </c>
      <c r="H37" s="22">
        <f t="shared" ref="H37:H56" si="13">benefits*B37/expnorm</f>
        <v>11954.972480766843</v>
      </c>
      <c r="I37" s="5">
        <f t="shared" ref="I37:I56" si="14">G37+IF(A37&lt;startage,1,0)*(H37*(1-initialunempprob))+IF(A37&gt;=startage,1,0)*(H37*(1-unempprob))</f>
        <v>30571.23858948319</v>
      </c>
      <c r="J37" s="26">
        <f t="shared" ref="J37:J56" si="15">(F37-(IF(A37&gt;startage,1,0)*(unempprob*300*52)))/(IF(A37&lt;startage,1,0)*((C37+H37)*(1-initialunempprob))+IF(A37&gt;=startage,1,0)*((C37+H37)*(1-unempprob)))</f>
        <v>0.1155708158891543</v>
      </c>
      <c r="L37" s="22">
        <f t="shared" ref="L37:L56" si="16">(sincome+sbenefits)*(1-sunemp)*B37/expnorm</f>
        <v>44102.229221414818</v>
      </c>
      <c r="M37" s="5">
        <f>scrimecost*Meta!O34</f>
        <v>342.61599999999999</v>
      </c>
      <c r="N37" s="22"/>
    </row>
    <row r="38" spans="1:14" x14ac:dyDescent="0.2">
      <c r="A38" s="5">
        <v>47</v>
      </c>
      <c r="B38" s="1">
        <f t="shared" si="10"/>
        <v>2.2588508612171236</v>
      </c>
      <c r="C38" s="5">
        <f t="shared" si="11"/>
        <v>26637.721653260785</v>
      </c>
      <c r="D38" s="5">
        <f t="shared" si="12"/>
        <v>25655.364426120577</v>
      </c>
      <c r="E38" s="5">
        <f t="shared" si="6"/>
        <v>16155.364426120577</v>
      </c>
      <c r="F38" s="5">
        <f t="shared" si="7"/>
        <v>5576.4764851283689</v>
      </c>
      <c r="G38" s="5">
        <f t="shared" si="8"/>
        <v>20078.887940992208</v>
      </c>
      <c r="H38" s="22">
        <f t="shared" si="13"/>
        <v>12253.846792786015</v>
      </c>
      <c r="I38" s="5">
        <f t="shared" si="14"/>
        <v>31242.142369220266</v>
      </c>
      <c r="J38" s="26">
        <f t="shared" si="15"/>
        <v>0.11820633968831193</v>
      </c>
      <c r="L38" s="22">
        <f t="shared" si="16"/>
        <v>45204.784951950183</v>
      </c>
      <c r="M38" s="5">
        <f>scrimecost*Meta!O35</f>
        <v>342.61599999999999</v>
      </c>
      <c r="N38" s="22"/>
    </row>
    <row r="39" spans="1:14" x14ac:dyDescent="0.2">
      <c r="A39" s="5">
        <v>48</v>
      </c>
      <c r="B39" s="1">
        <f t="shared" si="10"/>
        <v>2.3153221327475517</v>
      </c>
      <c r="C39" s="5">
        <f t="shared" si="11"/>
        <v>27303.664694592306</v>
      </c>
      <c r="D39" s="5">
        <f t="shared" si="12"/>
        <v>26262.038536773594</v>
      </c>
      <c r="E39" s="5">
        <f t="shared" si="6"/>
        <v>16762.038536773594</v>
      </c>
      <c r="F39" s="5">
        <f t="shared" si="7"/>
        <v>5774.5555822565784</v>
      </c>
      <c r="G39" s="5">
        <f t="shared" si="8"/>
        <v>20487.482954517014</v>
      </c>
      <c r="H39" s="22">
        <f t="shared" si="13"/>
        <v>12560.192962605664</v>
      </c>
      <c r="I39" s="5">
        <f t="shared" si="14"/>
        <v>31929.818743450774</v>
      </c>
      <c r="J39" s="26">
        <f t="shared" si="15"/>
        <v>0.12077758241919745</v>
      </c>
      <c r="L39" s="22">
        <f t="shared" si="16"/>
        <v>46334.904575748937</v>
      </c>
      <c r="M39" s="5">
        <f>scrimecost*Meta!O36</f>
        <v>342.61599999999999</v>
      </c>
      <c r="N39" s="22"/>
    </row>
    <row r="40" spans="1:14" x14ac:dyDescent="0.2">
      <c r="A40" s="5">
        <v>49</v>
      </c>
      <c r="B40" s="1">
        <f t="shared" si="10"/>
        <v>2.3732051860662402</v>
      </c>
      <c r="C40" s="5">
        <f t="shared" si="11"/>
        <v>27986.25631195711</v>
      </c>
      <c r="D40" s="5">
        <f t="shared" si="12"/>
        <v>26883.879500192928</v>
      </c>
      <c r="E40" s="5">
        <f t="shared" si="6"/>
        <v>17383.879500192928</v>
      </c>
      <c r="F40" s="5">
        <f t="shared" si="7"/>
        <v>5977.5866568129914</v>
      </c>
      <c r="G40" s="5">
        <f t="shared" si="8"/>
        <v>20906.292843379939</v>
      </c>
      <c r="H40" s="22">
        <f t="shared" si="13"/>
        <v>12874.197786670804</v>
      </c>
      <c r="I40" s="5">
        <f t="shared" si="14"/>
        <v>32634.687027037042</v>
      </c>
      <c r="J40" s="26">
        <f t="shared" si="15"/>
        <v>0.12328611191274427</v>
      </c>
      <c r="L40" s="22">
        <f t="shared" si="16"/>
        <v>47493.277190142646</v>
      </c>
      <c r="M40" s="5">
        <f>scrimecost*Meta!O37</f>
        <v>342.61599999999999</v>
      </c>
      <c r="N40" s="22"/>
    </row>
    <row r="41" spans="1:14" x14ac:dyDescent="0.2">
      <c r="A41" s="5">
        <v>50</v>
      </c>
      <c r="B41" s="1">
        <f t="shared" si="10"/>
        <v>2.4325353157178964</v>
      </c>
      <c r="C41" s="5">
        <f t="shared" si="11"/>
        <v>28685.912719756041</v>
      </c>
      <c r="D41" s="5">
        <f t="shared" si="12"/>
        <v>27521.266487697754</v>
      </c>
      <c r="E41" s="5">
        <f t="shared" si="6"/>
        <v>18021.266487697754</v>
      </c>
      <c r="F41" s="5">
        <f t="shared" si="7"/>
        <v>6185.6935082333166</v>
      </c>
      <c r="G41" s="5">
        <f t="shared" si="8"/>
        <v>21335.572979464436</v>
      </c>
      <c r="H41" s="22">
        <f t="shared" si="13"/>
        <v>13196.052731337575</v>
      </c>
      <c r="I41" s="5">
        <f t="shared" si="14"/>
        <v>33357.177017712966</v>
      </c>
      <c r="J41" s="26">
        <f t="shared" si="15"/>
        <v>0.12573345776010705</v>
      </c>
      <c r="L41" s="22">
        <f t="shared" si="16"/>
        <v>48680.609119896224</v>
      </c>
      <c r="M41" s="5">
        <f>scrimecost*Meta!O38</f>
        <v>208.07100000000003</v>
      </c>
      <c r="N41" s="22"/>
    </row>
    <row r="42" spans="1:14" x14ac:dyDescent="0.2">
      <c r="A42" s="5">
        <v>51</v>
      </c>
      <c r="B42" s="1">
        <f t="shared" si="10"/>
        <v>2.4933486986108435</v>
      </c>
      <c r="C42" s="5">
        <f t="shared" si="11"/>
        <v>29403.060537749938</v>
      </c>
      <c r="D42" s="5">
        <f t="shared" si="12"/>
        <v>28174.588149890194</v>
      </c>
      <c r="E42" s="5">
        <f t="shared" si="6"/>
        <v>18674.588149890194</v>
      </c>
      <c r="F42" s="5">
        <f t="shared" si="7"/>
        <v>6399.0030309391486</v>
      </c>
      <c r="G42" s="5">
        <f t="shared" si="8"/>
        <v>21775.585118951047</v>
      </c>
      <c r="H42" s="22">
        <f t="shared" si="13"/>
        <v>13525.954049621012</v>
      </c>
      <c r="I42" s="5">
        <f t="shared" si="14"/>
        <v>34097.729258155785</v>
      </c>
      <c r="J42" s="26">
        <f t="shared" si="15"/>
        <v>0.12812111224533904</v>
      </c>
      <c r="L42" s="22">
        <f t="shared" si="16"/>
        <v>49897.624347893623</v>
      </c>
      <c r="M42" s="5">
        <f>scrimecost*Meta!O39</f>
        <v>208.07100000000003</v>
      </c>
      <c r="N42" s="22"/>
    </row>
    <row r="43" spans="1:14" x14ac:dyDescent="0.2">
      <c r="A43" s="5">
        <v>52</v>
      </c>
      <c r="B43" s="1">
        <f t="shared" si="10"/>
        <v>2.555682416076114</v>
      </c>
      <c r="C43" s="5">
        <f t="shared" si="11"/>
        <v>30138.13705119368</v>
      </c>
      <c r="D43" s="5">
        <f t="shared" si="12"/>
        <v>28844.242853637446</v>
      </c>
      <c r="E43" s="5">
        <f t="shared" si="6"/>
        <v>19344.242853637446</v>
      </c>
      <c r="F43" s="5">
        <f t="shared" si="7"/>
        <v>6617.6452917126262</v>
      </c>
      <c r="G43" s="5">
        <f t="shared" si="8"/>
        <v>22226.59756192482</v>
      </c>
      <c r="H43" s="22">
        <f t="shared" si="13"/>
        <v>13864.102900861535</v>
      </c>
      <c r="I43" s="5">
        <f t="shared" si="14"/>
        <v>34856.795304609681</v>
      </c>
      <c r="J43" s="26">
        <f t="shared" si="15"/>
        <v>0.13045053125532144</v>
      </c>
      <c r="L43" s="22">
        <f t="shared" si="16"/>
        <v>51145.064956590948</v>
      </c>
      <c r="M43" s="5">
        <f>scrimecost*Meta!O40</f>
        <v>208.07100000000003</v>
      </c>
      <c r="N43" s="22"/>
    </row>
    <row r="44" spans="1:14" x14ac:dyDescent="0.2">
      <c r="A44" s="5">
        <v>53</v>
      </c>
      <c r="B44" s="1">
        <f t="shared" si="10"/>
        <v>2.6195744764780171</v>
      </c>
      <c r="C44" s="5">
        <f t="shared" si="11"/>
        <v>30891.590477473525</v>
      </c>
      <c r="D44" s="5">
        <f t="shared" si="12"/>
        <v>29530.638924978382</v>
      </c>
      <c r="E44" s="5">
        <f t="shared" si="6"/>
        <v>20030.638924978382</v>
      </c>
      <c r="F44" s="5">
        <f t="shared" si="7"/>
        <v>6841.7536090054418</v>
      </c>
      <c r="G44" s="5">
        <f t="shared" si="8"/>
        <v>22688.885315972941</v>
      </c>
      <c r="H44" s="22">
        <f t="shared" si="13"/>
        <v>14210.705473383076</v>
      </c>
      <c r="I44" s="5">
        <f t="shared" si="14"/>
        <v>35634.838002224918</v>
      </c>
      <c r="J44" s="26">
        <f t="shared" si="15"/>
        <v>0.1327231351674994</v>
      </c>
      <c r="L44" s="22">
        <f t="shared" si="16"/>
        <v>52423.691580505729</v>
      </c>
      <c r="M44" s="5">
        <f>scrimecost*Meta!O41</f>
        <v>208.07100000000003</v>
      </c>
      <c r="N44" s="22"/>
    </row>
    <row r="45" spans="1:14" x14ac:dyDescent="0.2">
      <c r="A45" s="5">
        <v>54</v>
      </c>
      <c r="B45" s="1">
        <f t="shared" si="10"/>
        <v>2.6850638383899672</v>
      </c>
      <c r="C45" s="5">
        <f t="shared" si="11"/>
        <v>31663.880239410359</v>
      </c>
      <c r="D45" s="5">
        <f t="shared" si="12"/>
        <v>30234.19489810284</v>
      </c>
      <c r="E45" s="5">
        <f t="shared" si="6"/>
        <v>20734.19489810284</v>
      </c>
      <c r="F45" s="5">
        <f t="shared" si="7"/>
        <v>7071.4646342305768</v>
      </c>
      <c r="G45" s="5">
        <f t="shared" si="8"/>
        <v>23162.730263872261</v>
      </c>
      <c r="H45" s="22">
        <f t="shared" si="13"/>
        <v>14565.97311021765</v>
      </c>
      <c r="I45" s="5">
        <f t="shared" si="14"/>
        <v>36432.331767280542</v>
      </c>
      <c r="J45" s="26">
        <f t="shared" si="15"/>
        <v>0.13494030971596571</v>
      </c>
      <c r="L45" s="22">
        <f t="shared" si="16"/>
        <v>53734.283870018364</v>
      </c>
      <c r="M45" s="5">
        <f>scrimecost*Meta!O42</f>
        <v>208.07100000000003</v>
      </c>
      <c r="N45" s="22"/>
    </row>
    <row r="46" spans="1:14" x14ac:dyDescent="0.2">
      <c r="A46" s="5">
        <v>55</v>
      </c>
      <c r="B46" s="1">
        <f t="shared" si="10"/>
        <v>2.7521904343497163</v>
      </c>
      <c r="C46" s="5">
        <f t="shared" si="11"/>
        <v>32455.477245395618</v>
      </c>
      <c r="D46" s="5">
        <f t="shared" si="12"/>
        <v>30955.339770555409</v>
      </c>
      <c r="E46" s="5">
        <f t="shared" si="6"/>
        <v>21455.339770555409</v>
      </c>
      <c r="F46" s="5">
        <f t="shared" si="7"/>
        <v>7306.9184350863416</v>
      </c>
      <c r="G46" s="5">
        <f t="shared" si="8"/>
        <v>23648.421335469066</v>
      </c>
      <c r="H46" s="22">
        <f t="shared" si="13"/>
        <v>14930.122437973092</v>
      </c>
      <c r="I46" s="5">
        <f t="shared" si="14"/>
        <v>37249.762876462555</v>
      </c>
      <c r="J46" s="26">
        <f t="shared" si="15"/>
        <v>0.13710340683642064</v>
      </c>
      <c r="L46" s="22">
        <f t="shared" si="16"/>
        <v>55077.640966768828</v>
      </c>
      <c r="M46" s="5">
        <f>scrimecost*Meta!O43</f>
        <v>103.846</v>
      </c>
      <c r="N46" s="22"/>
    </row>
    <row r="47" spans="1:14" x14ac:dyDescent="0.2">
      <c r="A47" s="5">
        <v>56</v>
      </c>
      <c r="B47" s="1">
        <f t="shared" si="10"/>
        <v>2.8209951952084591</v>
      </c>
      <c r="C47" s="5">
        <f t="shared" si="11"/>
        <v>33266.864176530507</v>
      </c>
      <c r="D47" s="5">
        <f t="shared" si="12"/>
        <v>31694.513264819296</v>
      </c>
      <c r="E47" s="5">
        <f t="shared" si="6"/>
        <v>22194.513264819296</v>
      </c>
      <c r="F47" s="5">
        <f t="shared" si="7"/>
        <v>7548.2585809635002</v>
      </c>
      <c r="G47" s="5">
        <f t="shared" si="8"/>
        <v>24146.254683855797</v>
      </c>
      <c r="H47" s="22">
        <f t="shared" si="13"/>
        <v>15303.375498922418</v>
      </c>
      <c r="I47" s="5">
        <f t="shared" si="14"/>
        <v>38087.62976337412</v>
      </c>
      <c r="J47" s="26">
        <f t="shared" si="15"/>
        <v>0.13921374549052301</v>
      </c>
      <c r="L47" s="22">
        <f t="shared" si="16"/>
        <v>56454.581990938037</v>
      </c>
      <c r="M47" s="5">
        <f>scrimecost*Meta!O44</f>
        <v>103.846</v>
      </c>
      <c r="N47" s="22"/>
    </row>
    <row r="48" spans="1:14" x14ac:dyDescent="0.2">
      <c r="A48" s="5">
        <v>57</v>
      </c>
      <c r="B48" s="1">
        <f t="shared" si="10"/>
        <v>2.8915200750886707</v>
      </c>
      <c r="C48" s="5">
        <f t="shared" si="11"/>
        <v>34098.53578094377</v>
      </c>
      <c r="D48" s="5">
        <f t="shared" si="12"/>
        <v>32452.166096439778</v>
      </c>
      <c r="E48" s="5">
        <f t="shared" si="6"/>
        <v>22952.166096439778</v>
      </c>
      <c r="F48" s="5">
        <f t="shared" si="7"/>
        <v>7795.6322304875875</v>
      </c>
      <c r="G48" s="5">
        <f t="shared" si="8"/>
        <v>24656.533865952191</v>
      </c>
      <c r="H48" s="22">
        <f t="shared" si="13"/>
        <v>15685.95988639548</v>
      </c>
      <c r="I48" s="5">
        <f t="shared" si="14"/>
        <v>38946.443322458472</v>
      </c>
      <c r="J48" s="26">
        <f t="shared" si="15"/>
        <v>0.14127261247013509</v>
      </c>
      <c r="L48" s="22">
        <f t="shared" si="16"/>
        <v>57865.946540711491</v>
      </c>
      <c r="M48" s="5">
        <f>scrimecost*Meta!O45</f>
        <v>103.846</v>
      </c>
      <c r="N48" s="22"/>
    </row>
    <row r="49" spans="1:14" x14ac:dyDescent="0.2">
      <c r="A49" s="5">
        <v>58</v>
      </c>
      <c r="B49" s="1">
        <f t="shared" si="10"/>
        <v>2.9638080769658868</v>
      </c>
      <c r="C49" s="5">
        <f t="shared" si="11"/>
        <v>34950.999175467354</v>
      </c>
      <c r="D49" s="5">
        <f t="shared" si="12"/>
        <v>33228.760248850762</v>
      </c>
      <c r="E49" s="5">
        <f t="shared" si="6"/>
        <v>23728.760248850762</v>
      </c>
      <c r="F49" s="5">
        <f t="shared" si="7"/>
        <v>8049.1902212497735</v>
      </c>
      <c r="G49" s="5">
        <f t="shared" si="8"/>
        <v>25179.570027600988</v>
      </c>
      <c r="H49" s="22">
        <f t="shared" si="13"/>
        <v>16078.108883555362</v>
      </c>
      <c r="I49" s="5">
        <f t="shared" si="14"/>
        <v>39826.727220519926</v>
      </c>
      <c r="J49" s="26">
        <f t="shared" si="15"/>
        <v>0.14328126318195172</v>
      </c>
      <c r="L49" s="22">
        <f t="shared" si="16"/>
        <v>59312.595204229263</v>
      </c>
      <c r="M49" s="5">
        <f>scrimecost*Meta!O46</f>
        <v>103.846</v>
      </c>
      <c r="N49" s="22"/>
    </row>
    <row r="50" spans="1:14" x14ac:dyDescent="0.2">
      <c r="A50" s="5">
        <v>59</v>
      </c>
      <c r="B50" s="1">
        <f t="shared" si="10"/>
        <v>3.0379032788900342</v>
      </c>
      <c r="C50" s="5">
        <f t="shared" si="11"/>
        <v>35824.774154854043</v>
      </c>
      <c r="D50" s="5">
        <f t="shared" si="12"/>
        <v>34024.769255072031</v>
      </c>
      <c r="E50" s="5">
        <f t="shared" si="6"/>
        <v>24524.769255072031</v>
      </c>
      <c r="F50" s="5">
        <f t="shared" si="7"/>
        <v>8309.0871617810189</v>
      </c>
      <c r="G50" s="5">
        <f t="shared" si="8"/>
        <v>25715.682093291012</v>
      </c>
      <c r="H50" s="22">
        <f t="shared" si="13"/>
        <v>16480.061605644249</v>
      </c>
      <c r="I50" s="5">
        <f t="shared" si="14"/>
        <v>40729.018216032928</v>
      </c>
      <c r="J50" s="26">
        <f t="shared" si="15"/>
        <v>0.14524092241299236</v>
      </c>
      <c r="L50" s="22">
        <f t="shared" si="16"/>
        <v>60795.410084335002</v>
      </c>
      <c r="M50" s="5">
        <f>scrimecost*Meta!O47</f>
        <v>103.846</v>
      </c>
      <c r="N50" s="22"/>
    </row>
    <row r="51" spans="1:14" x14ac:dyDescent="0.2">
      <c r="A51" s="5">
        <v>60</v>
      </c>
      <c r="B51" s="1">
        <f t="shared" si="10"/>
        <v>3.1138508608622844</v>
      </c>
      <c r="C51" s="5">
        <f t="shared" si="11"/>
        <v>36720.393508725385</v>
      </c>
      <c r="D51" s="5">
        <f t="shared" si="12"/>
        <v>34840.678486448829</v>
      </c>
      <c r="E51" s="5">
        <f t="shared" si="6"/>
        <v>25340.678486448829</v>
      </c>
      <c r="F51" s="5">
        <f t="shared" si="7"/>
        <v>8575.4815258255421</v>
      </c>
      <c r="G51" s="5">
        <f t="shared" si="8"/>
        <v>26265.196960623289</v>
      </c>
      <c r="H51" s="22">
        <f t="shared" si="13"/>
        <v>16892.063145785349</v>
      </c>
      <c r="I51" s="5">
        <f t="shared" si="14"/>
        <v>41653.866486433741</v>
      </c>
      <c r="J51" s="26">
        <f t="shared" si="15"/>
        <v>0.14715278507742222</v>
      </c>
      <c r="L51" s="22">
        <f t="shared" si="16"/>
        <v>62315.295336443363</v>
      </c>
      <c r="M51" s="5">
        <f>scrimecost*Meta!O48</f>
        <v>51.923000000000002</v>
      </c>
      <c r="N51" s="22"/>
    </row>
    <row r="52" spans="1:14" x14ac:dyDescent="0.2">
      <c r="A52" s="5">
        <v>61</v>
      </c>
      <c r="B52" s="1">
        <f t="shared" si="10"/>
        <v>3.1916971323838421</v>
      </c>
      <c r="C52" s="5">
        <f t="shared" si="11"/>
        <v>37638.403346443527</v>
      </c>
      <c r="D52" s="5">
        <f t="shared" si="12"/>
        <v>35676.985448610052</v>
      </c>
      <c r="E52" s="5">
        <f t="shared" si="6"/>
        <v>26176.985448610052</v>
      </c>
      <c r="F52" s="5">
        <f t="shared" si="7"/>
        <v>8848.5357489711823</v>
      </c>
      <c r="G52" s="5">
        <f t="shared" si="8"/>
        <v>26828.44969963887</v>
      </c>
      <c r="H52" s="22">
        <f t="shared" si="13"/>
        <v>17314.364724429986</v>
      </c>
      <c r="I52" s="5">
        <f t="shared" si="14"/>
        <v>42601.835963594589</v>
      </c>
      <c r="J52" s="26">
        <f t="shared" si="15"/>
        <v>0.14901801694515873</v>
      </c>
      <c r="L52" s="22">
        <f t="shared" si="16"/>
        <v>63873.177719854459</v>
      </c>
      <c r="M52" s="5">
        <f>scrimecost*Meta!O49</f>
        <v>51.923000000000002</v>
      </c>
      <c r="N52" s="22"/>
    </row>
    <row r="53" spans="1:14" x14ac:dyDescent="0.2">
      <c r="A53" s="5">
        <v>62</v>
      </c>
      <c r="B53" s="1">
        <f t="shared" si="10"/>
        <v>3.2714895606934378</v>
      </c>
      <c r="C53" s="5">
        <f t="shared" si="11"/>
        <v>38579.363430104611</v>
      </c>
      <c r="D53" s="5">
        <f t="shared" si="12"/>
        <v>36534.200084825301</v>
      </c>
      <c r="E53" s="5">
        <f t="shared" si="6"/>
        <v>27034.200084825301</v>
      </c>
      <c r="F53" s="5">
        <f t="shared" si="7"/>
        <v>9128.4163276954605</v>
      </c>
      <c r="G53" s="5">
        <f t="shared" si="8"/>
        <v>27405.783757129841</v>
      </c>
      <c r="H53" s="22">
        <f t="shared" si="13"/>
        <v>17747.223842540734</v>
      </c>
      <c r="I53" s="5">
        <f t="shared" si="14"/>
        <v>43573.504677684454</v>
      </c>
      <c r="J53" s="26">
        <f t="shared" si="15"/>
        <v>0.15083775535270649</v>
      </c>
      <c r="L53" s="22">
        <f t="shared" si="16"/>
        <v>65470.007162850816</v>
      </c>
      <c r="M53" s="5">
        <f>scrimecost*Meta!O50</f>
        <v>51.923000000000002</v>
      </c>
      <c r="N53" s="22"/>
    </row>
    <row r="54" spans="1:14" x14ac:dyDescent="0.2">
      <c r="A54" s="5">
        <v>63</v>
      </c>
      <c r="B54" s="1">
        <f t="shared" si="10"/>
        <v>3.3532767997107733</v>
      </c>
      <c r="C54" s="5">
        <f t="shared" si="11"/>
        <v>39543.847515857218</v>
      </c>
      <c r="D54" s="5">
        <f t="shared" si="12"/>
        <v>37412.845086945927</v>
      </c>
      <c r="E54" s="5">
        <f t="shared" si="6"/>
        <v>27912.845086945927</v>
      </c>
      <c r="F54" s="5">
        <f t="shared" si="7"/>
        <v>9415.2939208878452</v>
      </c>
      <c r="G54" s="5">
        <f t="shared" si="8"/>
        <v>27997.551166058081</v>
      </c>
      <c r="H54" s="22">
        <f t="shared" si="13"/>
        <v>18190.904438604251</v>
      </c>
      <c r="I54" s="5">
        <f t="shared" si="14"/>
        <v>44569.465109626559</v>
      </c>
      <c r="J54" s="26">
        <f t="shared" si="15"/>
        <v>0.15261310989665555</v>
      </c>
      <c r="L54" s="22">
        <f t="shared" si="16"/>
        <v>67106.757341922086</v>
      </c>
      <c r="M54" s="5">
        <f>scrimecost*Meta!O51</f>
        <v>51.923000000000002</v>
      </c>
      <c r="N54" s="22"/>
    </row>
    <row r="55" spans="1:14" x14ac:dyDescent="0.2">
      <c r="A55" s="5">
        <v>64</v>
      </c>
      <c r="B55" s="1">
        <f t="shared" si="10"/>
        <v>3.4371087197035428</v>
      </c>
      <c r="C55" s="5">
        <f t="shared" si="11"/>
        <v>40532.443703753655</v>
      </c>
      <c r="D55" s="5">
        <f t="shared" si="12"/>
        <v>38313.456214119586</v>
      </c>
      <c r="E55" s="5">
        <f t="shared" si="6"/>
        <v>28813.456214119586</v>
      </c>
      <c r="F55" s="5">
        <f t="shared" si="7"/>
        <v>9709.3434539100454</v>
      </c>
      <c r="G55" s="5">
        <f t="shared" si="8"/>
        <v>28604.11276020954</v>
      </c>
      <c r="H55" s="22">
        <f t="shared" si="13"/>
        <v>18645.67704956936</v>
      </c>
      <c r="I55" s="5">
        <f t="shared" si="14"/>
        <v>45590.324552367223</v>
      </c>
      <c r="J55" s="26">
        <f t="shared" si="15"/>
        <v>0.15434516311026444</v>
      </c>
      <c r="L55" s="22">
        <f t="shared" si="16"/>
        <v>68784.426275470134</v>
      </c>
      <c r="M55" s="5">
        <f>scrimecost*Meta!O52</f>
        <v>51.923000000000002</v>
      </c>
      <c r="N55" s="22"/>
    </row>
    <row r="56" spans="1:14" x14ac:dyDescent="0.2">
      <c r="A56" s="5">
        <v>65</v>
      </c>
      <c r="B56" s="1">
        <f t="shared" si="10"/>
        <v>3.5230364376961316</v>
      </c>
      <c r="C56" s="5">
        <f t="shared" si="11"/>
        <v>41545.754796347494</v>
      </c>
      <c r="D56" s="5">
        <f t="shared" si="12"/>
        <v>39236.582619472567</v>
      </c>
      <c r="E56" s="5">
        <f t="shared" si="6"/>
        <v>29736.582619472567</v>
      </c>
      <c r="F56" s="5">
        <f t="shared" si="7"/>
        <v>10010.744225257793</v>
      </c>
      <c r="G56" s="5">
        <f t="shared" si="8"/>
        <v>29225.838394214774</v>
      </c>
      <c r="H56" s="22">
        <f t="shared" si="13"/>
        <v>19111.818975808594</v>
      </c>
      <c r="I56" s="5">
        <f t="shared" si="14"/>
        <v>46636.705481176403</v>
      </c>
      <c r="J56" s="26">
        <f t="shared" si="15"/>
        <v>0.15603497112354131</v>
      </c>
      <c r="L56" s="22">
        <f t="shared" si="16"/>
        <v>70504.036932356888</v>
      </c>
      <c r="M56" s="5">
        <f>scrimecost*Meta!O53</f>
        <v>14.401999999999999</v>
      </c>
      <c r="N56" s="22"/>
    </row>
    <row r="57" spans="1:14" x14ac:dyDescent="0.2">
      <c r="A57" s="5">
        <v>66</v>
      </c>
      <c r="C57" s="5"/>
      <c r="H57" s="21"/>
      <c r="I57" s="5"/>
      <c r="M57" s="5">
        <f>scrimecost*Meta!O54</f>
        <v>14.401999999999999</v>
      </c>
      <c r="N57" s="5"/>
    </row>
    <row r="58" spans="1:14" x14ac:dyDescent="0.2">
      <c r="A58" s="5">
        <v>67</v>
      </c>
      <c r="C58" s="5"/>
      <c r="H58" s="21"/>
      <c r="I58" s="5"/>
      <c r="M58" s="5">
        <f>scrimecost*Meta!O55</f>
        <v>14.401999999999999</v>
      </c>
      <c r="N58" s="5"/>
    </row>
    <row r="59" spans="1:14" x14ac:dyDescent="0.2">
      <c r="A59" s="5">
        <v>68</v>
      </c>
      <c r="H59" s="21"/>
      <c r="I59" s="5"/>
      <c r="M59" s="5">
        <f>scrimecost*Meta!O56</f>
        <v>14.401999999999999</v>
      </c>
      <c r="N59" s="5"/>
    </row>
    <row r="60" spans="1:14" x14ac:dyDescent="0.2">
      <c r="A60" s="5">
        <v>69</v>
      </c>
      <c r="H60" s="21"/>
      <c r="I60" s="5"/>
      <c r="M60" s="5">
        <f>scrimecost*Meta!O57</f>
        <v>14.401999999999999</v>
      </c>
      <c r="N60" s="5"/>
    </row>
    <row r="61" spans="1:14" x14ac:dyDescent="0.2">
      <c r="A61" s="5">
        <v>70</v>
      </c>
      <c r="H61" s="21"/>
      <c r="I61" s="5"/>
      <c r="M61" s="5">
        <f>scrimecost*Meta!O58</f>
        <v>14.401999999999999</v>
      </c>
      <c r="N61" s="5"/>
    </row>
    <row r="62" spans="1:14" x14ac:dyDescent="0.2">
      <c r="A62" s="5">
        <v>71</v>
      </c>
      <c r="H62" s="21"/>
      <c r="I62" s="5"/>
      <c r="M62" s="5">
        <f>scrimecost*Meta!O59</f>
        <v>14.401999999999999</v>
      </c>
      <c r="N62" s="5"/>
    </row>
    <row r="63" spans="1:14" x14ac:dyDescent="0.2">
      <c r="A63" s="5">
        <v>72</v>
      </c>
      <c r="H63" s="21"/>
      <c r="M63" s="5">
        <f>scrimecost*Meta!O60</f>
        <v>14.401999999999999</v>
      </c>
      <c r="N63" s="5"/>
    </row>
    <row r="64" spans="1:14" x14ac:dyDescent="0.2">
      <c r="A64" s="5">
        <v>73</v>
      </c>
      <c r="H64" s="21"/>
      <c r="M64" s="5">
        <f>scrimecost*Meta!O61</f>
        <v>14.401999999999999</v>
      </c>
      <c r="N64" s="5"/>
    </row>
    <row r="65" spans="1:14" x14ac:dyDescent="0.2">
      <c r="A65" s="5">
        <v>74</v>
      </c>
      <c r="H65" s="21"/>
      <c r="M65" s="5">
        <f>scrimecost*Meta!O62</f>
        <v>14.401999999999999</v>
      </c>
      <c r="N65" s="5"/>
    </row>
    <row r="66" spans="1:14" x14ac:dyDescent="0.2">
      <c r="A66" s="5">
        <v>75</v>
      </c>
      <c r="H66" s="21"/>
      <c r="M66" s="5">
        <f>scrimecost*Meta!O63</f>
        <v>14.401999999999999</v>
      </c>
      <c r="N66" s="5"/>
    </row>
    <row r="67" spans="1:14" x14ac:dyDescent="0.2">
      <c r="A67" s="5">
        <v>76</v>
      </c>
      <c r="H67" s="21"/>
      <c r="M67" s="5">
        <f>scrimecost*Meta!O64</f>
        <v>14.401999999999999</v>
      </c>
      <c r="N67" s="5"/>
    </row>
    <row r="68" spans="1:14" x14ac:dyDescent="0.2">
      <c r="A68" s="5">
        <v>77</v>
      </c>
      <c r="H68" s="21"/>
      <c r="M68" s="5">
        <f>scrimecost*Meta!O65</f>
        <v>14.401999999999999</v>
      </c>
      <c r="N68" s="5"/>
    </row>
    <row r="69" spans="1:14" x14ac:dyDescent="0.2">
      <c r="A69" s="5">
        <v>78</v>
      </c>
      <c r="H69" s="21"/>
      <c r="M69" s="5">
        <f>scrimecost*Meta!O66</f>
        <v>14.401999999999999</v>
      </c>
      <c r="N69" s="5"/>
    </row>
    <row r="70" spans="1:14" x14ac:dyDescent="0.2">
      <c r="A70" s="5">
        <v>79</v>
      </c>
      <c r="H70" s="21"/>
      <c r="M70" s="5"/>
    </row>
    <row r="71" spans="1:14" x14ac:dyDescent="0.2">
      <c r="A71" s="5">
        <v>80</v>
      </c>
      <c r="H71" s="21"/>
      <c r="M71" s="5"/>
    </row>
    <row r="72" spans="1:14" x14ac:dyDescent="0.2">
      <c r="A72" s="5">
        <v>81</v>
      </c>
      <c r="H72" s="21"/>
      <c r="M72" s="5"/>
    </row>
    <row r="73" spans="1:14" x14ac:dyDescent="0.2">
      <c r="A73" s="5">
        <v>82</v>
      </c>
      <c r="H73" s="21"/>
      <c r="M73" s="5"/>
    </row>
    <row r="74" spans="1:14" x14ac:dyDescent="0.2">
      <c r="A74" s="5">
        <v>83</v>
      </c>
      <c r="H74" s="21"/>
      <c r="M74" s="5"/>
    </row>
    <row r="75" spans="1:14" x14ac:dyDescent="0.2">
      <c r="A75" s="5">
        <v>84</v>
      </c>
      <c r="H75" s="21"/>
      <c r="M75" s="5"/>
    </row>
    <row r="76" spans="1:14" x14ac:dyDescent="0.2">
      <c r="A76" s="5">
        <v>85</v>
      </c>
      <c r="H76" s="21"/>
    </row>
    <row r="77" spans="1:14" x14ac:dyDescent="0.2">
      <c r="A77" s="5">
        <v>86</v>
      </c>
      <c r="H77" s="21"/>
    </row>
    <row r="78" spans="1:14" x14ac:dyDescent="0.2">
      <c r="A78" s="5">
        <v>87</v>
      </c>
      <c r="H78" s="21"/>
    </row>
    <row r="79" spans="1:14" x14ac:dyDescent="0.2">
      <c r="A79" s="5">
        <v>88</v>
      </c>
      <c r="H79" s="21"/>
    </row>
    <row r="80" spans="1:14" x14ac:dyDescent="0.2">
      <c r="A80" s="5">
        <v>89</v>
      </c>
      <c r="H80" s="21"/>
    </row>
    <row r="81" spans="1:8" x14ac:dyDescent="0.2">
      <c r="A81" s="5">
        <v>90</v>
      </c>
      <c r="H81" s="21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A5" sqref="A5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Meta!A3+6</f>
        <v>15</v>
      </c>
      <c r="C2" s="7">
        <f>Meta!B3</f>
        <v>24892</v>
      </c>
      <c r="D2" s="7">
        <f>Meta!C3</f>
        <v>11450</v>
      </c>
      <c r="E2" s="1">
        <f>Meta!D3</f>
        <v>8.4000000000000005E-2</v>
      </c>
      <c r="F2" s="1">
        <f>Meta!F3</f>
        <v>0.46899999999999997</v>
      </c>
      <c r="G2" s="1">
        <f>Meta!I3</f>
        <v>1.978852107996969</v>
      </c>
      <c r="H2" s="1">
        <f>Meta!E3</f>
        <v>0.95</v>
      </c>
      <c r="I2" s="13"/>
      <c r="J2" s="1">
        <f>Meta!X2</f>
        <v>0.54</v>
      </c>
      <c r="K2" s="1">
        <f>Meta!D2</f>
        <v>8.8999999999999996E-2</v>
      </c>
      <c r="L2" s="29"/>
      <c r="N2" s="22">
        <f>Meta!T3</f>
        <v>30122</v>
      </c>
      <c r="O2" s="22">
        <f>Meta!U3</f>
        <v>13856</v>
      </c>
      <c r="P2" s="1">
        <f>Meta!V3</f>
        <v>6.4000000000000001E-2</v>
      </c>
      <c r="Q2" s="1">
        <f>Meta!X3</f>
        <v>0.55000000000000004</v>
      </c>
      <c r="R2" s="22">
        <f>Meta!W3</f>
        <v>371</v>
      </c>
      <c r="T2" s="12">
        <f>IRR(S5:S69)+1</f>
        <v>0.98973232123444177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B5" s="1">
        <v>1</v>
      </c>
      <c r="C5" s="5">
        <f>0.1*Grade8!C5</f>
        <v>1179.2598666256229</v>
      </c>
      <c r="D5" s="5">
        <f>IF(A5&lt;startage,1,0)*(C5*(1-initialunempprob))+IF(A5=startage,1,0)*(C5*(1-unempprob))+IF(A5&gt;startage,1,0)*(C5*(1-unempprob)+unempprob*300*52)</f>
        <v>1074.3057384959425</v>
      </c>
      <c r="E5" s="5">
        <f>IF(D5-9500&gt;0,1,0)*(D5-9500)</f>
        <v>0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82.184388994939596</v>
      </c>
      <c r="G5" s="5">
        <f>D5-F5</f>
        <v>992.1213495010029</v>
      </c>
      <c r="H5" s="22">
        <f>0.1*Grade8!H5</f>
        <v>542.48144502038281</v>
      </c>
      <c r="I5" s="5">
        <f>G5+IF(A5&lt;startage,1,0)*(H5*(1-initialunempprob))+IF(A5&gt;=startage,1,0)*(H5*(1-unempprob))</f>
        <v>1486.3219459145716</v>
      </c>
      <c r="J5" s="26">
        <f t="shared" ref="J5:J36" si="0">(F5-(IF(A5&gt;startage,1,0)*(unempprob*300*52)))/(IF(A5&lt;startage,1,0)*((C5+H5)*(1-initialunempprob))+IF(A5&gt;=startage,1,0)*((C5+H5)*(1-unempprob)))</f>
        <v>5.2396593603608814E-2</v>
      </c>
      <c r="L5" s="22">
        <f>0.1*Grade8!L5</f>
        <v>2001.2292855665889</v>
      </c>
      <c r="M5" s="5"/>
      <c r="N5" s="5">
        <f>L5-Grade8!L5</f>
        <v>-18011.063570099301</v>
      </c>
      <c r="O5" s="5"/>
      <c r="P5" s="22"/>
      <c r="Q5" s="22">
        <f>0.05*feel*Grade8!G5</f>
        <v>135.41642825225404</v>
      </c>
      <c r="R5" s="22">
        <f>hstuition</f>
        <v>11298</v>
      </c>
      <c r="S5" s="22">
        <f t="shared" ref="S5:S36" si="1">IF(A5&lt;startage,1,0)*(N5-Q5-R5)+IF(A5&gt;=startage,1,0)*completionprob*(N5*spart+O5+P5)</f>
        <v>-29444.479998351555</v>
      </c>
      <c r="T5" s="22">
        <f t="shared" ref="T5:T36" si="2">S5/sreturn^(A5-startage+1)</f>
        <v>-29444.479998351555</v>
      </c>
    </row>
    <row r="6" spans="1:20" x14ac:dyDescent="0.2">
      <c r="A6" s="5">
        <v>15</v>
      </c>
      <c r="B6" s="1">
        <f t="shared" ref="B6:B36" si="3">(1+experiencepremium)^(A6-startage)</f>
        <v>1</v>
      </c>
      <c r="C6" s="5">
        <f t="shared" ref="C6:C36" si="4">pretaxincome*B6/expnorm</f>
        <v>12579.009770061162</v>
      </c>
      <c r="D6" s="5">
        <f t="shared" ref="D6:D36" si="5">IF(A6&lt;startage,1,0)*(C6*(1-initialunempprob))+IF(A6=startage,1,0)*(C6*(1-unempprob))+IF(A6&gt;startage,1,0)*(C6*(1-unempprob)+unempprob*300*52)</f>
        <v>11522.372949376026</v>
      </c>
      <c r="E6" s="5">
        <f t="shared" ref="E6:E56" si="6">IF(D6-9500&gt;0,1,0)*(D6-9500)</f>
        <v>2022.3729493760256</v>
      </c>
      <c r="F6" s="5">
        <f t="shared" ref="F6:F56" si="7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1285.9361205024711</v>
      </c>
      <c r="G6" s="5">
        <f t="shared" ref="G6:G56" si="8">D6-F6</f>
        <v>10236.436828873555</v>
      </c>
      <c r="H6" s="22">
        <f t="shared" ref="H6:H36" si="9">benefits*B6/expnorm</f>
        <v>5786.1827843162591</v>
      </c>
      <c r="I6" s="5">
        <f t="shared" ref="I6:I36" si="10">G6+IF(A6&lt;startage,1,0)*(H6*(1-initialunempprob))+IF(A6&gt;=startage,1,0)*(H6*(1-unempprob))</f>
        <v>15536.580259307248</v>
      </c>
      <c r="J6" s="26">
        <f t="shared" si="0"/>
        <v>7.6441365338531866E-2</v>
      </c>
      <c r="L6" s="22">
        <f t="shared" ref="L6:L36" si="11">(sincome+sbenefits)*(1-sunemp)*B6/expnorm</f>
        <v>20801.659625623244</v>
      </c>
      <c r="M6" s="5">
        <f>scrimecost*Meta!O3</f>
        <v>805.81200000000001</v>
      </c>
      <c r="N6" s="5">
        <f>L6-Grade8!L6</f>
        <v>289.05944856571296</v>
      </c>
      <c r="O6" s="5">
        <f>Grade8!M6-M6</f>
        <v>17.37600000000009</v>
      </c>
      <c r="P6" s="22">
        <f t="shared" ref="P6:P37" si="12">(spart-initialspart)*(L6*J6+nptrans)</f>
        <v>81.441072630900621</v>
      </c>
      <c r="S6" s="22">
        <f t="shared" si="1"/>
        <v>244.90978087494071</v>
      </c>
      <c r="T6" s="22">
        <f t="shared" si="2"/>
        <v>247.45052335916185</v>
      </c>
    </row>
    <row r="7" spans="1:20" x14ac:dyDescent="0.2">
      <c r="A7" s="5">
        <v>16</v>
      </c>
      <c r="B7" s="1">
        <f t="shared" si="3"/>
        <v>1.0249999999999999</v>
      </c>
      <c r="C7" s="5">
        <f t="shared" si="4"/>
        <v>12893.485014312691</v>
      </c>
      <c r="D7" s="5">
        <f t="shared" si="5"/>
        <v>13120.832273110425</v>
      </c>
      <c r="E7" s="5">
        <f t="shared" si="6"/>
        <v>3620.8322731104254</v>
      </c>
      <c r="F7" s="5">
        <f t="shared" si="7"/>
        <v>1727.9101235150326</v>
      </c>
      <c r="G7" s="5">
        <f t="shared" si="8"/>
        <v>11392.922149595393</v>
      </c>
      <c r="H7" s="22">
        <f t="shared" si="9"/>
        <v>5930.8373539241647</v>
      </c>
      <c r="I7" s="5">
        <f t="shared" si="10"/>
        <v>16825.56916578993</v>
      </c>
      <c r="J7" s="26">
        <f t="shared" si="0"/>
        <v>2.4213199771922045E-2</v>
      </c>
      <c r="L7" s="22">
        <f t="shared" si="11"/>
        <v>21321.701116263823</v>
      </c>
      <c r="M7" s="5">
        <f>scrimecost*Meta!O4</f>
        <v>976.84299999999996</v>
      </c>
      <c r="N7" s="5">
        <f>L7-Grade8!L7</f>
        <v>296.28593477985123</v>
      </c>
      <c r="O7" s="5">
        <f>Grade8!M7-M7</f>
        <v>21.064000000000078</v>
      </c>
      <c r="P7" s="22">
        <f t="shared" si="12"/>
        <v>70.702666086053156</v>
      </c>
      <c r="S7" s="22">
        <f t="shared" si="1"/>
        <v>241.98773370422282</v>
      </c>
      <c r="T7" s="22">
        <f t="shared" si="2"/>
        <v>247.03463456510252</v>
      </c>
    </row>
    <row r="8" spans="1:20" x14ac:dyDescent="0.2">
      <c r="A8" s="5">
        <v>17</v>
      </c>
      <c r="B8" s="1">
        <f t="shared" si="3"/>
        <v>1.0506249999999999</v>
      </c>
      <c r="C8" s="5">
        <f t="shared" si="4"/>
        <v>13215.822139670508</v>
      </c>
      <c r="D8" s="5">
        <f t="shared" si="5"/>
        <v>13416.093079938186</v>
      </c>
      <c r="E8" s="5">
        <f t="shared" si="6"/>
        <v>3916.0930799381858</v>
      </c>
      <c r="F8" s="5">
        <f t="shared" si="7"/>
        <v>1809.5497366029085</v>
      </c>
      <c r="G8" s="5">
        <f t="shared" si="8"/>
        <v>11606.543343335277</v>
      </c>
      <c r="H8" s="22">
        <f t="shared" si="9"/>
        <v>6079.1082877722683</v>
      </c>
      <c r="I8" s="5">
        <f t="shared" si="10"/>
        <v>17175.006534934677</v>
      </c>
      <c r="J8" s="26">
        <f t="shared" si="0"/>
        <v>2.8241785855811285E-2</v>
      </c>
      <c r="L8" s="22">
        <f t="shared" si="11"/>
        <v>21854.743644170416</v>
      </c>
      <c r="M8" s="5">
        <f>scrimecost*Meta!O5</f>
        <v>1072.932</v>
      </c>
      <c r="N8" s="5">
        <f>L8-Grade8!L8</f>
        <v>303.6930831493446</v>
      </c>
      <c r="O8" s="5">
        <f>Grade8!M8-M8</f>
        <v>23.135999999999967</v>
      </c>
      <c r="P8" s="22">
        <f t="shared" si="12"/>
        <v>71.7121698993232</v>
      </c>
      <c r="S8" s="22">
        <f t="shared" si="1"/>
        <v>248.78539734988954</v>
      </c>
      <c r="T8" s="22">
        <f t="shared" si="2"/>
        <v>256.60884763129656</v>
      </c>
    </row>
    <row r="9" spans="1:20" x14ac:dyDescent="0.2">
      <c r="A9" s="5">
        <v>18</v>
      </c>
      <c r="B9" s="1">
        <f t="shared" si="3"/>
        <v>1.0768906249999999</v>
      </c>
      <c r="C9" s="5">
        <f t="shared" si="4"/>
        <v>13546.217693162271</v>
      </c>
      <c r="D9" s="5">
        <f t="shared" si="5"/>
        <v>13718.735406936639</v>
      </c>
      <c r="E9" s="5">
        <f t="shared" si="6"/>
        <v>4218.7354069366393</v>
      </c>
      <c r="F9" s="5">
        <f t="shared" si="7"/>
        <v>1893.2303400179808</v>
      </c>
      <c r="G9" s="5">
        <f t="shared" si="8"/>
        <v>11825.505066918658</v>
      </c>
      <c r="H9" s="22">
        <f t="shared" si="9"/>
        <v>6231.0859949665755</v>
      </c>
      <c r="I9" s="5">
        <f t="shared" si="10"/>
        <v>17533.179838308042</v>
      </c>
      <c r="J9" s="26">
        <f t="shared" si="0"/>
        <v>3.2172113742532461E-2</v>
      </c>
      <c r="L9" s="22">
        <f t="shared" si="11"/>
        <v>22401.112235274679</v>
      </c>
      <c r="M9" s="5">
        <f>scrimecost*Meta!O6</f>
        <v>1255.0930000000001</v>
      </c>
      <c r="N9" s="5">
        <f>L9-Grade8!L9</f>
        <v>311.28541022808713</v>
      </c>
      <c r="O9" s="5">
        <f>Grade8!M9-M9</f>
        <v>27.063999999999851</v>
      </c>
      <c r="P9" s="22">
        <f t="shared" si="12"/>
        <v>72.746911307924989</v>
      </c>
      <c r="S9" s="22">
        <f t="shared" si="1"/>
        <v>257.46699258670412</v>
      </c>
      <c r="T9" s="22">
        <f t="shared" si="2"/>
        <v>268.31845708475856</v>
      </c>
    </row>
    <row r="10" spans="1:20" x14ac:dyDescent="0.2">
      <c r="A10" s="5">
        <v>19</v>
      </c>
      <c r="B10" s="1">
        <f t="shared" si="3"/>
        <v>1.1038128906249998</v>
      </c>
      <c r="C10" s="5">
        <f t="shared" si="4"/>
        <v>13884.873135491325</v>
      </c>
      <c r="D10" s="5">
        <f t="shared" si="5"/>
        <v>14028.943792110054</v>
      </c>
      <c r="E10" s="5">
        <f t="shared" si="6"/>
        <v>4528.9437921100543</v>
      </c>
      <c r="F10" s="5">
        <f t="shared" si="7"/>
        <v>1979.00295851843</v>
      </c>
      <c r="G10" s="5">
        <f t="shared" si="8"/>
        <v>12049.940833591625</v>
      </c>
      <c r="H10" s="22">
        <f t="shared" si="9"/>
        <v>6386.8631448407386</v>
      </c>
      <c r="I10" s="5">
        <f t="shared" si="10"/>
        <v>17900.307474265741</v>
      </c>
      <c r="J10" s="26">
        <f t="shared" si="0"/>
        <v>3.6006579973479974E-2</v>
      </c>
      <c r="L10" s="22">
        <f t="shared" si="11"/>
        <v>22961.140041156545</v>
      </c>
      <c r="M10" s="5">
        <f>scrimecost*Meta!O7</f>
        <v>1350.8109999999999</v>
      </c>
      <c r="N10" s="5">
        <f>L10-Grade8!L10</f>
        <v>319.0675454837874</v>
      </c>
      <c r="O10" s="5">
        <f>Grade8!M10-M10</f>
        <v>29.128000000000156</v>
      </c>
      <c r="P10" s="22">
        <f t="shared" si="12"/>
        <v>73.807521251741832</v>
      </c>
      <c r="S10" s="22">
        <f t="shared" si="1"/>
        <v>264.50153770443382</v>
      </c>
      <c r="T10" s="22">
        <f t="shared" si="2"/>
        <v>278.50912953730852</v>
      </c>
    </row>
    <row r="11" spans="1:20" x14ac:dyDescent="0.2">
      <c r="A11" s="5">
        <v>20</v>
      </c>
      <c r="B11" s="1">
        <f t="shared" si="3"/>
        <v>1.1314082128906247</v>
      </c>
      <c r="C11" s="5">
        <f t="shared" si="4"/>
        <v>14231.994963878607</v>
      </c>
      <c r="D11" s="5">
        <f t="shared" si="5"/>
        <v>14346.907386912804</v>
      </c>
      <c r="E11" s="5">
        <f t="shared" si="6"/>
        <v>4846.9073869128042</v>
      </c>
      <c r="F11" s="5">
        <f t="shared" si="7"/>
        <v>2066.9198924813904</v>
      </c>
      <c r="G11" s="5">
        <f t="shared" si="8"/>
        <v>12279.987494431414</v>
      </c>
      <c r="H11" s="22">
        <f t="shared" si="9"/>
        <v>6546.5347234617566</v>
      </c>
      <c r="I11" s="5">
        <f t="shared" si="10"/>
        <v>18276.613301122383</v>
      </c>
      <c r="J11" s="26">
        <f t="shared" si="0"/>
        <v>3.9747522637819006E-2</v>
      </c>
      <c r="L11" s="22">
        <f t="shared" si="11"/>
        <v>23535.168542185453</v>
      </c>
      <c r="M11" s="5">
        <f>scrimecost*Meta!O8</f>
        <v>1291.451</v>
      </c>
      <c r="N11" s="5">
        <f>L11-Grade8!L11</f>
        <v>327.04423412087635</v>
      </c>
      <c r="O11" s="5">
        <f>Grade8!M11-M11</f>
        <v>27.847999999999956</v>
      </c>
      <c r="P11" s="22">
        <f t="shared" si="12"/>
        <v>74.894646444154091</v>
      </c>
      <c r="S11" s="22">
        <f t="shared" si="1"/>
        <v>268.48612645010422</v>
      </c>
      <c r="T11" s="22">
        <f t="shared" si="2"/>
        <v>285.63757075232189</v>
      </c>
    </row>
    <row r="12" spans="1:20" x14ac:dyDescent="0.2">
      <c r="A12" s="5">
        <v>21</v>
      </c>
      <c r="B12" s="1">
        <f t="shared" si="3"/>
        <v>1.1596934182128902</v>
      </c>
      <c r="C12" s="5">
        <f t="shared" si="4"/>
        <v>14587.794837975573</v>
      </c>
      <c r="D12" s="5">
        <f t="shared" si="5"/>
        <v>14672.820071585626</v>
      </c>
      <c r="E12" s="5">
        <f t="shared" si="6"/>
        <v>5172.8200715856256</v>
      </c>
      <c r="F12" s="5">
        <f t="shared" si="7"/>
        <v>2157.0347497934254</v>
      </c>
      <c r="G12" s="5">
        <f t="shared" si="8"/>
        <v>12515.7853217922</v>
      </c>
      <c r="H12" s="22">
        <f t="shared" si="9"/>
        <v>6710.1980915483</v>
      </c>
      <c r="I12" s="5">
        <f t="shared" si="10"/>
        <v>18662.326773650442</v>
      </c>
      <c r="J12" s="26">
        <f t="shared" si="0"/>
        <v>4.3397222798149789E-2</v>
      </c>
      <c r="L12" s="22">
        <f t="shared" si="11"/>
        <v>24123.547755740088</v>
      </c>
      <c r="M12" s="5">
        <f>scrimecost*Meta!O9</f>
        <v>1156.4069999999999</v>
      </c>
      <c r="N12" s="5">
        <f>L12-Grade8!L12</f>
        <v>335.22033997389735</v>
      </c>
      <c r="O12" s="5">
        <f>Grade8!M12-M12</f>
        <v>24.936000000000149</v>
      </c>
      <c r="P12" s="22">
        <f t="shared" si="12"/>
        <v>76.008949766376659</v>
      </c>
      <c r="S12" s="22">
        <f t="shared" si="1"/>
        <v>271.05032991441936</v>
      </c>
      <c r="T12" s="22">
        <f t="shared" si="2"/>
        <v>291.35714233552051</v>
      </c>
    </row>
    <row r="13" spans="1:20" x14ac:dyDescent="0.2">
      <c r="A13" s="5">
        <v>22</v>
      </c>
      <c r="B13" s="1">
        <f t="shared" si="3"/>
        <v>1.1886857536682125</v>
      </c>
      <c r="C13" s="5">
        <f t="shared" si="4"/>
        <v>14952.489708924963</v>
      </c>
      <c r="D13" s="5">
        <f t="shared" si="5"/>
        <v>15006.880573375265</v>
      </c>
      <c r="E13" s="5">
        <f t="shared" si="6"/>
        <v>5506.8805733752652</v>
      </c>
      <c r="F13" s="5">
        <f t="shared" si="7"/>
        <v>2249.4024785382608</v>
      </c>
      <c r="G13" s="5">
        <f t="shared" si="8"/>
        <v>12757.478094837004</v>
      </c>
      <c r="H13" s="22">
        <f t="shared" si="9"/>
        <v>6877.9530438370084</v>
      </c>
      <c r="I13" s="5">
        <f t="shared" si="10"/>
        <v>19057.683082991705</v>
      </c>
      <c r="J13" s="26">
        <f t="shared" si="0"/>
        <v>4.6957905881399316E-2</v>
      </c>
      <c r="L13" s="22">
        <f t="shared" si="11"/>
        <v>24726.636449633592</v>
      </c>
      <c r="M13" s="5">
        <f>scrimecost*Meta!O10</f>
        <v>1065.1410000000001</v>
      </c>
      <c r="N13" s="5">
        <f>L13-Grade8!L13</f>
        <v>343.60084847325197</v>
      </c>
      <c r="O13" s="5">
        <f>Grade8!M13-M13</f>
        <v>22.967999999999847</v>
      </c>
      <c r="P13" s="22">
        <f t="shared" si="12"/>
        <v>77.151110671654777</v>
      </c>
      <c r="S13" s="22">
        <f t="shared" si="1"/>
        <v>274.64459846534606</v>
      </c>
      <c r="T13" s="22">
        <f t="shared" si="2"/>
        <v>298.28336759551115</v>
      </c>
    </row>
    <row r="14" spans="1:20" x14ac:dyDescent="0.2">
      <c r="A14" s="5">
        <v>23</v>
      </c>
      <c r="B14" s="1">
        <f t="shared" si="3"/>
        <v>1.2184028975099177</v>
      </c>
      <c r="C14" s="5">
        <f t="shared" si="4"/>
        <v>15326.301951648085</v>
      </c>
      <c r="D14" s="5">
        <f t="shared" si="5"/>
        <v>15349.292587709646</v>
      </c>
      <c r="E14" s="5">
        <f t="shared" si="6"/>
        <v>5849.2925877096459</v>
      </c>
      <c r="F14" s="5">
        <f t="shared" si="7"/>
        <v>2344.0794005017169</v>
      </c>
      <c r="G14" s="5">
        <f t="shared" si="8"/>
        <v>13005.21318720793</v>
      </c>
      <c r="H14" s="22">
        <f t="shared" si="9"/>
        <v>7049.9018699329326</v>
      </c>
      <c r="I14" s="5">
        <f t="shared" si="10"/>
        <v>19462.923300066497</v>
      </c>
      <c r="J14" s="26">
        <f t="shared" si="0"/>
        <v>5.0431743035789095E-2</v>
      </c>
      <c r="L14" s="22">
        <f t="shared" si="11"/>
        <v>25344.80236087443</v>
      </c>
      <c r="M14" s="5">
        <f>scrimecost*Meta!O11</f>
        <v>996.87699999999995</v>
      </c>
      <c r="N14" s="5">
        <f>L14-Grade8!L14</f>
        <v>352.19086968508418</v>
      </c>
      <c r="O14" s="5">
        <f>Grade8!M14-M14</f>
        <v>21.495999999999981</v>
      </c>
      <c r="P14" s="22">
        <f t="shared" si="12"/>
        <v>78.321825599564875</v>
      </c>
      <c r="S14" s="22">
        <f t="shared" si="1"/>
        <v>278.84666373004313</v>
      </c>
      <c r="T14" s="22">
        <f t="shared" si="2"/>
        <v>305.98890203007846</v>
      </c>
    </row>
    <row r="15" spans="1:20" x14ac:dyDescent="0.2">
      <c r="A15" s="5">
        <v>24</v>
      </c>
      <c r="B15" s="1">
        <f t="shared" si="3"/>
        <v>1.2488629699476654</v>
      </c>
      <c r="C15" s="5">
        <f t="shared" si="4"/>
        <v>15709.459500439283</v>
      </c>
      <c r="D15" s="5">
        <f t="shared" si="5"/>
        <v>15700.264902402383</v>
      </c>
      <c r="E15" s="5">
        <f t="shared" si="6"/>
        <v>6200.2649024023831</v>
      </c>
      <c r="F15" s="5">
        <f t="shared" si="7"/>
        <v>2441.123245514259</v>
      </c>
      <c r="G15" s="5">
        <f t="shared" si="8"/>
        <v>13259.141656888125</v>
      </c>
      <c r="H15" s="22">
        <f t="shared" si="9"/>
        <v>7226.1494166812545</v>
      </c>
      <c r="I15" s="5">
        <f t="shared" si="10"/>
        <v>19878.294522568154</v>
      </c>
      <c r="J15" s="26">
        <f t="shared" si="0"/>
        <v>5.3820852454705935E-2</v>
      </c>
      <c r="L15" s="22">
        <f t="shared" si="11"/>
        <v>25978.422419896287</v>
      </c>
      <c r="M15" s="5">
        <f>scrimecost*Meta!O12</f>
        <v>954.58299999999997</v>
      </c>
      <c r="N15" s="5">
        <f>L15-Grade8!L15</f>
        <v>360.99564142720919</v>
      </c>
      <c r="O15" s="5">
        <f>Grade8!M15-M15</f>
        <v>20.58400000000006</v>
      </c>
      <c r="P15" s="22">
        <f t="shared" si="12"/>
        <v>79.521808400672697</v>
      </c>
      <c r="S15" s="22">
        <f t="shared" si="1"/>
        <v>283.72074062635591</v>
      </c>
      <c r="T15" s="22">
        <f t="shared" si="2"/>
        <v>314.56728524173917</v>
      </c>
    </row>
    <row r="16" spans="1:20" x14ac:dyDescent="0.2">
      <c r="A16" s="5">
        <v>25</v>
      </c>
      <c r="B16" s="1">
        <f t="shared" si="3"/>
        <v>1.2800845441963571</v>
      </c>
      <c r="C16" s="5">
        <f t="shared" si="4"/>
        <v>16102.195987950266</v>
      </c>
      <c r="D16" s="5">
        <f t="shared" si="5"/>
        <v>16060.011524962445</v>
      </c>
      <c r="E16" s="5">
        <f t="shared" si="6"/>
        <v>6560.011524962445</v>
      </c>
      <c r="F16" s="5">
        <f t="shared" si="7"/>
        <v>2540.5931866521159</v>
      </c>
      <c r="G16" s="5">
        <f t="shared" si="8"/>
        <v>13519.41833831033</v>
      </c>
      <c r="H16" s="22">
        <f t="shared" si="9"/>
        <v>7406.8031520982868</v>
      </c>
      <c r="I16" s="5">
        <f t="shared" si="10"/>
        <v>20304.050025632361</v>
      </c>
      <c r="J16" s="26">
        <f t="shared" si="0"/>
        <v>5.7127300668283379E-2</v>
      </c>
      <c r="L16" s="22">
        <f t="shared" si="11"/>
        <v>26627.882980393693</v>
      </c>
      <c r="M16" s="5">
        <f>scrimecost*Meta!O13</f>
        <v>808.03800000000001</v>
      </c>
      <c r="N16" s="5">
        <f>L16-Grade8!L16</f>
        <v>370.02053246288779</v>
      </c>
      <c r="O16" s="5">
        <f>Grade8!M16-M16</f>
        <v>17.423999999999978</v>
      </c>
      <c r="P16" s="22">
        <f t="shared" si="12"/>
        <v>80.751790771808231</v>
      </c>
      <c r="S16" s="22">
        <f t="shared" si="1"/>
        <v>286.6027294450767</v>
      </c>
      <c r="T16" s="22">
        <f t="shared" si="2"/>
        <v>321.0591403265858</v>
      </c>
    </row>
    <row r="17" spans="1:20" x14ac:dyDescent="0.2">
      <c r="A17" s="5">
        <v>26</v>
      </c>
      <c r="B17" s="1">
        <f t="shared" si="3"/>
        <v>1.312086657801266</v>
      </c>
      <c r="C17" s="5">
        <f t="shared" si="4"/>
        <v>16504.750887649025</v>
      </c>
      <c r="D17" s="5">
        <f t="shared" si="5"/>
        <v>16428.751813086506</v>
      </c>
      <c r="E17" s="5">
        <f t="shared" si="6"/>
        <v>6928.7518130865064</v>
      </c>
      <c r="F17" s="5">
        <f t="shared" si="7"/>
        <v>2642.5498763184191</v>
      </c>
      <c r="G17" s="5">
        <f t="shared" si="8"/>
        <v>13786.201936768088</v>
      </c>
      <c r="H17" s="22">
        <f t="shared" si="9"/>
        <v>7591.9732309007431</v>
      </c>
      <c r="I17" s="5">
        <f t="shared" si="10"/>
        <v>20740.449416273168</v>
      </c>
      <c r="J17" s="26">
        <f t="shared" si="0"/>
        <v>6.0353103803480891E-2</v>
      </c>
      <c r="L17" s="22">
        <f t="shared" si="11"/>
        <v>27293.580054903538</v>
      </c>
      <c r="M17" s="5">
        <f>scrimecost*Meta!O14</f>
        <v>808.03800000000001</v>
      </c>
      <c r="N17" s="5">
        <f>L17-Grade8!L17</f>
        <v>379.27104577446516</v>
      </c>
      <c r="O17" s="5">
        <f>Grade8!M17-M17</f>
        <v>17.423999999999978</v>
      </c>
      <c r="P17" s="22">
        <f t="shared" si="12"/>
        <v>82.012522702222157</v>
      </c>
      <c r="S17" s="22">
        <f t="shared" si="1"/>
        <v>292.63381798426911</v>
      </c>
      <c r="T17" s="22">
        <f t="shared" si="2"/>
        <v>331.21612883319909</v>
      </c>
    </row>
    <row r="18" spans="1:20" x14ac:dyDescent="0.2">
      <c r="A18" s="5">
        <v>27</v>
      </c>
      <c r="B18" s="1">
        <f t="shared" si="3"/>
        <v>1.3448888242462975</v>
      </c>
      <c r="C18" s="5">
        <f t="shared" si="4"/>
        <v>16917.369659840246</v>
      </c>
      <c r="D18" s="5">
        <f t="shared" si="5"/>
        <v>16806.710608413665</v>
      </c>
      <c r="E18" s="5">
        <f t="shared" si="6"/>
        <v>7306.7106084136649</v>
      </c>
      <c r="F18" s="5">
        <f t="shared" si="7"/>
        <v>2747.0554832263783</v>
      </c>
      <c r="G18" s="5">
        <f t="shared" si="8"/>
        <v>14059.655125187286</v>
      </c>
      <c r="H18" s="22">
        <f t="shared" si="9"/>
        <v>7781.7725616732614</v>
      </c>
      <c r="I18" s="5">
        <f t="shared" si="10"/>
        <v>21187.758791679993</v>
      </c>
      <c r="J18" s="26">
        <f t="shared" si="0"/>
        <v>6.3500228813429635E-2</v>
      </c>
      <c r="L18" s="22">
        <f t="shared" si="11"/>
        <v>27975.91955627612</v>
      </c>
      <c r="M18" s="5">
        <f>scrimecost*Meta!O15</f>
        <v>808.03800000000001</v>
      </c>
      <c r="N18" s="5">
        <f>L18-Grade8!L18</f>
        <v>388.7528219188207</v>
      </c>
      <c r="O18" s="5">
        <f>Grade8!M18-M18</f>
        <v>17.423999999999978</v>
      </c>
      <c r="P18" s="22">
        <f t="shared" si="12"/>
        <v>83.304772930896419</v>
      </c>
      <c r="S18" s="22">
        <f t="shared" si="1"/>
        <v>298.8156837369354</v>
      </c>
      <c r="T18" s="22">
        <f t="shared" si="2"/>
        <v>341.72173175296723</v>
      </c>
    </row>
    <row r="19" spans="1:20" x14ac:dyDescent="0.2">
      <c r="A19" s="5">
        <v>28</v>
      </c>
      <c r="B19" s="1">
        <f t="shared" si="3"/>
        <v>1.3785110448524549</v>
      </c>
      <c r="C19" s="5">
        <f t="shared" si="4"/>
        <v>17340.30390133625</v>
      </c>
      <c r="D19" s="5">
        <f t="shared" si="5"/>
        <v>17194.118373624005</v>
      </c>
      <c r="E19" s="5">
        <f t="shared" si="6"/>
        <v>7694.1183736240055</v>
      </c>
      <c r="F19" s="5">
        <f t="shared" si="7"/>
        <v>2854.1737303070377</v>
      </c>
      <c r="G19" s="5">
        <f t="shared" si="8"/>
        <v>14339.944643316969</v>
      </c>
      <c r="H19" s="22">
        <f t="shared" si="9"/>
        <v>7976.3168757150925</v>
      </c>
      <c r="I19" s="5">
        <f t="shared" si="10"/>
        <v>21646.250901471994</v>
      </c>
      <c r="J19" s="26">
        <f t="shared" si="0"/>
        <v>6.6570594676794298E-2</v>
      </c>
      <c r="L19" s="22">
        <f t="shared" si="11"/>
        <v>28675.317545183021</v>
      </c>
      <c r="M19" s="5">
        <f>scrimecost*Meta!O16</f>
        <v>808.03800000000001</v>
      </c>
      <c r="N19" s="5">
        <f>L19-Grade8!L19</f>
        <v>398.47164246678949</v>
      </c>
      <c r="O19" s="5">
        <f>Grade8!M19-M19</f>
        <v>17.423999999999978</v>
      </c>
      <c r="P19" s="22">
        <f t="shared" si="12"/>
        <v>84.629329415287543</v>
      </c>
      <c r="S19" s="22">
        <f t="shared" si="1"/>
        <v>305.15209613342063</v>
      </c>
      <c r="T19" s="22">
        <f t="shared" si="2"/>
        <v>352.58823332172022</v>
      </c>
    </row>
    <row r="20" spans="1:20" x14ac:dyDescent="0.2">
      <c r="A20" s="5">
        <v>29</v>
      </c>
      <c r="B20" s="1">
        <f t="shared" si="3"/>
        <v>1.4129738209737661</v>
      </c>
      <c r="C20" s="5">
        <f t="shared" si="4"/>
        <v>17773.811498869658</v>
      </c>
      <c r="D20" s="5">
        <f t="shared" si="5"/>
        <v>17591.211332964609</v>
      </c>
      <c r="E20" s="5">
        <f t="shared" si="6"/>
        <v>8091.211332964609</v>
      </c>
      <c r="F20" s="5">
        <f t="shared" si="7"/>
        <v>2963.9699335647147</v>
      </c>
      <c r="G20" s="5">
        <f t="shared" si="8"/>
        <v>14627.241399399894</v>
      </c>
      <c r="H20" s="22">
        <f t="shared" si="9"/>
        <v>8175.7247976079689</v>
      </c>
      <c r="I20" s="5">
        <f t="shared" si="10"/>
        <v>22116.205314008796</v>
      </c>
      <c r="J20" s="26">
        <f t="shared" si="0"/>
        <v>6.9566073567881803E-2</v>
      </c>
      <c r="L20" s="22">
        <f t="shared" si="11"/>
        <v>29392.200483812594</v>
      </c>
      <c r="M20" s="5">
        <f>scrimecost*Meta!O17</f>
        <v>808.03800000000001</v>
      </c>
      <c r="N20" s="5">
        <f>L20-Grade8!L20</f>
        <v>408.43343352845477</v>
      </c>
      <c r="O20" s="5">
        <f>Grade8!M20-M20</f>
        <v>17.423999999999978</v>
      </c>
      <c r="P20" s="22">
        <f t="shared" si="12"/>
        <v>85.986999811788451</v>
      </c>
      <c r="S20" s="22">
        <f t="shared" si="1"/>
        <v>311.64691883981664</v>
      </c>
      <c r="T20" s="22">
        <f t="shared" si="2"/>
        <v>363.8283540732067</v>
      </c>
    </row>
    <row r="21" spans="1:20" x14ac:dyDescent="0.2">
      <c r="A21" s="5">
        <v>30</v>
      </c>
      <c r="B21" s="1">
        <f t="shared" si="3"/>
        <v>1.4482981664981105</v>
      </c>
      <c r="C21" s="5">
        <f t="shared" si="4"/>
        <v>18218.156786341402</v>
      </c>
      <c r="D21" s="5">
        <f t="shared" si="5"/>
        <v>17998.231616288725</v>
      </c>
      <c r="E21" s="5">
        <f t="shared" si="6"/>
        <v>8498.2316162887255</v>
      </c>
      <c r="F21" s="5">
        <f t="shared" si="7"/>
        <v>3076.5110419038328</v>
      </c>
      <c r="G21" s="5">
        <f t="shared" si="8"/>
        <v>14921.720574384894</v>
      </c>
      <c r="H21" s="22">
        <f t="shared" si="9"/>
        <v>8380.1179175481702</v>
      </c>
      <c r="I21" s="5">
        <f t="shared" si="10"/>
        <v>22597.908586859019</v>
      </c>
      <c r="J21" s="26">
        <f t="shared" si="0"/>
        <v>7.2488491998211044E-2</v>
      </c>
      <c r="L21" s="22">
        <f t="shared" si="11"/>
        <v>30127.005495907913</v>
      </c>
      <c r="M21" s="5">
        <f>scrimecost*Meta!O18</f>
        <v>637.37800000000004</v>
      </c>
      <c r="N21" s="5">
        <f>L21-Grade8!L21</f>
        <v>418.64426936667223</v>
      </c>
      <c r="O21" s="5">
        <f>Grade8!M21-M21</f>
        <v>13.743999999999915</v>
      </c>
      <c r="P21" s="22">
        <f t="shared" si="12"/>
        <v>87.378611968201881</v>
      </c>
      <c r="S21" s="22">
        <f t="shared" si="1"/>
        <v>314.808112113878</v>
      </c>
      <c r="T21" s="22">
        <f t="shared" si="2"/>
        <v>371.33156340503746</v>
      </c>
    </row>
    <row r="22" spans="1:20" x14ac:dyDescent="0.2">
      <c r="A22" s="5">
        <v>31</v>
      </c>
      <c r="B22" s="1">
        <f t="shared" si="3"/>
        <v>1.4845056206605631</v>
      </c>
      <c r="C22" s="5">
        <f t="shared" si="4"/>
        <v>18673.610705999934</v>
      </c>
      <c r="D22" s="5">
        <f t="shared" si="5"/>
        <v>18415.427406695941</v>
      </c>
      <c r="E22" s="5">
        <f t="shared" si="6"/>
        <v>8915.4274066959406</v>
      </c>
      <c r="F22" s="5">
        <f t="shared" si="7"/>
        <v>3212.6370482862249</v>
      </c>
      <c r="G22" s="5">
        <f t="shared" si="8"/>
        <v>15202.790358409715</v>
      </c>
      <c r="H22" s="22">
        <f t="shared" si="9"/>
        <v>8589.6208654868733</v>
      </c>
      <c r="I22" s="5">
        <f t="shared" si="10"/>
        <v>23070.883071195691</v>
      </c>
      <c r="J22" s="26">
        <f t="shared" si="0"/>
        <v>7.6171381036295102E-2</v>
      </c>
      <c r="L22" s="22">
        <f t="shared" si="11"/>
        <v>30880.180633305612</v>
      </c>
      <c r="M22" s="5">
        <f>scrimecost*Meta!O19</f>
        <v>637.37800000000004</v>
      </c>
      <c r="N22" s="5">
        <f>L22-Grade8!L22</f>
        <v>429.11037610084168</v>
      </c>
      <c r="O22" s="5">
        <f>Grade8!M22-M22</f>
        <v>13.743999999999915</v>
      </c>
      <c r="P22" s="22">
        <f t="shared" si="12"/>
        <v>89.061860054891497</v>
      </c>
      <c r="S22" s="22">
        <f t="shared" si="1"/>
        <v>321.87573856483664</v>
      </c>
      <c r="T22" s="22">
        <f t="shared" si="2"/>
        <v>383.60692713451061</v>
      </c>
    </row>
    <row r="23" spans="1:20" x14ac:dyDescent="0.2">
      <c r="A23" s="5">
        <v>32</v>
      </c>
      <c r="B23" s="1">
        <f t="shared" si="3"/>
        <v>1.521618261177077</v>
      </c>
      <c r="C23" s="5">
        <f t="shared" si="4"/>
        <v>19140.450973649928</v>
      </c>
      <c r="D23" s="5">
        <f t="shared" si="5"/>
        <v>18843.053091863338</v>
      </c>
      <c r="E23" s="5">
        <f t="shared" si="6"/>
        <v>9343.0530918633376</v>
      </c>
      <c r="F23" s="5">
        <f t="shared" si="7"/>
        <v>3352.2568344933798</v>
      </c>
      <c r="G23" s="5">
        <f t="shared" si="8"/>
        <v>15490.796257369959</v>
      </c>
      <c r="H23" s="22">
        <f t="shared" si="9"/>
        <v>8804.3613871240432</v>
      </c>
      <c r="I23" s="5">
        <f t="shared" si="10"/>
        <v>23555.591287975582</v>
      </c>
      <c r="J23" s="26">
        <f t="shared" si="0"/>
        <v>7.9767984086705754E-2</v>
      </c>
      <c r="L23" s="22">
        <f t="shared" si="11"/>
        <v>31652.185149138244</v>
      </c>
      <c r="M23" s="5">
        <f>scrimecost*Meta!O20</f>
        <v>637.37800000000004</v>
      </c>
      <c r="N23" s="5">
        <f>L23-Grade8!L23</f>
        <v>439.83813550335617</v>
      </c>
      <c r="O23" s="5">
        <f>Grade8!M23-M23</f>
        <v>13.743999999999915</v>
      </c>
      <c r="P23" s="22">
        <f t="shared" si="12"/>
        <v>90.788310012859313</v>
      </c>
      <c r="S23" s="22">
        <f t="shared" si="1"/>
        <v>329.12112031271988</v>
      </c>
      <c r="T23" s="22">
        <f t="shared" si="2"/>
        <v>396.31106475360951</v>
      </c>
    </row>
    <row r="24" spans="1:20" x14ac:dyDescent="0.2">
      <c r="A24" s="5">
        <v>33</v>
      </c>
      <c r="B24" s="1">
        <f t="shared" si="3"/>
        <v>1.559658717706504</v>
      </c>
      <c r="C24" s="5">
        <f t="shared" si="4"/>
        <v>19618.962247991181</v>
      </c>
      <c r="D24" s="5">
        <f t="shared" si="5"/>
        <v>19281.369419159924</v>
      </c>
      <c r="E24" s="5">
        <f t="shared" si="6"/>
        <v>9781.3694191599243</v>
      </c>
      <c r="F24" s="5">
        <f t="shared" si="7"/>
        <v>3495.3671153557152</v>
      </c>
      <c r="G24" s="5">
        <f t="shared" si="8"/>
        <v>15786.002303804209</v>
      </c>
      <c r="H24" s="22">
        <f t="shared" si="9"/>
        <v>9024.4704218021452</v>
      </c>
      <c r="I24" s="5">
        <f t="shared" si="10"/>
        <v>24052.417210174972</v>
      </c>
      <c r="J24" s="26">
        <f t="shared" si="0"/>
        <v>8.3276865111496623E-2</v>
      </c>
      <c r="L24" s="22">
        <f t="shared" si="11"/>
        <v>32443.489777866704</v>
      </c>
      <c r="M24" s="5">
        <f>scrimecost*Meta!O21</f>
        <v>637.37800000000004</v>
      </c>
      <c r="N24" s="5">
        <f>L24-Grade8!L24</f>
        <v>450.83408889094426</v>
      </c>
      <c r="O24" s="5">
        <f>Grade8!M24-M24</f>
        <v>13.743999999999915</v>
      </c>
      <c r="P24" s="22">
        <f t="shared" si="12"/>
        <v>92.557921219776333</v>
      </c>
      <c r="S24" s="22">
        <f t="shared" si="1"/>
        <v>336.54763660430581</v>
      </c>
      <c r="T24" s="22">
        <f t="shared" si="2"/>
        <v>409.4578833759997</v>
      </c>
    </row>
    <row r="25" spans="1:20" x14ac:dyDescent="0.2">
      <c r="A25" s="5">
        <v>34</v>
      </c>
      <c r="B25" s="1">
        <f t="shared" si="3"/>
        <v>1.5986501856491666</v>
      </c>
      <c r="C25" s="5">
        <f t="shared" si="4"/>
        <v>20109.43630419096</v>
      </c>
      <c r="D25" s="5">
        <f t="shared" si="5"/>
        <v>19730.643654638923</v>
      </c>
      <c r="E25" s="5">
        <f t="shared" si="6"/>
        <v>10230.643654638923</v>
      </c>
      <c r="F25" s="5">
        <f t="shared" si="7"/>
        <v>3642.0551532396084</v>
      </c>
      <c r="G25" s="5">
        <f t="shared" si="8"/>
        <v>16088.588501399314</v>
      </c>
      <c r="H25" s="22">
        <f t="shared" si="9"/>
        <v>9250.0821823471979</v>
      </c>
      <c r="I25" s="5">
        <f t="shared" si="10"/>
        <v>24561.66378042935</v>
      </c>
      <c r="J25" s="26">
        <f t="shared" si="0"/>
        <v>8.6700163672268224E-2</v>
      </c>
      <c r="L25" s="22">
        <f t="shared" si="11"/>
        <v>33254.577022313373</v>
      </c>
      <c r="M25" s="5">
        <f>scrimecost*Meta!O22</f>
        <v>637.37800000000004</v>
      </c>
      <c r="N25" s="5">
        <f>L25-Grade8!L25</f>
        <v>462.10494111321896</v>
      </c>
      <c r="O25" s="5">
        <f>Grade8!M25-M25</f>
        <v>13.743999999999915</v>
      </c>
      <c r="P25" s="22">
        <f t="shared" si="12"/>
        <v>94.371772706866281</v>
      </c>
      <c r="S25" s="22">
        <f t="shared" si="1"/>
        <v>344.15981580317981</v>
      </c>
      <c r="T25" s="22">
        <f t="shared" si="2"/>
        <v>423.06305342629787</v>
      </c>
    </row>
    <row r="26" spans="1:20" x14ac:dyDescent="0.2">
      <c r="A26" s="5">
        <v>35</v>
      </c>
      <c r="B26" s="1">
        <f t="shared" si="3"/>
        <v>1.6386164402903955</v>
      </c>
      <c r="C26" s="5">
        <f t="shared" si="4"/>
        <v>20612.172211795732</v>
      </c>
      <c r="D26" s="5">
        <f t="shared" si="5"/>
        <v>20191.149746004892</v>
      </c>
      <c r="E26" s="5">
        <f t="shared" si="6"/>
        <v>10691.149746004892</v>
      </c>
      <c r="F26" s="5">
        <f t="shared" si="7"/>
        <v>3792.4103920705975</v>
      </c>
      <c r="G26" s="5">
        <f t="shared" si="8"/>
        <v>16398.739353934296</v>
      </c>
      <c r="H26" s="22">
        <f t="shared" si="9"/>
        <v>9481.3342369058773</v>
      </c>
      <c r="I26" s="5">
        <f t="shared" si="10"/>
        <v>25083.641514940078</v>
      </c>
      <c r="J26" s="26">
        <f t="shared" si="0"/>
        <v>9.0039967146191682E-2</v>
      </c>
      <c r="L26" s="22">
        <f t="shared" si="11"/>
        <v>34085.941447871206</v>
      </c>
      <c r="M26" s="5">
        <f>scrimecost*Meta!O23</f>
        <v>507.52800000000002</v>
      </c>
      <c r="N26" s="5">
        <f>L26-Grade8!L26</f>
        <v>473.65756464105652</v>
      </c>
      <c r="O26" s="5">
        <f>Grade8!M26-M26</f>
        <v>10.944000000000074</v>
      </c>
      <c r="P26" s="22">
        <f t="shared" si="12"/>
        <v>96.230970481133454</v>
      </c>
      <c r="S26" s="22">
        <f t="shared" si="1"/>
        <v>349.3022994820289</v>
      </c>
      <c r="T26" s="22">
        <f t="shared" si="2"/>
        <v>433.8390401200337</v>
      </c>
    </row>
    <row r="27" spans="1:20" x14ac:dyDescent="0.2">
      <c r="A27" s="5">
        <v>36</v>
      </c>
      <c r="B27" s="1">
        <f t="shared" si="3"/>
        <v>1.6795818512976552</v>
      </c>
      <c r="C27" s="5">
        <f t="shared" si="4"/>
        <v>21127.476517090621</v>
      </c>
      <c r="D27" s="5">
        <f t="shared" si="5"/>
        <v>20663.16848965501</v>
      </c>
      <c r="E27" s="5">
        <f t="shared" si="6"/>
        <v>11163.16848965501</v>
      </c>
      <c r="F27" s="5">
        <f t="shared" si="7"/>
        <v>3946.5245118723606</v>
      </c>
      <c r="G27" s="5">
        <f t="shared" si="8"/>
        <v>16716.643977782649</v>
      </c>
      <c r="H27" s="22">
        <f t="shared" si="9"/>
        <v>9718.3675928285229</v>
      </c>
      <c r="I27" s="5">
        <f t="shared" si="10"/>
        <v>25618.668692813575</v>
      </c>
      <c r="J27" s="26">
        <f t="shared" si="0"/>
        <v>9.3298311998799913E-2</v>
      </c>
      <c r="L27" s="22">
        <f t="shared" si="11"/>
        <v>34938.089984067978</v>
      </c>
      <c r="M27" s="5">
        <f>scrimecost*Meta!O24</f>
        <v>507.52800000000002</v>
      </c>
      <c r="N27" s="5">
        <f>L27-Grade8!L27</f>
        <v>485.49900375707512</v>
      </c>
      <c r="O27" s="5">
        <f>Grade8!M27-M27</f>
        <v>10.944000000000074</v>
      </c>
      <c r="P27" s="22">
        <f t="shared" si="12"/>
        <v>98.136648199757289</v>
      </c>
      <c r="S27" s="22">
        <f t="shared" si="1"/>
        <v>357.29984525284129</v>
      </c>
      <c r="T27" s="22">
        <f t="shared" si="2"/>
        <v>448.37589952363999</v>
      </c>
    </row>
    <row r="28" spans="1:20" x14ac:dyDescent="0.2">
      <c r="A28" s="5">
        <v>37</v>
      </c>
      <c r="B28" s="1">
        <f t="shared" si="3"/>
        <v>1.7215713975800966</v>
      </c>
      <c r="C28" s="5">
        <f t="shared" si="4"/>
        <v>21655.663430017885</v>
      </c>
      <c r="D28" s="5">
        <f t="shared" si="5"/>
        <v>21146.987701896385</v>
      </c>
      <c r="E28" s="5">
        <f t="shared" si="6"/>
        <v>11646.987701896385</v>
      </c>
      <c r="F28" s="5">
        <f t="shared" si="7"/>
        <v>4104.4914846691699</v>
      </c>
      <c r="G28" s="5">
        <f t="shared" si="8"/>
        <v>17042.496217227213</v>
      </c>
      <c r="H28" s="22">
        <f t="shared" si="9"/>
        <v>9961.3267826492356</v>
      </c>
      <c r="I28" s="5">
        <f t="shared" si="10"/>
        <v>26167.071550133915</v>
      </c>
      <c r="J28" s="26">
        <f t="shared" si="0"/>
        <v>9.6477185025734852E-2</v>
      </c>
      <c r="L28" s="22">
        <f t="shared" si="11"/>
        <v>35811.542233669672</v>
      </c>
      <c r="M28" s="5">
        <f>scrimecost*Meta!O25</f>
        <v>507.52800000000002</v>
      </c>
      <c r="N28" s="5">
        <f>L28-Grade8!L28</f>
        <v>497.63647885098908</v>
      </c>
      <c r="O28" s="5">
        <f>Grade8!M28-M28</f>
        <v>10.944000000000074</v>
      </c>
      <c r="P28" s="22">
        <f t="shared" si="12"/>
        <v>100.08996786134675</v>
      </c>
      <c r="S28" s="22">
        <f t="shared" si="1"/>
        <v>365.49732966792129</v>
      </c>
      <c r="T28" s="22">
        <f t="shared" si="2"/>
        <v>463.42119005574006</v>
      </c>
    </row>
    <row r="29" spans="1:20" x14ac:dyDescent="0.2">
      <c r="A29" s="5">
        <v>38</v>
      </c>
      <c r="B29" s="1">
        <f t="shared" si="3"/>
        <v>1.7646106825195991</v>
      </c>
      <c r="C29" s="5">
        <f t="shared" si="4"/>
        <v>22197.055015768332</v>
      </c>
      <c r="D29" s="5">
        <f t="shared" si="5"/>
        <v>21642.902394443794</v>
      </c>
      <c r="E29" s="5">
        <f t="shared" si="6"/>
        <v>12142.902394443794</v>
      </c>
      <c r="F29" s="5">
        <f t="shared" si="7"/>
        <v>4266.407631785899</v>
      </c>
      <c r="G29" s="5">
        <f t="shared" si="8"/>
        <v>17376.494762657894</v>
      </c>
      <c r="H29" s="22">
        <f t="shared" si="9"/>
        <v>10210.359952215467</v>
      </c>
      <c r="I29" s="5">
        <f t="shared" si="10"/>
        <v>26729.184478887262</v>
      </c>
      <c r="J29" s="26">
        <f t="shared" si="0"/>
        <v>9.9578524564207918E-2</v>
      </c>
      <c r="L29" s="22">
        <f t="shared" si="11"/>
        <v>36706.830789511419</v>
      </c>
      <c r="M29" s="5">
        <f>scrimecost*Meta!O26</f>
        <v>507.52800000000002</v>
      </c>
      <c r="N29" s="5">
        <f>L29-Grade8!L29</f>
        <v>510.07739082227636</v>
      </c>
      <c r="O29" s="5">
        <f>Grade8!M29-M29</f>
        <v>10.944000000000074</v>
      </c>
      <c r="P29" s="22">
        <f t="shared" si="12"/>
        <v>102.09212051447595</v>
      </c>
      <c r="S29" s="22">
        <f t="shared" si="1"/>
        <v>373.89975119339158</v>
      </c>
      <c r="T29" s="22">
        <f t="shared" si="2"/>
        <v>478.99292965494249</v>
      </c>
    </row>
    <row r="30" spans="1:20" x14ac:dyDescent="0.2">
      <c r="A30" s="5">
        <v>39</v>
      </c>
      <c r="B30" s="1">
        <f t="shared" si="3"/>
        <v>1.8087259495825889</v>
      </c>
      <c r="C30" s="5">
        <f t="shared" si="4"/>
        <v>22751.981391162539</v>
      </c>
      <c r="D30" s="5">
        <f t="shared" si="5"/>
        <v>22151.214954304887</v>
      </c>
      <c r="E30" s="5">
        <f t="shared" si="6"/>
        <v>12651.214954304887</v>
      </c>
      <c r="F30" s="5">
        <f t="shared" si="7"/>
        <v>4432.3716825805459</v>
      </c>
      <c r="G30" s="5">
        <f t="shared" si="8"/>
        <v>17718.843271724341</v>
      </c>
      <c r="H30" s="22">
        <f t="shared" si="9"/>
        <v>10465.618951020853</v>
      </c>
      <c r="I30" s="5">
        <f t="shared" si="10"/>
        <v>27305.350230859443</v>
      </c>
      <c r="J30" s="26">
        <f t="shared" si="0"/>
        <v>0.10260422167491338</v>
      </c>
      <c r="L30" s="22">
        <f t="shared" si="11"/>
        <v>37624.501559249205</v>
      </c>
      <c r="M30" s="5">
        <f>scrimecost*Meta!O27</f>
        <v>507.52800000000002</v>
      </c>
      <c r="N30" s="5">
        <f>L30-Grade8!L30</f>
        <v>522.82932559284382</v>
      </c>
      <c r="O30" s="5">
        <f>Grade8!M30-M30</f>
        <v>10.944000000000074</v>
      </c>
      <c r="P30" s="22">
        <f t="shared" si="12"/>
        <v>104.1443269839334</v>
      </c>
      <c r="S30" s="22">
        <f t="shared" si="1"/>
        <v>382.51223325699772</v>
      </c>
      <c r="T30" s="22">
        <f t="shared" si="2"/>
        <v>495.10977727314736</v>
      </c>
    </row>
    <row r="31" spans="1:20" x14ac:dyDescent="0.2">
      <c r="A31" s="5">
        <v>40</v>
      </c>
      <c r="B31" s="1">
        <f t="shared" si="3"/>
        <v>1.8539440983221533</v>
      </c>
      <c r="C31" s="5">
        <f t="shared" si="4"/>
        <v>23320.780925941599</v>
      </c>
      <c r="D31" s="5">
        <f t="shared" si="5"/>
        <v>22672.235328162507</v>
      </c>
      <c r="E31" s="5">
        <f t="shared" si="6"/>
        <v>13172.235328162507</v>
      </c>
      <c r="F31" s="5">
        <f t="shared" si="7"/>
        <v>4602.4848346450581</v>
      </c>
      <c r="G31" s="5">
        <f t="shared" si="8"/>
        <v>18069.750493517451</v>
      </c>
      <c r="H31" s="22">
        <f t="shared" si="9"/>
        <v>10727.259424796373</v>
      </c>
      <c r="I31" s="5">
        <f t="shared" si="10"/>
        <v>27895.920126630932</v>
      </c>
      <c r="J31" s="26">
        <f t="shared" si="0"/>
        <v>0.10555612129511377</v>
      </c>
      <c r="L31" s="22">
        <f t="shared" si="11"/>
        <v>38565.114098230428</v>
      </c>
      <c r="M31" s="5">
        <f>scrimecost*Meta!O28</f>
        <v>435.55399999999997</v>
      </c>
      <c r="N31" s="5">
        <f>L31-Grade8!L31</f>
        <v>535.90005873265909</v>
      </c>
      <c r="O31" s="5">
        <f>Grade8!M31-M31</f>
        <v>9.3919999999999959</v>
      </c>
      <c r="P31" s="22">
        <f t="shared" si="12"/>
        <v>106.24783861512722</v>
      </c>
      <c r="S31" s="22">
        <f t="shared" si="1"/>
        <v>389.86562737218526</v>
      </c>
      <c r="T31" s="22">
        <f t="shared" si="2"/>
        <v>509.86284831712339</v>
      </c>
    </row>
    <row r="32" spans="1:20" x14ac:dyDescent="0.2">
      <c r="A32" s="5">
        <v>41</v>
      </c>
      <c r="B32" s="1">
        <f t="shared" si="3"/>
        <v>1.9002927007802071</v>
      </c>
      <c r="C32" s="5">
        <f t="shared" si="4"/>
        <v>23903.80044909014</v>
      </c>
      <c r="D32" s="5">
        <f t="shared" si="5"/>
        <v>23206.281211366571</v>
      </c>
      <c r="E32" s="5">
        <f t="shared" si="6"/>
        <v>13706.281211366571</v>
      </c>
      <c r="F32" s="5">
        <f t="shared" si="7"/>
        <v>4776.8508155111858</v>
      </c>
      <c r="G32" s="5">
        <f t="shared" si="8"/>
        <v>18429.430395855386</v>
      </c>
      <c r="H32" s="22">
        <f t="shared" si="9"/>
        <v>10995.440910416282</v>
      </c>
      <c r="I32" s="5">
        <f t="shared" si="10"/>
        <v>28501.2542697967</v>
      </c>
      <c r="J32" s="26">
        <f t="shared" si="0"/>
        <v>0.10843602336360204</v>
      </c>
      <c r="L32" s="22">
        <f t="shared" si="11"/>
        <v>39529.241950686184</v>
      </c>
      <c r="M32" s="5">
        <f>scrimecost*Meta!O29</f>
        <v>435.55399999999997</v>
      </c>
      <c r="N32" s="5">
        <f>L32-Grade8!L32</f>
        <v>549.29756020097557</v>
      </c>
      <c r="O32" s="5">
        <f>Grade8!M32-M32</f>
        <v>9.3919999999999959</v>
      </c>
      <c r="P32" s="22">
        <f t="shared" si="12"/>
        <v>108.40393803710094</v>
      </c>
      <c r="S32" s="22">
        <f t="shared" si="1"/>
        <v>398.91411634025559</v>
      </c>
      <c r="T32" s="22">
        <f t="shared" si="2"/>
        <v>527.10856424566919</v>
      </c>
    </row>
    <row r="33" spans="1:20" x14ac:dyDescent="0.2">
      <c r="A33" s="5">
        <v>42</v>
      </c>
      <c r="B33" s="1">
        <f t="shared" si="3"/>
        <v>1.9478000182997122</v>
      </c>
      <c r="C33" s="5">
        <f t="shared" si="4"/>
        <v>24501.395460317392</v>
      </c>
      <c r="D33" s="5">
        <f t="shared" si="5"/>
        <v>23753.678241650734</v>
      </c>
      <c r="E33" s="5">
        <f t="shared" si="6"/>
        <v>14253.678241650734</v>
      </c>
      <c r="F33" s="5">
        <f t="shared" si="7"/>
        <v>4955.5759458989651</v>
      </c>
      <c r="G33" s="5">
        <f t="shared" si="8"/>
        <v>18798.102295751771</v>
      </c>
      <c r="H33" s="22">
        <f t="shared" si="9"/>
        <v>11270.326933176688</v>
      </c>
      <c r="I33" s="5">
        <f t="shared" si="10"/>
        <v>29121.721766541617</v>
      </c>
      <c r="J33" s="26">
        <f t="shared" si="0"/>
        <v>0.11124568391822472</v>
      </c>
      <c r="L33" s="22">
        <f t="shared" si="11"/>
        <v>40517.472999453341</v>
      </c>
      <c r="M33" s="5">
        <f>scrimecost*Meta!O30</f>
        <v>435.55399999999997</v>
      </c>
      <c r="N33" s="5">
        <f>L33-Grade8!L33</f>
        <v>563.02999920599541</v>
      </c>
      <c r="O33" s="5">
        <f>Grade8!M33-M33</f>
        <v>9.3919999999999959</v>
      </c>
      <c r="P33" s="22">
        <f t="shared" si="12"/>
        <v>110.61393994462401</v>
      </c>
      <c r="S33" s="22">
        <f t="shared" si="1"/>
        <v>408.18881753252543</v>
      </c>
      <c r="T33" s="22">
        <f t="shared" si="2"/>
        <v>544.95923601273762</v>
      </c>
    </row>
    <row r="34" spans="1:20" x14ac:dyDescent="0.2">
      <c r="A34" s="5">
        <v>43</v>
      </c>
      <c r="B34" s="1">
        <f t="shared" si="3"/>
        <v>1.9964950187572048</v>
      </c>
      <c r="C34" s="5">
        <f t="shared" si="4"/>
        <v>25113.930346825324</v>
      </c>
      <c r="D34" s="5">
        <f t="shared" si="5"/>
        <v>24314.760197691998</v>
      </c>
      <c r="E34" s="5">
        <f t="shared" si="6"/>
        <v>14814.760197691998</v>
      </c>
      <c r="F34" s="5">
        <f t="shared" si="7"/>
        <v>5138.7692045464373</v>
      </c>
      <c r="G34" s="5">
        <f t="shared" si="8"/>
        <v>19175.990993145562</v>
      </c>
      <c r="H34" s="22">
        <f t="shared" si="9"/>
        <v>11552.085106506103</v>
      </c>
      <c r="I34" s="5">
        <f t="shared" si="10"/>
        <v>29757.700950705155</v>
      </c>
      <c r="J34" s="26">
        <f t="shared" si="0"/>
        <v>0.11398681616663703</v>
      </c>
      <c r="L34" s="22">
        <f t="shared" si="11"/>
        <v>41530.409824439666</v>
      </c>
      <c r="M34" s="5">
        <f>scrimecost*Meta!O31</f>
        <v>435.55399999999997</v>
      </c>
      <c r="N34" s="5">
        <f>L34-Grade8!L34</f>
        <v>577.10574918613565</v>
      </c>
      <c r="O34" s="5">
        <f>Grade8!M34-M34</f>
        <v>9.3919999999999959</v>
      </c>
      <c r="P34" s="22">
        <f t="shared" si="12"/>
        <v>112.87919189983511</v>
      </c>
      <c r="S34" s="22">
        <f t="shared" si="1"/>
        <v>417.69538625459921</v>
      </c>
      <c r="T34" s="22">
        <f t="shared" si="2"/>
        <v>563.43632105998563</v>
      </c>
    </row>
    <row r="35" spans="1:20" x14ac:dyDescent="0.2">
      <c r="A35" s="5">
        <v>44</v>
      </c>
      <c r="B35" s="1">
        <f t="shared" si="3"/>
        <v>2.0464073942261352</v>
      </c>
      <c r="C35" s="5">
        <f t="shared" si="4"/>
        <v>25741.778605495958</v>
      </c>
      <c r="D35" s="5">
        <f t="shared" si="5"/>
        <v>24889.869202634301</v>
      </c>
      <c r="E35" s="5">
        <f t="shared" si="6"/>
        <v>15389.869202634301</v>
      </c>
      <c r="F35" s="5">
        <f t="shared" si="7"/>
        <v>5326.5422946600993</v>
      </c>
      <c r="G35" s="5">
        <f t="shared" si="8"/>
        <v>19563.326907974202</v>
      </c>
      <c r="H35" s="22">
        <f t="shared" si="9"/>
        <v>11840.887234168758</v>
      </c>
      <c r="I35" s="5">
        <f t="shared" si="10"/>
        <v>30409.579614472786</v>
      </c>
      <c r="J35" s="26">
        <f t="shared" si="0"/>
        <v>0.11666109153094179</v>
      </c>
      <c r="L35" s="22">
        <f t="shared" si="11"/>
        <v>42568.670070050663</v>
      </c>
      <c r="M35" s="5">
        <f>scrimecost*Meta!O32</f>
        <v>435.55399999999997</v>
      </c>
      <c r="N35" s="5">
        <f>L35-Grade8!L35</f>
        <v>591.5333929158005</v>
      </c>
      <c r="O35" s="5">
        <f>Grade8!M35-M35</f>
        <v>9.3919999999999959</v>
      </c>
      <c r="P35" s="22">
        <f t="shared" si="12"/>
        <v>115.20107515392654</v>
      </c>
      <c r="S35" s="22">
        <f t="shared" si="1"/>
        <v>427.43961919473594</v>
      </c>
      <c r="T35" s="22">
        <f t="shared" si="2"/>
        <v>582.56204040397427</v>
      </c>
    </row>
    <row r="36" spans="1:20" x14ac:dyDescent="0.2">
      <c r="A36" s="5">
        <v>45</v>
      </c>
      <c r="B36" s="1">
        <f t="shared" si="3"/>
        <v>2.097567579081788</v>
      </c>
      <c r="C36" s="5">
        <f t="shared" si="4"/>
        <v>26385.323070633352</v>
      </c>
      <c r="D36" s="5">
        <f t="shared" si="5"/>
        <v>25479.355932700153</v>
      </c>
      <c r="E36" s="5">
        <f t="shared" si="6"/>
        <v>15979.355932700153</v>
      </c>
      <c r="F36" s="5">
        <f t="shared" si="7"/>
        <v>5519.0097120266</v>
      </c>
      <c r="G36" s="5">
        <f t="shared" si="8"/>
        <v>19960.346220673553</v>
      </c>
      <c r="H36" s="22">
        <f t="shared" si="9"/>
        <v>12136.909415022976</v>
      </c>
      <c r="I36" s="5">
        <f t="shared" si="10"/>
        <v>31077.7552448346</v>
      </c>
      <c r="J36" s="26">
        <f t="shared" si="0"/>
        <v>0.11927014066684885</v>
      </c>
      <c r="L36" s="22">
        <f t="shared" si="11"/>
        <v>43632.88682180192</v>
      </c>
      <c r="M36" s="5">
        <f>scrimecost*Meta!O33</f>
        <v>335.38400000000001</v>
      </c>
      <c r="N36" s="5">
        <f>L36-Grade8!L36</f>
        <v>606.32172773867933</v>
      </c>
      <c r="O36" s="5">
        <f>Grade8!M36-M36</f>
        <v>7.2319999999999709</v>
      </c>
      <c r="P36" s="22">
        <f t="shared" si="12"/>
        <v>117.58100548937021</v>
      </c>
      <c r="S36" s="22">
        <f t="shared" si="1"/>
        <v>435.37545795836166</v>
      </c>
      <c r="T36" s="22">
        <f t="shared" si="2"/>
        <v>599.53369958681685</v>
      </c>
    </row>
    <row r="37" spans="1:20" x14ac:dyDescent="0.2">
      <c r="A37" s="5">
        <v>46</v>
      </c>
      <c r="B37" s="1">
        <f t="shared" ref="B37:B56" si="13">(1+experiencepremium)^(A37-startage)</f>
        <v>2.1500067685588333</v>
      </c>
      <c r="C37" s="5">
        <f t="shared" ref="C37:C56" si="14">pretaxincome*B37/expnorm</f>
        <v>27044.956147399193</v>
      </c>
      <c r="D37" s="5">
        <f t="shared" ref="D37:D56" si="15">IF(A37&lt;startage,1,0)*(C37*(1-initialunempprob))+IF(A37=startage,1,0)*(C37*(1-unempprob))+IF(A37&gt;startage,1,0)*(C37*(1-unempprob)+unempprob*300*52)</f>
        <v>26083.579831017661</v>
      </c>
      <c r="E37" s="5">
        <f t="shared" si="6"/>
        <v>16583.579831017661</v>
      </c>
      <c r="F37" s="5">
        <f t="shared" si="7"/>
        <v>5716.2888148272668</v>
      </c>
      <c r="G37" s="5">
        <f t="shared" si="8"/>
        <v>20367.291016190393</v>
      </c>
      <c r="H37" s="22">
        <f t="shared" ref="H37:H56" si="16">benefits*B37/expnorm</f>
        <v>12440.332150398553</v>
      </c>
      <c r="I37" s="5">
        <f t="shared" ref="I37:I56" si="17">G37+IF(A37&lt;startage,1,0)*(H37*(1-initialunempprob))+IF(A37&gt;=startage,1,0)*(H37*(1-unempprob))</f>
        <v>31762.635265955469</v>
      </c>
      <c r="J37" s="26">
        <f t="shared" ref="J37:J56" si="18">(F37-(IF(A37&gt;startage,1,0)*(unempprob*300*52)))/(IF(A37&lt;startage,1,0)*((C37+H37)*(1-initialunempprob))+IF(A37&gt;=startage,1,0)*((C37+H37)*(1-unempprob)))</f>
        <v>0.1218155544579777</v>
      </c>
      <c r="L37" s="22">
        <f t="shared" ref="L37:L56" si="19">(sincome+sbenefits)*(1-sunemp)*B37/expnorm</f>
        <v>44723.708992346983</v>
      </c>
      <c r="M37" s="5">
        <f>scrimecost*Meta!O34</f>
        <v>335.38400000000001</v>
      </c>
      <c r="N37" s="5">
        <f>L37-Grade8!L37</f>
        <v>621.47977093216468</v>
      </c>
      <c r="O37" s="5">
        <f>Grade8!M37-M37</f>
        <v>7.2319999999999709</v>
      </c>
      <c r="P37" s="22">
        <f t="shared" si="12"/>
        <v>120.02043408320002</v>
      </c>
      <c r="S37" s="22">
        <f t="shared" ref="S37:S68" si="20">IF(A37&lt;startage,1,0)*(N37-Q37-R37)+IF(A37&gt;=startage,1,0)*completionprob*(N37*spart+O37+P37)</f>
        <v>445.61299269109605</v>
      </c>
      <c r="T37" s="22">
        <f t="shared" ref="T37:T68" si="21">S37/sreturn^(A37-startage+1)</f>
        <v>619.99722739824722</v>
      </c>
    </row>
    <row r="38" spans="1:20" x14ac:dyDescent="0.2">
      <c r="A38" s="5">
        <v>47</v>
      </c>
      <c r="B38" s="1">
        <f t="shared" si="13"/>
        <v>2.2037569377728037</v>
      </c>
      <c r="C38" s="5">
        <f t="shared" si="14"/>
        <v>27721.080051084169</v>
      </c>
      <c r="D38" s="5">
        <f t="shared" si="15"/>
        <v>26702.909326793102</v>
      </c>
      <c r="E38" s="5">
        <f t="shared" si="6"/>
        <v>17202.909326793102</v>
      </c>
      <c r="F38" s="5">
        <f t="shared" si="7"/>
        <v>5918.4998951979478</v>
      </c>
      <c r="G38" s="5">
        <f t="shared" si="8"/>
        <v>20784.409431595155</v>
      </c>
      <c r="H38" s="22">
        <f t="shared" si="16"/>
        <v>12751.340454158515</v>
      </c>
      <c r="I38" s="5">
        <f t="shared" si="17"/>
        <v>32464.637287604353</v>
      </c>
      <c r="J38" s="26">
        <f t="shared" si="18"/>
        <v>0.12429888498590824</v>
      </c>
      <c r="L38" s="22">
        <f t="shared" si="19"/>
        <v>45841.801717155649</v>
      </c>
      <c r="M38" s="5">
        <f>scrimecost*Meta!O35</f>
        <v>335.38400000000001</v>
      </c>
      <c r="N38" s="5">
        <f>L38-Grade8!L38</f>
        <v>637.01676520546607</v>
      </c>
      <c r="O38" s="5">
        <f>Grade8!M38-M38</f>
        <v>7.2319999999999709</v>
      </c>
      <c r="P38" s="22">
        <f t="shared" ref="P38:P56" si="22">(spart-initialspart)*(L38*J38+nptrans)</f>
        <v>122.52084839187552</v>
      </c>
      <c r="S38" s="22">
        <f t="shared" si="20"/>
        <v>456.10646579213778</v>
      </c>
      <c r="T38" s="22">
        <f t="shared" si="21"/>
        <v>641.18060675339757</v>
      </c>
    </row>
    <row r="39" spans="1:20" x14ac:dyDescent="0.2">
      <c r="A39" s="5">
        <v>48</v>
      </c>
      <c r="B39" s="1">
        <f t="shared" si="13"/>
        <v>2.2588508612171236</v>
      </c>
      <c r="C39" s="5">
        <f t="shared" si="14"/>
        <v>28414.107052361269</v>
      </c>
      <c r="D39" s="5">
        <f t="shared" si="15"/>
        <v>27337.722059962925</v>
      </c>
      <c r="E39" s="5">
        <f t="shared" si="6"/>
        <v>17837.722059962925</v>
      </c>
      <c r="F39" s="5">
        <f t="shared" si="7"/>
        <v>6125.7662525778951</v>
      </c>
      <c r="G39" s="5">
        <f t="shared" si="8"/>
        <v>21211.955807385031</v>
      </c>
      <c r="H39" s="22">
        <f t="shared" si="16"/>
        <v>13070.123965512475</v>
      </c>
      <c r="I39" s="5">
        <f t="shared" si="17"/>
        <v>33184.189359794458</v>
      </c>
      <c r="J39" s="26">
        <f t="shared" si="18"/>
        <v>0.12672164647657222</v>
      </c>
      <c r="L39" s="22">
        <f t="shared" si="19"/>
        <v>46987.84676008454</v>
      </c>
      <c r="M39" s="5">
        <f>scrimecost*Meta!O36</f>
        <v>335.38400000000001</v>
      </c>
      <c r="N39" s="5">
        <f>L39-Grade8!L39</f>
        <v>652.94218433560309</v>
      </c>
      <c r="O39" s="5">
        <f>Grade8!M39-M39</f>
        <v>7.2319999999999709</v>
      </c>
      <c r="P39" s="22">
        <f t="shared" si="22"/>
        <v>125.08377305826795</v>
      </c>
      <c r="S39" s="22">
        <f t="shared" si="20"/>
        <v>466.86227572070709</v>
      </c>
      <c r="T39" s="22">
        <f t="shared" si="21"/>
        <v>663.10939165988952</v>
      </c>
    </row>
    <row r="40" spans="1:20" x14ac:dyDescent="0.2">
      <c r="A40" s="5">
        <v>49</v>
      </c>
      <c r="B40" s="1">
        <f t="shared" si="13"/>
        <v>2.3153221327475517</v>
      </c>
      <c r="C40" s="5">
        <f t="shared" si="14"/>
        <v>29124.459728670303</v>
      </c>
      <c r="D40" s="5">
        <f t="shared" si="15"/>
        <v>27988.405111462002</v>
      </c>
      <c r="E40" s="5">
        <f t="shared" si="6"/>
        <v>18488.405111462002</v>
      </c>
      <c r="F40" s="5">
        <f t="shared" si="7"/>
        <v>6338.2142688923432</v>
      </c>
      <c r="G40" s="5">
        <f t="shared" si="8"/>
        <v>21650.19084256966</v>
      </c>
      <c r="H40" s="22">
        <f t="shared" si="16"/>
        <v>13396.877064650287</v>
      </c>
      <c r="I40" s="5">
        <f t="shared" si="17"/>
        <v>33921.73023378932</v>
      </c>
      <c r="J40" s="26">
        <f t="shared" si="18"/>
        <v>0.12908531622356151</v>
      </c>
      <c r="L40" s="22">
        <f t="shared" si="19"/>
        <v>48162.542929086645</v>
      </c>
      <c r="M40" s="5">
        <f>scrimecost*Meta!O37</f>
        <v>335.38400000000001</v>
      </c>
      <c r="N40" s="5">
        <f>L40-Grade8!L40</f>
        <v>669.26573894399917</v>
      </c>
      <c r="O40" s="5">
        <f>Grade8!M40-M40</f>
        <v>7.2319999999999709</v>
      </c>
      <c r="P40" s="22">
        <f t="shared" si="22"/>
        <v>127.71077084132018</v>
      </c>
      <c r="S40" s="22">
        <f t="shared" si="20"/>
        <v>477.88698089749374</v>
      </c>
      <c r="T40" s="22">
        <f t="shared" si="21"/>
        <v>685.81004570055734</v>
      </c>
    </row>
    <row r="41" spans="1:20" x14ac:dyDescent="0.2">
      <c r="A41" s="5">
        <v>50</v>
      </c>
      <c r="B41" s="1">
        <f t="shared" si="13"/>
        <v>2.3732051860662402</v>
      </c>
      <c r="C41" s="5">
        <f t="shared" si="14"/>
        <v>29852.571221887054</v>
      </c>
      <c r="D41" s="5">
        <f t="shared" si="15"/>
        <v>28655.355239248544</v>
      </c>
      <c r="E41" s="5">
        <f t="shared" si="6"/>
        <v>19155.355239248544</v>
      </c>
      <c r="F41" s="5">
        <f t="shared" si="7"/>
        <v>6555.9734856146497</v>
      </c>
      <c r="G41" s="5">
        <f t="shared" si="8"/>
        <v>22099.381753633894</v>
      </c>
      <c r="H41" s="22">
        <f t="shared" si="16"/>
        <v>13731.798991266542</v>
      </c>
      <c r="I41" s="5">
        <f t="shared" si="17"/>
        <v>34677.709629634046</v>
      </c>
      <c r="J41" s="26">
        <f t="shared" si="18"/>
        <v>0.13139133548891682</v>
      </c>
      <c r="L41" s="22">
        <f t="shared" si="19"/>
        <v>49366.606502313807</v>
      </c>
      <c r="M41" s="5">
        <f>scrimecost*Meta!O38</f>
        <v>203.679</v>
      </c>
      <c r="N41" s="5">
        <f>L41-Grade8!L41</f>
        <v>685.99738241758314</v>
      </c>
      <c r="O41" s="5">
        <f>Grade8!M41-M41</f>
        <v>4.3920000000000243</v>
      </c>
      <c r="P41" s="22">
        <f t="shared" si="22"/>
        <v>130.40344356894869</v>
      </c>
      <c r="S41" s="22">
        <f t="shared" si="20"/>
        <v>486.48930370368845</v>
      </c>
      <c r="T41" s="22">
        <f t="shared" si="21"/>
        <v>705.39793849943283</v>
      </c>
    </row>
    <row r="42" spans="1:20" x14ac:dyDescent="0.2">
      <c r="A42" s="5">
        <v>51</v>
      </c>
      <c r="B42" s="1">
        <f t="shared" si="13"/>
        <v>2.4325353157178964</v>
      </c>
      <c r="C42" s="5">
        <f t="shared" si="14"/>
        <v>30598.885502434234</v>
      </c>
      <c r="D42" s="5">
        <f t="shared" si="15"/>
        <v>29338.97912022976</v>
      </c>
      <c r="E42" s="5">
        <f t="shared" si="6"/>
        <v>19838.97912022976</v>
      </c>
      <c r="F42" s="5">
        <f t="shared" si="7"/>
        <v>6779.1766827550164</v>
      </c>
      <c r="G42" s="5">
        <f t="shared" si="8"/>
        <v>22559.802437474744</v>
      </c>
      <c r="H42" s="22">
        <f t="shared" si="16"/>
        <v>14075.093966048207</v>
      </c>
      <c r="I42" s="5">
        <f t="shared" si="17"/>
        <v>35452.588510374902</v>
      </c>
      <c r="J42" s="26">
        <f t="shared" si="18"/>
        <v>0.13364111038194645</v>
      </c>
      <c r="L42" s="22">
        <f t="shared" si="19"/>
        <v>50600.771664871652</v>
      </c>
      <c r="M42" s="5">
        <f>scrimecost*Meta!O39</f>
        <v>203.679</v>
      </c>
      <c r="N42" s="5">
        <f>L42-Grade8!L42</f>
        <v>703.14731697802927</v>
      </c>
      <c r="O42" s="5">
        <f>Grade8!M42-M42</f>
        <v>4.3920000000000243</v>
      </c>
      <c r="P42" s="22">
        <f t="shared" si="22"/>
        <v>133.16343311476794</v>
      </c>
      <c r="S42" s="22">
        <f t="shared" si="20"/>
        <v>498.07213458004986</v>
      </c>
      <c r="T42" s="22">
        <f t="shared" si="21"/>
        <v>729.68493878298477</v>
      </c>
    </row>
    <row r="43" spans="1:20" x14ac:dyDescent="0.2">
      <c r="A43" s="5">
        <v>52</v>
      </c>
      <c r="B43" s="1">
        <f t="shared" si="13"/>
        <v>2.4933486986108435</v>
      </c>
      <c r="C43" s="5">
        <f t="shared" si="14"/>
        <v>31363.857639995083</v>
      </c>
      <c r="D43" s="5">
        <f t="shared" si="15"/>
        <v>30039.693598235499</v>
      </c>
      <c r="E43" s="5">
        <f t="shared" si="6"/>
        <v>20539.693598235499</v>
      </c>
      <c r="F43" s="5">
        <f t="shared" si="7"/>
        <v>7007.959959823891</v>
      </c>
      <c r="G43" s="5">
        <f t="shared" si="8"/>
        <v>23031.733638411606</v>
      </c>
      <c r="H43" s="22">
        <f t="shared" si="16"/>
        <v>14426.971315199411</v>
      </c>
      <c r="I43" s="5">
        <f t="shared" si="17"/>
        <v>36246.83936313427</v>
      </c>
      <c r="J43" s="26">
        <f t="shared" si="18"/>
        <v>0.13583601271660953</v>
      </c>
      <c r="L43" s="22">
        <f t="shared" si="19"/>
        <v>51865.790956493445</v>
      </c>
      <c r="M43" s="5">
        <f>scrimecost*Meta!O40</f>
        <v>203.679</v>
      </c>
      <c r="N43" s="5">
        <f>L43-Grade8!L43</f>
        <v>720.72599990249728</v>
      </c>
      <c r="O43" s="5">
        <f>Grade8!M43-M43</f>
        <v>4.3920000000000243</v>
      </c>
      <c r="P43" s="22">
        <f t="shared" si="22"/>
        <v>135.99242239923268</v>
      </c>
      <c r="S43" s="22">
        <f t="shared" si="20"/>
        <v>509.94453622832594</v>
      </c>
      <c r="T43" s="22">
        <f t="shared" si="21"/>
        <v>754.82856519483516</v>
      </c>
    </row>
    <row r="44" spans="1:20" x14ac:dyDescent="0.2">
      <c r="A44" s="5">
        <v>53</v>
      </c>
      <c r="B44" s="1">
        <f t="shared" si="13"/>
        <v>2.555682416076114</v>
      </c>
      <c r="C44" s="5">
        <f t="shared" si="14"/>
        <v>32147.954080994958</v>
      </c>
      <c r="D44" s="5">
        <f t="shared" si="15"/>
        <v>30757.925938191383</v>
      </c>
      <c r="E44" s="5">
        <f t="shared" si="6"/>
        <v>21257.925938191383</v>
      </c>
      <c r="F44" s="5">
        <f t="shared" si="7"/>
        <v>7242.4628188194865</v>
      </c>
      <c r="G44" s="5">
        <f t="shared" si="8"/>
        <v>23515.463119371896</v>
      </c>
      <c r="H44" s="22">
        <f t="shared" si="16"/>
        <v>14787.645598079393</v>
      </c>
      <c r="I44" s="5">
        <f t="shared" si="17"/>
        <v>37060.946487212619</v>
      </c>
      <c r="J44" s="26">
        <f t="shared" si="18"/>
        <v>0.13797738084798802</v>
      </c>
      <c r="L44" s="22">
        <f t="shared" si="19"/>
        <v>53162.435730405763</v>
      </c>
      <c r="M44" s="5">
        <f>scrimecost*Meta!O41</f>
        <v>203.679</v>
      </c>
      <c r="N44" s="5">
        <f>L44-Grade8!L44</f>
        <v>738.74414990003424</v>
      </c>
      <c r="O44" s="5">
        <f>Grade8!M44-M44</f>
        <v>4.3920000000000243</v>
      </c>
      <c r="P44" s="22">
        <f t="shared" si="22"/>
        <v>138.89213641580895</v>
      </c>
      <c r="S44" s="22">
        <f t="shared" si="20"/>
        <v>522.11374791778644</v>
      </c>
      <c r="T44" s="22">
        <f t="shared" si="21"/>
        <v>780.8592510122528</v>
      </c>
    </row>
    <row r="45" spans="1:20" x14ac:dyDescent="0.2">
      <c r="A45" s="5">
        <v>54</v>
      </c>
      <c r="B45" s="1">
        <f t="shared" si="13"/>
        <v>2.6195744764780171</v>
      </c>
      <c r="C45" s="5">
        <f t="shared" si="14"/>
        <v>32951.652933019832</v>
      </c>
      <c r="D45" s="5">
        <f t="shared" si="15"/>
        <v>31494.114086646168</v>
      </c>
      <c r="E45" s="5">
        <f t="shared" si="6"/>
        <v>21994.114086646168</v>
      </c>
      <c r="F45" s="5">
        <f t="shared" si="7"/>
        <v>7482.8282492899743</v>
      </c>
      <c r="G45" s="5">
        <f t="shared" si="8"/>
        <v>24011.285837356194</v>
      </c>
      <c r="H45" s="22">
        <f t="shared" si="16"/>
        <v>15157.336738031379</v>
      </c>
      <c r="I45" s="5">
        <f t="shared" si="17"/>
        <v>37895.406289392937</v>
      </c>
      <c r="J45" s="26">
        <f t="shared" si="18"/>
        <v>0.14006652048835744</v>
      </c>
      <c r="L45" s="22">
        <f t="shared" si="19"/>
        <v>54491.496623665917</v>
      </c>
      <c r="M45" s="5">
        <f>scrimecost*Meta!O42</f>
        <v>203.679</v>
      </c>
      <c r="N45" s="5">
        <f>L45-Grade8!L45</f>
        <v>757.21275364755274</v>
      </c>
      <c r="O45" s="5">
        <f>Grade8!M45-M45</f>
        <v>4.3920000000000243</v>
      </c>
      <c r="P45" s="22">
        <f t="shared" si="22"/>
        <v>141.86434328279975</v>
      </c>
      <c r="S45" s="22">
        <f t="shared" si="20"/>
        <v>534.58718989950603</v>
      </c>
      <c r="T45" s="22">
        <f t="shared" si="21"/>
        <v>807.808513010669</v>
      </c>
    </row>
    <row r="46" spans="1:20" x14ac:dyDescent="0.2">
      <c r="A46" s="5">
        <v>55</v>
      </c>
      <c r="B46" s="1">
        <f t="shared" si="13"/>
        <v>2.6850638383899672</v>
      </c>
      <c r="C46" s="5">
        <f t="shared" si="14"/>
        <v>33775.444256345327</v>
      </c>
      <c r="D46" s="5">
        <f t="shared" si="15"/>
        <v>32248.706938812324</v>
      </c>
      <c r="E46" s="5">
        <f t="shared" si="6"/>
        <v>22748.706938812324</v>
      </c>
      <c r="F46" s="5">
        <f t="shared" si="7"/>
        <v>7729.2028155222233</v>
      </c>
      <c r="G46" s="5">
        <f t="shared" si="8"/>
        <v>24519.504123290099</v>
      </c>
      <c r="H46" s="22">
        <f t="shared" si="16"/>
        <v>15536.270156482162</v>
      </c>
      <c r="I46" s="5">
        <f t="shared" si="17"/>
        <v>38750.727586627763</v>
      </c>
      <c r="J46" s="26">
        <f t="shared" si="18"/>
        <v>0.14210470550335191</v>
      </c>
      <c r="L46" s="22">
        <f t="shared" si="19"/>
        <v>55853.78403925756</v>
      </c>
      <c r="M46" s="5">
        <f>scrimecost*Meta!O43</f>
        <v>101.65400000000001</v>
      </c>
      <c r="N46" s="5">
        <f>L46-Grade8!L46</f>
        <v>776.14307248873229</v>
      </c>
      <c r="O46" s="5">
        <f>Grade8!M46-M46</f>
        <v>2.1919999999999931</v>
      </c>
      <c r="P46" s="22">
        <f t="shared" si="22"/>
        <v>144.91085532146525</v>
      </c>
      <c r="S46" s="22">
        <f t="shared" si="20"/>
        <v>545.28246793075459</v>
      </c>
      <c r="T46" s="22">
        <f t="shared" si="21"/>
        <v>832.51805173154662</v>
      </c>
    </row>
    <row r="47" spans="1:20" x14ac:dyDescent="0.2">
      <c r="A47" s="5">
        <v>56</v>
      </c>
      <c r="B47" s="1">
        <f t="shared" si="13"/>
        <v>2.7521904343497163</v>
      </c>
      <c r="C47" s="5">
        <f t="shared" si="14"/>
        <v>34619.830362753957</v>
      </c>
      <c r="D47" s="5">
        <f t="shared" si="15"/>
        <v>33022.164612282628</v>
      </c>
      <c r="E47" s="5">
        <f t="shared" si="6"/>
        <v>23522.164612282628</v>
      </c>
      <c r="F47" s="5">
        <f t="shared" si="7"/>
        <v>7981.7367459102779</v>
      </c>
      <c r="G47" s="5">
        <f t="shared" si="8"/>
        <v>25040.427866372349</v>
      </c>
      <c r="H47" s="22">
        <f t="shared" si="16"/>
        <v>15924.676910394215</v>
      </c>
      <c r="I47" s="5">
        <f t="shared" si="17"/>
        <v>39627.431916293448</v>
      </c>
      <c r="J47" s="26">
        <f t="shared" si="18"/>
        <v>0.14409317868871235</v>
      </c>
      <c r="L47" s="22">
        <f t="shared" si="19"/>
        <v>57250.128640238996</v>
      </c>
      <c r="M47" s="5">
        <f>scrimecost*Meta!O44</f>
        <v>101.65400000000001</v>
      </c>
      <c r="N47" s="5">
        <f>L47-Grade8!L47</f>
        <v>795.54664930095896</v>
      </c>
      <c r="O47" s="5">
        <f>Grade8!M47-M47</f>
        <v>2.1919999999999931</v>
      </c>
      <c r="P47" s="22">
        <f t="shared" si="22"/>
        <v>148.03353016109739</v>
      </c>
      <c r="S47" s="22">
        <f t="shared" si="20"/>
        <v>558.38737791279368</v>
      </c>
      <c r="T47" s="22">
        <f t="shared" si="21"/>
        <v>861.37044135570932</v>
      </c>
    </row>
    <row r="48" spans="1:20" x14ac:dyDescent="0.2">
      <c r="A48" s="5">
        <v>57</v>
      </c>
      <c r="B48" s="1">
        <f t="shared" si="13"/>
        <v>2.8209951952084591</v>
      </c>
      <c r="C48" s="5">
        <f t="shared" si="14"/>
        <v>35485.326121822807</v>
      </c>
      <c r="D48" s="5">
        <f t="shared" si="15"/>
        <v>33814.958727589692</v>
      </c>
      <c r="E48" s="5">
        <f t="shared" si="6"/>
        <v>24314.958727589692</v>
      </c>
      <c r="F48" s="5">
        <f t="shared" si="7"/>
        <v>8240.5840245580348</v>
      </c>
      <c r="G48" s="5">
        <f t="shared" si="8"/>
        <v>25574.374703031659</v>
      </c>
      <c r="H48" s="22">
        <f t="shared" si="16"/>
        <v>16322.79383315407</v>
      </c>
      <c r="I48" s="5">
        <f t="shared" si="17"/>
        <v>40526.053854200785</v>
      </c>
      <c r="J48" s="26">
        <f t="shared" si="18"/>
        <v>0.14603315252808843</v>
      </c>
      <c r="L48" s="22">
        <f t="shared" si="19"/>
        <v>58681.38185624496</v>
      </c>
      <c r="M48" s="5">
        <f>scrimecost*Meta!O45</f>
        <v>101.65400000000001</v>
      </c>
      <c r="N48" s="5">
        <f>L48-Grade8!L48</f>
        <v>815.43531553346838</v>
      </c>
      <c r="O48" s="5">
        <f>Grade8!M48-M48</f>
        <v>2.1919999999999931</v>
      </c>
      <c r="P48" s="22">
        <f t="shared" si="22"/>
        <v>151.23427187172035</v>
      </c>
      <c r="S48" s="22">
        <f t="shared" si="20"/>
        <v>571.8199106443717</v>
      </c>
      <c r="T48" s="22">
        <f t="shared" si="21"/>
        <v>891.24250796990157</v>
      </c>
    </row>
    <row r="49" spans="1:20" x14ac:dyDescent="0.2">
      <c r="A49" s="5">
        <v>58</v>
      </c>
      <c r="B49" s="1">
        <f t="shared" si="13"/>
        <v>2.8915200750886707</v>
      </c>
      <c r="C49" s="5">
        <f t="shared" si="14"/>
        <v>36372.459274868379</v>
      </c>
      <c r="D49" s="5">
        <f t="shared" si="15"/>
        <v>34627.57269577944</v>
      </c>
      <c r="E49" s="5">
        <f t="shared" si="6"/>
        <v>25127.57269577944</v>
      </c>
      <c r="F49" s="5">
        <f t="shared" si="7"/>
        <v>8505.9024851719878</v>
      </c>
      <c r="G49" s="5">
        <f t="shared" si="8"/>
        <v>26121.670210607452</v>
      </c>
      <c r="H49" s="22">
        <f t="shared" si="16"/>
        <v>16730.863678982922</v>
      </c>
      <c r="I49" s="5">
        <f t="shared" si="17"/>
        <v>41447.141340555812</v>
      </c>
      <c r="J49" s="26">
        <f t="shared" si="18"/>
        <v>0.14792580993235782</v>
      </c>
      <c r="L49" s="22">
        <f t="shared" si="19"/>
        <v>60148.416402651092</v>
      </c>
      <c r="M49" s="5">
        <f>scrimecost*Meta!O46</f>
        <v>101.65400000000001</v>
      </c>
      <c r="N49" s="5">
        <f>L49-Grade8!L49</f>
        <v>835.82119842182874</v>
      </c>
      <c r="O49" s="5">
        <f>Grade8!M49-M49</f>
        <v>2.1919999999999931</v>
      </c>
      <c r="P49" s="22">
        <f t="shared" si="22"/>
        <v>154.51503212510892</v>
      </c>
      <c r="S49" s="22">
        <f t="shared" si="20"/>
        <v>585.58825669425892</v>
      </c>
      <c r="T49" s="22">
        <f t="shared" si="21"/>
        <v>922.1704987695374</v>
      </c>
    </row>
    <row r="50" spans="1:20" x14ac:dyDescent="0.2">
      <c r="A50" s="5">
        <v>59</v>
      </c>
      <c r="B50" s="1">
        <f t="shared" si="13"/>
        <v>2.9638080769658868</v>
      </c>
      <c r="C50" s="5">
        <f t="shared" si="14"/>
        <v>37281.770756740079</v>
      </c>
      <c r="D50" s="5">
        <f t="shared" si="15"/>
        <v>35460.502013173915</v>
      </c>
      <c r="E50" s="5">
        <f t="shared" si="6"/>
        <v>25960.502013173915</v>
      </c>
      <c r="F50" s="5">
        <f t="shared" si="7"/>
        <v>8777.8539073012835</v>
      </c>
      <c r="G50" s="5">
        <f t="shared" si="8"/>
        <v>26682.648105872631</v>
      </c>
      <c r="H50" s="22">
        <f t="shared" si="16"/>
        <v>17149.135270957493</v>
      </c>
      <c r="I50" s="5">
        <f t="shared" si="17"/>
        <v>42391.256014069695</v>
      </c>
      <c r="J50" s="26">
        <f t="shared" si="18"/>
        <v>0.14977230496091321</v>
      </c>
      <c r="L50" s="22">
        <f t="shared" si="19"/>
        <v>61652.126812717353</v>
      </c>
      <c r="M50" s="5">
        <f>scrimecost*Meta!O47</f>
        <v>101.65400000000001</v>
      </c>
      <c r="N50" s="5">
        <f>L50-Grade8!L50</f>
        <v>856.71672838235099</v>
      </c>
      <c r="O50" s="5">
        <f>Grade8!M50-M50</f>
        <v>2.1919999999999931</v>
      </c>
      <c r="P50" s="22">
        <f t="shared" si="22"/>
        <v>157.87781138483211</v>
      </c>
      <c r="S50" s="22">
        <f t="shared" si="20"/>
        <v>599.70081139536887</v>
      </c>
      <c r="T50" s="22">
        <f t="shared" si="21"/>
        <v>954.19195165832502</v>
      </c>
    </row>
    <row r="51" spans="1:20" x14ac:dyDescent="0.2">
      <c r="A51" s="5">
        <v>60</v>
      </c>
      <c r="B51" s="1">
        <f t="shared" si="13"/>
        <v>3.0379032788900342</v>
      </c>
      <c r="C51" s="5">
        <f t="shared" si="14"/>
        <v>38213.81502565858</v>
      </c>
      <c r="D51" s="5">
        <f t="shared" si="15"/>
        <v>36314.254563503258</v>
      </c>
      <c r="E51" s="5">
        <f t="shared" si="6"/>
        <v>26814.254563503258</v>
      </c>
      <c r="F51" s="5">
        <f t="shared" si="7"/>
        <v>9056.6041149838129</v>
      </c>
      <c r="G51" s="5">
        <f t="shared" si="8"/>
        <v>27257.650448519445</v>
      </c>
      <c r="H51" s="22">
        <f t="shared" si="16"/>
        <v>17577.86365273143</v>
      </c>
      <c r="I51" s="5">
        <f t="shared" si="17"/>
        <v>43358.973554421435</v>
      </c>
      <c r="J51" s="26">
        <f t="shared" si="18"/>
        <v>0.15157376352535751</v>
      </c>
      <c r="L51" s="22">
        <f t="shared" si="19"/>
        <v>63193.429983035297</v>
      </c>
      <c r="M51" s="5">
        <f>scrimecost*Meta!O48</f>
        <v>50.827000000000005</v>
      </c>
      <c r="N51" s="5">
        <f>L51-Grade8!L51</f>
        <v>878.13464659193414</v>
      </c>
      <c r="O51" s="5">
        <f>Grade8!M51-M51</f>
        <v>1.0959999999999965</v>
      </c>
      <c r="P51" s="22">
        <f t="shared" si="22"/>
        <v>161.32466012604843</v>
      </c>
      <c r="S51" s="22">
        <f t="shared" si="20"/>
        <v>613.12497996403158</v>
      </c>
      <c r="T51" s="22">
        <f t="shared" si="21"/>
        <v>985.67188744530404</v>
      </c>
    </row>
    <row r="52" spans="1:20" x14ac:dyDescent="0.2">
      <c r="A52" s="5">
        <v>61</v>
      </c>
      <c r="B52" s="1">
        <f t="shared" si="13"/>
        <v>3.1138508608622844</v>
      </c>
      <c r="C52" s="5">
        <f t="shared" si="14"/>
        <v>39169.16040130004</v>
      </c>
      <c r="D52" s="5">
        <f t="shared" si="15"/>
        <v>37189.350927590836</v>
      </c>
      <c r="E52" s="5">
        <f t="shared" si="6"/>
        <v>27689.350927590836</v>
      </c>
      <c r="F52" s="5">
        <f t="shared" si="7"/>
        <v>9342.3230778584075</v>
      </c>
      <c r="G52" s="5">
        <f t="shared" si="8"/>
        <v>27847.027849732429</v>
      </c>
      <c r="H52" s="22">
        <f t="shared" si="16"/>
        <v>18017.31024404971</v>
      </c>
      <c r="I52" s="5">
        <f t="shared" si="17"/>
        <v>44350.884033281967</v>
      </c>
      <c r="J52" s="26">
        <f t="shared" si="18"/>
        <v>0.15333128407603494</v>
      </c>
      <c r="L52" s="22">
        <f t="shared" si="19"/>
        <v>64773.265732611166</v>
      </c>
      <c r="M52" s="5">
        <f>scrimecost*Meta!O49</f>
        <v>50.827000000000005</v>
      </c>
      <c r="N52" s="5">
        <f>L52-Grade8!L52</f>
        <v>900.08801275670703</v>
      </c>
      <c r="O52" s="5">
        <f>Grade8!M52-M52</f>
        <v>1.0959999999999965</v>
      </c>
      <c r="P52" s="22">
        <f t="shared" si="22"/>
        <v>164.85768008579515</v>
      </c>
      <c r="S52" s="22">
        <f t="shared" si="20"/>
        <v>627.95198274688471</v>
      </c>
      <c r="T52" s="22">
        <f t="shared" si="21"/>
        <v>1019.9809077213316</v>
      </c>
    </row>
    <row r="53" spans="1:20" x14ac:dyDescent="0.2">
      <c r="A53" s="5">
        <v>62</v>
      </c>
      <c r="B53" s="1">
        <f t="shared" si="13"/>
        <v>3.1916971323838421</v>
      </c>
      <c r="C53" s="5">
        <f t="shared" si="14"/>
        <v>40148.389411332544</v>
      </c>
      <c r="D53" s="5">
        <f t="shared" si="15"/>
        <v>38086.324700780613</v>
      </c>
      <c r="E53" s="5">
        <f t="shared" si="6"/>
        <v>28586.324700780613</v>
      </c>
      <c r="F53" s="5">
        <f t="shared" si="7"/>
        <v>9635.1850148048707</v>
      </c>
      <c r="G53" s="5">
        <f t="shared" si="8"/>
        <v>28451.139685975744</v>
      </c>
      <c r="H53" s="22">
        <f t="shared" si="16"/>
        <v>18467.743000150957</v>
      </c>
      <c r="I53" s="5">
        <f t="shared" si="17"/>
        <v>45367.592274114024</v>
      </c>
      <c r="J53" s="26">
        <f t="shared" si="18"/>
        <v>0.15504593827181781</v>
      </c>
      <c r="L53" s="22">
        <f t="shared" si="19"/>
        <v>66392.59737592646</v>
      </c>
      <c r="M53" s="5">
        <f>scrimecost*Meta!O50</f>
        <v>50.827000000000005</v>
      </c>
      <c r="N53" s="5">
        <f>L53-Grade8!L53</f>
        <v>922.59021307564399</v>
      </c>
      <c r="O53" s="5">
        <f>Grade8!M53-M53</f>
        <v>1.0959999999999965</v>
      </c>
      <c r="P53" s="22">
        <f t="shared" si="22"/>
        <v>168.47902554453563</v>
      </c>
      <c r="S53" s="22">
        <f t="shared" si="20"/>
        <v>643.14966059933283</v>
      </c>
      <c r="T53" s="22">
        <f t="shared" si="21"/>
        <v>1055.5040359832549</v>
      </c>
    </row>
    <row r="54" spans="1:20" x14ac:dyDescent="0.2">
      <c r="A54" s="5">
        <v>63</v>
      </c>
      <c r="B54" s="1">
        <f t="shared" si="13"/>
        <v>3.2714895606934378</v>
      </c>
      <c r="C54" s="5">
        <f t="shared" si="14"/>
        <v>41152.099146615859</v>
      </c>
      <c r="D54" s="5">
        <f t="shared" si="15"/>
        <v>39005.722818300128</v>
      </c>
      <c r="E54" s="5">
        <f t="shared" si="6"/>
        <v>29505.722818300128</v>
      </c>
      <c r="F54" s="5">
        <f t="shared" si="7"/>
        <v>9935.3685001749909</v>
      </c>
      <c r="G54" s="5">
        <f t="shared" si="8"/>
        <v>29070.354318125137</v>
      </c>
      <c r="H54" s="22">
        <f t="shared" si="16"/>
        <v>18929.43657515473</v>
      </c>
      <c r="I54" s="5">
        <f t="shared" si="17"/>
        <v>46409.718220966868</v>
      </c>
      <c r="J54" s="26">
        <f t="shared" si="18"/>
        <v>0.15671877163355713</v>
      </c>
      <c r="L54" s="22">
        <f t="shared" si="19"/>
        <v>68052.412310324595</v>
      </c>
      <c r="M54" s="5">
        <f>scrimecost*Meta!O51</f>
        <v>50.827000000000005</v>
      </c>
      <c r="N54" s="5">
        <f>L54-Grade8!L54</f>
        <v>945.65496840250853</v>
      </c>
      <c r="O54" s="5">
        <f>Grade8!M54-M54</f>
        <v>1.0959999999999965</v>
      </c>
      <c r="P54" s="22">
        <f t="shared" si="22"/>
        <v>172.19090463974447</v>
      </c>
      <c r="S54" s="22">
        <f t="shared" si="20"/>
        <v>658.72728039806805</v>
      </c>
      <c r="T54" s="22">
        <f t="shared" si="21"/>
        <v>1092.2844476090413</v>
      </c>
    </row>
    <row r="55" spans="1:20" x14ac:dyDescent="0.2">
      <c r="A55" s="5">
        <v>64</v>
      </c>
      <c r="B55" s="1">
        <f t="shared" si="13"/>
        <v>3.3532767997107733</v>
      </c>
      <c r="C55" s="5">
        <f t="shared" si="14"/>
        <v>42180.901625281243</v>
      </c>
      <c r="D55" s="5">
        <f t="shared" si="15"/>
        <v>39948.105888757622</v>
      </c>
      <c r="E55" s="5">
        <f t="shared" si="6"/>
        <v>30448.105888757622</v>
      </c>
      <c r="F55" s="5">
        <f t="shared" si="7"/>
        <v>10243.056572679363</v>
      </c>
      <c r="G55" s="5">
        <f t="shared" si="8"/>
        <v>29705.049316078257</v>
      </c>
      <c r="H55" s="22">
        <f t="shared" si="16"/>
        <v>19402.672489533594</v>
      </c>
      <c r="I55" s="5">
        <f t="shared" si="17"/>
        <v>47477.897316491028</v>
      </c>
      <c r="J55" s="26">
        <f t="shared" si="18"/>
        <v>0.15835080418159553</v>
      </c>
      <c r="L55" s="22">
        <f t="shared" si="19"/>
        <v>69753.722618082713</v>
      </c>
      <c r="M55" s="5">
        <f>scrimecost*Meta!O52</f>
        <v>50.827000000000005</v>
      </c>
      <c r="N55" s="5">
        <f>L55-Grade8!L55</f>
        <v>969.29634261257888</v>
      </c>
      <c r="O55" s="5">
        <f>Grade8!M55-M55</f>
        <v>1.0959999999999965</v>
      </c>
      <c r="P55" s="22">
        <f t="shared" si="22"/>
        <v>175.99558071233363</v>
      </c>
      <c r="S55" s="22">
        <f t="shared" si="20"/>
        <v>674.69434069178942</v>
      </c>
      <c r="T55" s="22">
        <f t="shared" si="21"/>
        <v>1130.3668555601021</v>
      </c>
    </row>
    <row r="56" spans="1:20" x14ac:dyDescent="0.2">
      <c r="A56" s="5">
        <v>65</v>
      </c>
      <c r="B56" s="1">
        <f t="shared" si="13"/>
        <v>3.4371087197035428</v>
      </c>
      <c r="C56" s="5">
        <f t="shared" si="14"/>
        <v>43235.424165913282</v>
      </c>
      <c r="D56" s="5">
        <f t="shared" si="15"/>
        <v>40914.048535976566</v>
      </c>
      <c r="E56" s="5">
        <f t="shared" si="6"/>
        <v>31414.048535976566</v>
      </c>
      <c r="F56" s="5">
        <f t="shared" si="7"/>
        <v>10558.436846996348</v>
      </c>
      <c r="G56" s="5">
        <f t="shared" si="8"/>
        <v>30355.611688980218</v>
      </c>
      <c r="H56" s="22">
        <f t="shared" si="16"/>
        <v>19887.739301771937</v>
      </c>
      <c r="I56" s="5">
        <f t="shared" si="17"/>
        <v>48572.780889403308</v>
      </c>
      <c r="J56" s="26">
        <f t="shared" si="18"/>
        <v>0.15994303105773053</v>
      </c>
      <c r="L56" s="22">
        <f t="shared" si="19"/>
        <v>71497.565683534791</v>
      </c>
      <c r="M56" s="5">
        <f>scrimecost*Meta!O53</f>
        <v>14.097999999999999</v>
      </c>
      <c r="N56" s="5">
        <f>L56-Grade8!L56</f>
        <v>993.52875117790245</v>
      </c>
      <c r="O56" s="5">
        <f>Grade8!M56-M56</f>
        <v>0.30400000000000027</v>
      </c>
      <c r="P56" s="22">
        <f t="shared" si="22"/>
        <v>179.89537368673749</v>
      </c>
      <c r="S56" s="22">
        <f t="shared" si="20"/>
        <v>690.30817749285461</v>
      </c>
      <c r="T56" s="22">
        <f t="shared" si="21"/>
        <v>1168.523934864945</v>
      </c>
    </row>
    <row r="57" spans="1:20" x14ac:dyDescent="0.2">
      <c r="A57" s="5">
        <v>66</v>
      </c>
      <c r="C57" s="5"/>
      <c r="H57" s="21"/>
      <c r="I57" s="5"/>
      <c r="M57" s="5">
        <f>scrimecost*Meta!O54</f>
        <v>14.097999999999999</v>
      </c>
      <c r="N57" s="5">
        <f>L57-Grade8!L57</f>
        <v>0</v>
      </c>
      <c r="O57" s="5">
        <f>Grade8!M57-M57</f>
        <v>0.30400000000000027</v>
      </c>
      <c r="S57" s="22">
        <f t="shared" si="20"/>
        <v>0.28880000000000022</v>
      </c>
      <c r="T57" s="22">
        <f t="shared" si="21"/>
        <v>0.49393980981038549</v>
      </c>
    </row>
    <row r="58" spans="1:20" x14ac:dyDescent="0.2">
      <c r="A58" s="5">
        <v>67</v>
      </c>
      <c r="C58" s="5"/>
      <c r="H58" s="21"/>
      <c r="I58" s="5"/>
      <c r="M58" s="5">
        <f>scrimecost*Meta!O55</f>
        <v>14.097999999999999</v>
      </c>
      <c r="N58" s="5">
        <f>L58-Grade8!L58</f>
        <v>0</v>
      </c>
      <c r="O58" s="5">
        <f>Grade8!M58-M58</f>
        <v>0.30400000000000027</v>
      </c>
      <c r="S58" s="22">
        <f t="shared" si="20"/>
        <v>0.28880000000000022</v>
      </c>
      <c r="T58" s="22">
        <f t="shared" si="21"/>
        <v>0.49906403904675961</v>
      </c>
    </row>
    <row r="59" spans="1:20" x14ac:dyDescent="0.2">
      <c r="A59" s="5">
        <v>68</v>
      </c>
      <c r="H59" s="21"/>
      <c r="I59" s="5"/>
      <c r="M59" s="5">
        <f>scrimecost*Meta!O56</f>
        <v>14.097999999999999</v>
      </c>
      <c r="N59" s="5">
        <f>L59-Grade8!L59</f>
        <v>0</v>
      </c>
      <c r="O59" s="5">
        <f>Grade8!M59-M59</f>
        <v>0.30400000000000027</v>
      </c>
      <c r="S59" s="22">
        <f t="shared" si="20"/>
        <v>0.28880000000000022</v>
      </c>
      <c r="T59" s="22">
        <f t="shared" si="21"/>
        <v>0.50424142805026617</v>
      </c>
    </row>
    <row r="60" spans="1:20" x14ac:dyDescent="0.2">
      <c r="A60" s="5">
        <v>69</v>
      </c>
      <c r="H60" s="21"/>
      <c r="I60" s="5"/>
      <c r="M60" s="5">
        <f>scrimecost*Meta!O57</f>
        <v>14.097999999999999</v>
      </c>
      <c r="N60" s="5">
        <f>L60-Grade8!L60</f>
        <v>0</v>
      </c>
      <c r="O60" s="5">
        <f>Grade8!M60-M60</f>
        <v>0.30400000000000027</v>
      </c>
      <c r="S60" s="22">
        <f t="shared" si="20"/>
        <v>0.28880000000000022</v>
      </c>
      <c r="T60" s="22">
        <f t="shared" si="21"/>
        <v>0.50947252831083856</v>
      </c>
    </row>
    <row r="61" spans="1:20" x14ac:dyDescent="0.2">
      <c r="A61" s="5">
        <v>70</v>
      </c>
      <c r="H61" s="21"/>
      <c r="I61" s="5"/>
      <c r="M61" s="5">
        <f>scrimecost*Meta!O58</f>
        <v>14.097999999999999</v>
      </c>
      <c r="N61" s="5">
        <f>L61-Grade8!L61</f>
        <v>0</v>
      </c>
      <c r="O61" s="5">
        <f>Grade8!M61-M61</f>
        <v>0.30400000000000027</v>
      </c>
      <c r="S61" s="22">
        <f t="shared" si="20"/>
        <v>0.28880000000000022</v>
      </c>
      <c r="T61" s="22">
        <f t="shared" si="21"/>
        <v>0.51475789703967634</v>
      </c>
    </row>
    <row r="62" spans="1:20" x14ac:dyDescent="0.2">
      <c r="A62" s="5">
        <v>71</v>
      </c>
      <c r="H62" s="21"/>
      <c r="I62" s="5"/>
      <c r="M62" s="5">
        <f>scrimecost*Meta!O59</f>
        <v>14.097999999999999</v>
      </c>
      <c r="N62" s="5">
        <f>L62-Grade8!L62</f>
        <v>0</v>
      </c>
      <c r="O62" s="5">
        <f>Grade8!M62-M62</f>
        <v>0.30400000000000027</v>
      </c>
      <c r="S62" s="22">
        <f t="shared" si="20"/>
        <v>0.28880000000000022</v>
      </c>
      <c r="T62" s="22">
        <f t="shared" si="21"/>
        <v>0.52009809722859757</v>
      </c>
    </row>
    <row r="63" spans="1:20" x14ac:dyDescent="0.2">
      <c r="A63" s="5">
        <v>72</v>
      </c>
      <c r="H63" s="21"/>
      <c r="M63" s="5">
        <f>scrimecost*Meta!O60</f>
        <v>14.097999999999999</v>
      </c>
      <c r="N63" s="5">
        <f>L63-Grade8!L63</f>
        <v>0</v>
      </c>
      <c r="O63" s="5">
        <f>Grade8!M63-M63</f>
        <v>0.30400000000000027</v>
      </c>
      <c r="S63" s="22">
        <f t="shared" si="20"/>
        <v>0.28880000000000022</v>
      </c>
      <c r="T63" s="22">
        <f t="shared" si="21"/>
        <v>0.52549369771000942</v>
      </c>
    </row>
    <row r="64" spans="1:20" x14ac:dyDescent="0.2">
      <c r="A64" s="5">
        <v>73</v>
      </c>
      <c r="H64" s="21"/>
      <c r="M64" s="5">
        <f>scrimecost*Meta!O61</f>
        <v>14.097999999999999</v>
      </c>
      <c r="N64" s="5">
        <f>L64-Grade8!L64</f>
        <v>0</v>
      </c>
      <c r="O64" s="5">
        <f>Grade8!M64-M64</f>
        <v>0.30400000000000027</v>
      </c>
      <c r="S64" s="22">
        <f t="shared" si="20"/>
        <v>0.28880000000000022</v>
      </c>
      <c r="T64" s="22">
        <f t="shared" si="21"/>
        <v>0.53094527321749807</v>
      </c>
    </row>
    <row r="65" spans="1:20" x14ac:dyDescent="0.2">
      <c r="A65" s="5">
        <v>74</v>
      </c>
      <c r="H65" s="21"/>
      <c r="M65" s="5">
        <f>scrimecost*Meta!O62</f>
        <v>14.097999999999999</v>
      </c>
      <c r="N65" s="5">
        <f>L65-Grade8!L65</f>
        <v>0</v>
      </c>
      <c r="O65" s="5">
        <f>Grade8!M65-M65</f>
        <v>0.30400000000000027</v>
      </c>
      <c r="S65" s="22">
        <f t="shared" si="20"/>
        <v>0.28880000000000022</v>
      </c>
      <c r="T65" s="22">
        <f t="shared" si="21"/>
        <v>0.53645340444705047</v>
      </c>
    </row>
    <row r="66" spans="1:20" x14ac:dyDescent="0.2">
      <c r="A66" s="5">
        <v>75</v>
      </c>
      <c r="H66" s="21"/>
      <c r="M66" s="5">
        <f>scrimecost*Meta!O63</f>
        <v>14.097999999999999</v>
      </c>
      <c r="N66" s="5">
        <f>L66-Grade8!L66</f>
        <v>0</v>
      </c>
      <c r="O66" s="5">
        <f>Grade8!M66-M66</f>
        <v>0.30400000000000027</v>
      </c>
      <c r="S66" s="22">
        <f t="shared" si="20"/>
        <v>0.28880000000000022</v>
      </c>
      <c r="T66" s="22">
        <f t="shared" si="21"/>
        <v>0.54201867811890803</v>
      </c>
    </row>
    <row r="67" spans="1:20" x14ac:dyDescent="0.2">
      <c r="A67" s="5">
        <v>76</v>
      </c>
      <c r="H67" s="21"/>
      <c r="M67" s="5">
        <f>scrimecost*Meta!O64</f>
        <v>14.097999999999999</v>
      </c>
      <c r="N67" s="5">
        <f>L67-Grade8!L67</f>
        <v>0</v>
      </c>
      <c r="O67" s="5">
        <f>Grade8!M67-M67</f>
        <v>0.30400000000000027</v>
      </c>
      <c r="S67" s="22">
        <f t="shared" si="20"/>
        <v>0.28880000000000022</v>
      </c>
      <c r="T67" s="22">
        <f t="shared" si="21"/>
        <v>0.54764168704006377</v>
      </c>
    </row>
    <row r="68" spans="1:20" x14ac:dyDescent="0.2">
      <c r="A68" s="5">
        <v>77</v>
      </c>
      <c r="H68" s="21"/>
      <c r="M68" s="5">
        <f>scrimecost*Meta!O65</f>
        <v>14.097999999999999</v>
      </c>
      <c r="N68" s="5">
        <f>L68-Grade8!L68</f>
        <v>0</v>
      </c>
      <c r="O68" s="5">
        <f>Grade8!M68-M68</f>
        <v>0.30400000000000027</v>
      </c>
      <c r="S68" s="22">
        <f t="shared" si="20"/>
        <v>0.28880000000000022</v>
      </c>
      <c r="T68" s="22">
        <f t="shared" si="21"/>
        <v>0.55332303016740803</v>
      </c>
    </row>
    <row r="69" spans="1:20" x14ac:dyDescent="0.2">
      <c r="A69" s="5">
        <v>78</v>
      </c>
      <c r="H69" s="21"/>
      <c r="M69" s="5">
        <f>scrimecost*Meta!O66</f>
        <v>14.097999999999999</v>
      </c>
      <c r="N69" s="5">
        <f>L69-Grade8!L69</f>
        <v>0</v>
      </c>
      <c r="O69" s="5">
        <f>Grade8!M69-M69</f>
        <v>0.30400000000000027</v>
      </c>
      <c r="S69" s="22">
        <f>IF(A69&lt;startage,1,0)*(N69-Q69-R69)+IF(A69&gt;=startage,1,0)*completionprob*(N69*spart+O69+P69)</f>
        <v>0.28880000000000022</v>
      </c>
      <c r="T69" s="22">
        <f>S69/sreturn^(A69-startage+1)</f>
        <v>0.55906331267152809</v>
      </c>
    </row>
    <row r="70" spans="1:20" x14ac:dyDescent="0.2">
      <c r="A70" s="5">
        <v>79</v>
      </c>
      <c r="H70" s="21"/>
      <c r="M70" s="5"/>
      <c r="S70" s="22">
        <f>SUM(T5:T69)</f>
        <v>2.3079617106347428E-9</v>
      </c>
    </row>
    <row r="71" spans="1:20" x14ac:dyDescent="0.2">
      <c r="A71" s="5">
        <v>80</v>
      </c>
      <c r="H71" s="21"/>
      <c r="M71" s="5"/>
    </row>
    <row r="72" spans="1:20" x14ac:dyDescent="0.2">
      <c r="A72" s="5">
        <v>81</v>
      </c>
      <c r="H72" s="21"/>
      <c r="M72" s="5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S6" sqref="S6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Meta!A4+6</f>
        <v>16</v>
      </c>
      <c r="C2" s="7">
        <f>Meta!B4</f>
        <v>26159</v>
      </c>
      <c r="D2" s="7">
        <f>Meta!C4</f>
        <v>12033</v>
      </c>
      <c r="E2" s="1">
        <f>Meta!D4</f>
        <v>7.9000000000000001E-2</v>
      </c>
      <c r="F2" s="1">
        <f>Meta!F4</f>
        <v>0.48899999999999999</v>
      </c>
      <c r="G2" s="1">
        <f>Meta!I4</f>
        <v>1.9496869757628374</v>
      </c>
      <c r="H2" s="1">
        <f>Meta!E4</f>
        <v>0.95</v>
      </c>
      <c r="I2" s="13"/>
      <c r="J2" s="1">
        <f>Meta!X3</f>
        <v>0.55000000000000004</v>
      </c>
      <c r="K2" s="1">
        <f>Meta!D3</f>
        <v>8.4000000000000005E-2</v>
      </c>
      <c r="L2" s="29"/>
      <c r="N2" s="22">
        <f>Meta!T4</f>
        <v>30815</v>
      </c>
      <c r="O2" s="22">
        <f>Meta!U4</f>
        <v>14175</v>
      </c>
      <c r="P2" s="1">
        <f>Meta!V4</f>
        <v>6.2E-2</v>
      </c>
      <c r="Q2" s="1">
        <f>Meta!X4</f>
        <v>0.56000000000000005</v>
      </c>
      <c r="R2" s="22">
        <f>Meta!W4</f>
        <v>364</v>
      </c>
      <c r="T2" s="12">
        <f>IRR(S5:S69)+1</f>
        <v>0.99092993235447402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B6" s="1">
        <v>1</v>
      </c>
      <c r="C6" s="5">
        <f>0.1*Grade9!C6</f>
        <v>1257.9009770061164</v>
      </c>
      <c r="D6" s="5">
        <f t="shared" ref="D6:D36" si="0">IF(A6&lt;startage,1,0)*(C6*(1-initialunempprob))+IF(A6=startage,1,0)*(C6*(1-unempprob))+IF(A6&gt;startage,1,0)*(C6*(1-unempprob)+unempprob*300*52)</f>
        <v>1152.2372949376027</v>
      </c>
      <c r="E6" s="5">
        <f t="shared" ref="E6:E56" si="1">IF(D6-9500&gt;0,1,0)*(D6-9500)</f>
        <v>0</v>
      </c>
      <c r="F6" s="5">
        <f t="shared" ref="F6:F56" si="2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88.146153062726597</v>
      </c>
      <c r="G6" s="5">
        <f t="shared" ref="G6:G56" si="3">D6-F6</f>
        <v>1064.091141874876</v>
      </c>
      <c r="H6" s="22">
        <f>0.1*Grade9!H6</f>
        <v>578.61827843162598</v>
      </c>
      <c r="I6" s="5">
        <f t="shared" ref="I6:I36" si="4">G6+IF(A6&lt;startage,1,0)*(H6*(1-initialunempprob))+IF(A6&gt;=startage,1,0)*(H6*(1-unempprob))</f>
        <v>1594.1054849182456</v>
      </c>
      <c r="J6" s="26">
        <f t="shared" ref="J6:J37" si="5">(F6-(IF(A6&gt;startage,1,0)*(unempprob*300*52)))/(IF(A6&lt;startage,1,0)*((C6+H6)*(1-initialunempprob))+IF(A6&gt;=startage,1,0)*((C6+H6)*(1-unempprob)))</f>
        <v>5.2397721644378406E-2</v>
      </c>
      <c r="L6" s="22">
        <f>0.1*Grade9!L6</f>
        <v>2080.1659625623247</v>
      </c>
      <c r="M6" s="5">
        <f>scrimecost*Meta!O3</f>
        <v>790.60800000000006</v>
      </c>
      <c r="N6" s="5">
        <f>L6-Grade9!L6</f>
        <v>-18721.493663060919</v>
      </c>
      <c r="O6" s="5"/>
      <c r="P6" s="22"/>
      <c r="Q6" s="22">
        <f>0.05*feel*Grade9!G6</f>
        <v>143.31011560422979</v>
      </c>
      <c r="R6" s="22">
        <f>hstuition</f>
        <v>11298</v>
      </c>
      <c r="S6" s="22">
        <f t="shared" ref="S6:S37" si="6">IF(A6&lt;startage,1,0)*(N6-Q6-R6)+IF(A6&gt;=startage,1,0)*completionprob*(N6*spart+O6+P6)</f>
        <v>-30162.803778665148</v>
      </c>
      <c r="T6" s="22">
        <f t="shared" ref="T6:T37" si="7">S6/sreturn^(A6-startage+1)</f>
        <v>-30162.803778665148</v>
      </c>
    </row>
    <row r="7" spans="1:20" x14ac:dyDescent="0.2">
      <c r="A7" s="5">
        <v>16</v>
      </c>
      <c r="B7" s="1">
        <f t="shared" ref="B7:B36" si="8">(1+experiencepremium)^(A7-startage)</f>
        <v>1</v>
      </c>
      <c r="C7" s="5">
        <f t="shared" ref="C7:C36" si="9">pretaxincome*B7/expnorm</f>
        <v>13417.025566252752</v>
      </c>
      <c r="D7" s="5">
        <f t="shared" si="0"/>
        <v>12357.080546518786</v>
      </c>
      <c r="E7" s="5">
        <f t="shared" si="1"/>
        <v>2857.0805465187859</v>
      </c>
      <c r="F7" s="5">
        <f t="shared" si="2"/>
        <v>1516.7327711124444</v>
      </c>
      <c r="G7" s="5">
        <f t="shared" si="3"/>
        <v>10840.347775406342</v>
      </c>
      <c r="H7" s="22">
        <f t="shared" ref="H7:H36" si="10">benefits*B7/expnorm</f>
        <v>6171.759954077731</v>
      </c>
      <c r="I7" s="5">
        <f t="shared" si="4"/>
        <v>16524.538693111932</v>
      </c>
      <c r="J7" s="26">
        <f t="shared" si="5"/>
        <v>8.4070170670626373E-2</v>
      </c>
      <c r="L7" s="22">
        <f t="shared" ref="L7:L36" si="11">(sincome+sbenefits)*(1-sunemp)*B7/expnorm</f>
        <v>21644.818129581297</v>
      </c>
      <c r="M7" s="5">
        <f>scrimecost*Meta!O4</f>
        <v>958.41200000000003</v>
      </c>
      <c r="N7" s="5">
        <f>L7-Grade9!L7</f>
        <v>323.11701331747463</v>
      </c>
      <c r="O7" s="5">
        <f>Grade9!M7-M7</f>
        <v>18.430999999999926</v>
      </c>
      <c r="P7" s="22">
        <f t="shared" ref="P7:P38" si="12">(spart-initialspart)*(L7*J7+nptrans)</f>
        <v>83.736835542885743</v>
      </c>
      <c r="Q7" s="22"/>
      <c r="R7" s="22"/>
      <c r="S7" s="22">
        <f t="shared" si="6"/>
        <v>268.95769485063789</v>
      </c>
      <c r="T7" s="22">
        <f t="shared" si="7"/>
        <v>271.41948796681089</v>
      </c>
    </row>
    <row r="8" spans="1:20" x14ac:dyDescent="0.2">
      <c r="A8" s="5">
        <v>17</v>
      </c>
      <c r="B8" s="1">
        <f t="shared" si="8"/>
        <v>1.0249999999999999</v>
      </c>
      <c r="C8" s="5">
        <f t="shared" si="9"/>
        <v>13752.45120540907</v>
      </c>
      <c r="D8" s="5">
        <f t="shared" si="0"/>
        <v>13898.407560181753</v>
      </c>
      <c r="E8" s="5">
        <f t="shared" si="1"/>
        <v>4398.4075601817531</v>
      </c>
      <c r="F8" s="5">
        <f t="shared" si="2"/>
        <v>1942.9096903902546</v>
      </c>
      <c r="G8" s="5">
        <f t="shared" si="3"/>
        <v>11955.497869791499</v>
      </c>
      <c r="H8" s="22">
        <f t="shared" si="10"/>
        <v>6326.0539529296739</v>
      </c>
      <c r="I8" s="5">
        <f t="shared" si="4"/>
        <v>17781.793560439728</v>
      </c>
      <c r="J8" s="26">
        <f t="shared" si="5"/>
        <v>3.8421914282546994E-2</v>
      </c>
      <c r="L8" s="22">
        <f t="shared" si="11"/>
        <v>22185.938582820825</v>
      </c>
      <c r="M8" s="5">
        <f>scrimecost*Meta!O5</f>
        <v>1052.6879999999999</v>
      </c>
      <c r="N8" s="5">
        <f>L8-Grade9!L8</f>
        <v>331.19493865040931</v>
      </c>
      <c r="O8" s="5">
        <f>Grade9!M8-M8</f>
        <v>20.244000000000142</v>
      </c>
      <c r="P8" s="22">
        <f t="shared" si="12"/>
        <v>74.064262305070002</v>
      </c>
      <c r="Q8" s="22"/>
      <c r="R8" s="22"/>
      <c r="S8" s="22">
        <f t="shared" si="6"/>
        <v>265.7885565518344</v>
      </c>
      <c r="T8" s="22">
        <f t="shared" si="7"/>
        <v>270.67639548731597</v>
      </c>
    </row>
    <row r="9" spans="1:20" x14ac:dyDescent="0.2">
      <c r="A9" s="5">
        <v>18</v>
      </c>
      <c r="B9" s="1">
        <f t="shared" si="8"/>
        <v>1.0506249999999999</v>
      </c>
      <c r="C9" s="5">
        <f t="shared" si="9"/>
        <v>14096.262485544297</v>
      </c>
      <c r="D9" s="5">
        <f t="shared" si="0"/>
        <v>14215.057749186299</v>
      </c>
      <c r="E9" s="5">
        <f t="shared" si="1"/>
        <v>4715.0577491862987</v>
      </c>
      <c r="F9" s="5">
        <f t="shared" si="2"/>
        <v>2030.4634676500116</v>
      </c>
      <c r="G9" s="5">
        <f t="shared" si="3"/>
        <v>12184.594281536287</v>
      </c>
      <c r="H9" s="22">
        <f t="shared" si="10"/>
        <v>6484.2053017529151</v>
      </c>
      <c r="I9" s="5">
        <f t="shared" si="4"/>
        <v>18156.547364450722</v>
      </c>
      <c r="J9" s="26">
        <f t="shared" si="5"/>
        <v>4.2103922613828865E-2</v>
      </c>
      <c r="L9" s="22">
        <f t="shared" si="11"/>
        <v>22740.587047391349</v>
      </c>
      <c r="M9" s="5">
        <f>scrimecost*Meta!O6</f>
        <v>1231.412</v>
      </c>
      <c r="N9" s="5">
        <f>L9-Grade9!L9</f>
        <v>339.47481211667036</v>
      </c>
      <c r="O9" s="5">
        <f>Grade9!M9-M9</f>
        <v>23.68100000000004</v>
      </c>
      <c r="P9" s="22">
        <f t="shared" si="12"/>
        <v>75.11467917236412</v>
      </c>
      <c r="Q9" s="22"/>
      <c r="R9" s="22"/>
      <c r="S9" s="22">
        <f t="shared" si="6"/>
        <v>274.45649525981457</v>
      </c>
      <c r="T9" s="22">
        <f t="shared" si="7"/>
        <v>282.06205913316069</v>
      </c>
    </row>
    <row r="10" spans="1:20" x14ac:dyDescent="0.2">
      <c r="A10" s="5">
        <v>19</v>
      </c>
      <c r="B10" s="1">
        <f t="shared" si="8"/>
        <v>1.0768906249999999</v>
      </c>
      <c r="C10" s="5">
        <f t="shared" si="9"/>
        <v>14448.669047682903</v>
      </c>
      <c r="D10" s="5">
        <f t="shared" si="0"/>
        <v>14539.624192915953</v>
      </c>
      <c r="E10" s="5">
        <f t="shared" si="1"/>
        <v>5039.6241929159532</v>
      </c>
      <c r="F10" s="5">
        <f t="shared" si="2"/>
        <v>2120.2060893412608</v>
      </c>
      <c r="G10" s="5">
        <f t="shared" si="3"/>
        <v>12419.418103574691</v>
      </c>
      <c r="H10" s="22">
        <f t="shared" si="10"/>
        <v>6646.3104342967381</v>
      </c>
      <c r="I10" s="5">
        <f t="shared" si="4"/>
        <v>18540.670013561987</v>
      </c>
      <c r="J10" s="26">
        <f t="shared" si="5"/>
        <v>4.5696125863859891E-2</v>
      </c>
      <c r="L10" s="22">
        <f t="shared" si="11"/>
        <v>23309.101723576132</v>
      </c>
      <c r="M10" s="5">
        <f>scrimecost*Meta!O7</f>
        <v>1325.3240000000001</v>
      </c>
      <c r="N10" s="5">
        <f>L10-Grade9!L10</f>
        <v>347.96168241958731</v>
      </c>
      <c r="O10" s="5">
        <f>Grade9!M10-M10</f>
        <v>25.486999999999853</v>
      </c>
      <c r="P10" s="22">
        <f t="shared" si="12"/>
        <v>76.191356461340547</v>
      </c>
      <c r="Q10" s="22"/>
      <c r="R10" s="22"/>
      <c r="S10" s="22">
        <f t="shared" si="6"/>
        <v>281.71005368549385</v>
      </c>
      <c r="T10" s="22">
        <f t="shared" si="7"/>
        <v>292.16659433184225</v>
      </c>
    </row>
    <row r="11" spans="1:20" x14ac:dyDescent="0.2">
      <c r="A11" s="5">
        <v>20</v>
      </c>
      <c r="B11" s="1">
        <f t="shared" si="8"/>
        <v>1.1038128906249998</v>
      </c>
      <c r="C11" s="5">
        <f t="shared" si="9"/>
        <v>14809.885773874974</v>
      </c>
      <c r="D11" s="5">
        <f t="shared" si="0"/>
        <v>14872.304797738851</v>
      </c>
      <c r="E11" s="5">
        <f t="shared" si="1"/>
        <v>5372.3047977388505</v>
      </c>
      <c r="F11" s="5">
        <f t="shared" si="2"/>
        <v>2212.1922765747922</v>
      </c>
      <c r="G11" s="5">
        <f t="shared" si="3"/>
        <v>12660.112521164057</v>
      </c>
      <c r="H11" s="22">
        <f t="shared" si="10"/>
        <v>6812.4681951541561</v>
      </c>
      <c r="I11" s="5">
        <f t="shared" si="4"/>
        <v>18934.395728901036</v>
      </c>
      <c r="J11" s="26">
        <f t="shared" si="5"/>
        <v>4.9200714400475562E-2</v>
      </c>
      <c r="L11" s="22">
        <f t="shared" si="11"/>
        <v>23891.829266665532</v>
      </c>
      <c r="M11" s="5">
        <f>scrimecost*Meta!O8</f>
        <v>1267.0840000000001</v>
      </c>
      <c r="N11" s="5">
        <f>L11-Grade9!L11</f>
        <v>356.66072448007981</v>
      </c>
      <c r="O11" s="5">
        <f>Grade9!M11-M11</f>
        <v>24.366999999999962</v>
      </c>
      <c r="P11" s="22">
        <f t="shared" si="12"/>
        <v>77.294950682541412</v>
      </c>
      <c r="Q11" s="22"/>
      <c r="R11" s="22"/>
      <c r="S11" s="22">
        <f t="shared" si="6"/>
        <v>286.32235857181678</v>
      </c>
      <c r="T11" s="22">
        <f t="shared" si="7"/>
        <v>299.66810921269121</v>
      </c>
    </row>
    <row r="12" spans="1:20" x14ac:dyDescent="0.2">
      <c r="A12" s="5">
        <v>21</v>
      </c>
      <c r="B12" s="1">
        <f t="shared" si="8"/>
        <v>1.1314082128906247</v>
      </c>
      <c r="C12" s="5">
        <f t="shared" si="9"/>
        <v>15180.132918221849</v>
      </c>
      <c r="D12" s="5">
        <f t="shared" si="0"/>
        <v>15213.302417682324</v>
      </c>
      <c r="E12" s="5">
        <f t="shared" si="1"/>
        <v>5713.3024176823237</v>
      </c>
      <c r="F12" s="5">
        <f t="shared" si="2"/>
        <v>2306.4781184891626</v>
      </c>
      <c r="G12" s="5">
        <f t="shared" si="3"/>
        <v>12906.824299193162</v>
      </c>
      <c r="H12" s="22">
        <f t="shared" si="10"/>
        <v>6982.7799000330097</v>
      </c>
      <c r="I12" s="5">
        <f t="shared" si="4"/>
        <v>19337.964587123563</v>
      </c>
      <c r="J12" s="26">
        <f t="shared" si="5"/>
        <v>5.2619825167905518E-2</v>
      </c>
      <c r="L12" s="22">
        <f t="shared" si="11"/>
        <v>24489.124998332169</v>
      </c>
      <c r="M12" s="5">
        <f>scrimecost*Meta!O9</f>
        <v>1134.588</v>
      </c>
      <c r="N12" s="5">
        <f>L12-Grade9!L12</f>
        <v>365.57724259208044</v>
      </c>
      <c r="O12" s="5">
        <f>Grade9!M12-M12</f>
        <v>21.81899999999996</v>
      </c>
      <c r="P12" s="22">
        <f t="shared" si="12"/>
        <v>78.426134759272301</v>
      </c>
      <c r="Q12" s="22"/>
      <c r="R12" s="22"/>
      <c r="S12" s="22">
        <f t="shared" si="6"/>
        <v>289.71997108029547</v>
      </c>
      <c r="T12" s="22">
        <f t="shared" si="7"/>
        <v>305.99952397274097</v>
      </c>
    </row>
    <row r="13" spans="1:20" x14ac:dyDescent="0.2">
      <c r="A13" s="5">
        <v>22</v>
      </c>
      <c r="B13" s="1">
        <f t="shared" si="8"/>
        <v>1.1596934182128902</v>
      </c>
      <c r="C13" s="5">
        <f t="shared" si="9"/>
        <v>15559.636241177392</v>
      </c>
      <c r="D13" s="5">
        <f t="shared" si="0"/>
        <v>15562.824978124378</v>
      </c>
      <c r="E13" s="5">
        <f t="shared" si="1"/>
        <v>6062.8249781243776</v>
      </c>
      <c r="F13" s="5">
        <f t="shared" si="2"/>
        <v>2403.1211064513905</v>
      </c>
      <c r="G13" s="5">
        <f t="shared" si="3"/>
        <v>13159.703871672988</v>
      </c>
      <c r="H13" s="22">
        <f t="shared" si="10"/>
        <v>7157.3493975338342</v>
      </c>
      <c r="I13" s="5">
        <f t="shared" si="4"/>
        <v>19751.62266680165</v>
      </c>
      <c r="J13" s="26">
        <f t="shared" si="5"/>
        <v>5.5955542989788325E-2</v>
      </c>
      <c r="L13" s="22">
        <f t="shared" si="11"/>
        <v>25101.353123290472</v>
      </c>
      <c r="M13" s="5">
        <f>scrimecost*Meta!O10</f>
        <v>1045.0440000000001</v>
      </c>
      <c r="N13" s="5">
        <f>L13-Grade9!L13</f>
        <v>374.71667365687972</v>
      </c>
      <c r="O13" s="5">
        <f>Grade9!M13-M13</f>
        <v>20.09699999999998</v>
      </c>
      <c r="P13" s="22">
        <f t="shared" si="12"/>
        <v>79.585598437921448</v>
      </c>
      <c r="Q13" s="22"/>
      <c r="R13" s="22"/>
      <c r="S13" s="22">
        <f t="shared" si="6"/>
        <v>294.04773890148533</v>
      </c>
      <c r="T13" s="22">
        <f t="shared" si="7"/>
        <v>313.41315034652229</v>
      </c>
    </row>
    <row r="14" spans="1:20" x14ac:dyDescent="0.2">
      <c r="A14" s="5">
        <v>23</v>
      </c>
      <c r="B14" s="1">
        <f t="shared" si="8"/>
        <v>1.1886857536682125</v>
      </c>
      <c r="C14" s="5">
        <f t="shared" si="9"/>
        <v>15948.627147206829</v>
      </c>
      <c r="D14" s="5">
        <f t="shared" si="0"/>
        <v>15921.08560257749</v>
      </c>
      <c r="E14" s="5">
        <f t="shared" si="1"/>
        <v>6421.0856025774901</v>
      </c>
      <c r="F14" s="5">
        <f t="shared" si="2"/>
        <v>2502.1801691126761</v>
      </c>
      <c r="G14" s="5">
        <f t="shared" si="3"/>
        <v>13418.905433464814</v>
      </c>
      <c r="H14" s="22">
        <f t="shared" si="10"/>
        <v>7336.2831324721801</v>
      </c>
      <c r="I14" s="5">
        <f t="shared" si="4"/>
        <v>20175.62219847169</v>
      </c>
      <c r="J14" s="26">
        <f t="shared" si="5"/>
        <v>5.9209901840405775E-2</v>
      </c>
      <c r="L14" s="22">
        <f t="shared" si="11"/>
        <v>25728.886951372737</v>
      </c>
      <c r="M14" s="5">
        <f>scrimecost*Meta!O11</f>
        <v>978.06799999999998</v>
      </c>
      <c r="N14" s="5">
        <f>L14-Grade9!L14</f>
        <v>384.08459049830708</v>
      </c>
      <c r="O14" s="5">
        <f>Grade9!M14-M14</f>
        <v>18.808999999999969</v>
      </c>
      <c r="P14" s="22">
        <f t="shared" si="12"/>
        <v>80.774048708536839</v>
      </c>
      <c r="Q14" s="22"/>
      <c r="R14" s="22"/>
      <c r="S14" s="22">
        <f t="shared" si="6"/>
        <v>298.93689841820935</v>
      </c>
      <c r="T14" s="22">
        <f t="shared" si="7"/>
        <v>321.5406962535036</v>
      </c>
    </row>
    <row r="15" spans="1:20" x14ac:dyDescent="0.2">
      <c r="A15" s="5">
        <v>24</v>
      </c>
      <c r="B15" s="1">
        <f t="shared" si="8"/>
        <v>1.2184028975099177</v>
      </c>
      <c r="C15" s="5">
        <f t="shared" si="9"/>
        <v>16347.342825886997</v>
      </c>
      <c r="D15" s="5">
        <f t="shared" si="0"/>
        <v>16288.302742641925</v>
      </c>
      <c r="E15" s="5">
        <f t="shared" si="1"/>
        <v>6788.3027426419249</v>
      </c>
      <c r="F15" s="5">
        <f t="shared" si="2"/>
        <v>2603.7157083404923</v>
      </c>
      <c r="G15" s="5">
        <f t="shared" si="3"/>
        <v>13684.587034301432</v>
      </c>
      <c r="H15" s="22">
        <f t="shared" si="10"/>
        <v>7519.6902107839842</v>
      </c>
      <c r="I15" s="5">
        <f t="shared" si="4"/>
        <v>20610.22171843348</v>
      </c>
      <c r="J15" s="26">
        <f t="shared" si="5"/>
        <v>6.2384886084910558E-2</v>
      </c>
      <c r="L15" s="22">
        <f t="shared" si="11"/>
        <v>26372.109125157047</v>
      </c>
      <c r="M15" s="5">
        <f>scrimecost*Meta!O12</f>
        <v>936.572</v>
      </c>
      <c r="N15" s="5">
        <f>L15-Grade9!L15</f>
        <v>393.68670526075948</v>
      </c>
      <c r="O15" s="5">
        <f>Grade9!M15-M15</f>
        <v>18.010999999999967</v>
      </c>
      <c r="P15" s="22">
        <f t="shared" si="12"/>
        <v>81.992210235917597</v>
      </c>
      <c r="Q15" s="22"/>
      <c r="R15" s="22"/>
      <c r="S15" s="22">
        <f t="shared" si="6"/>
        <v>304.44437692284572</v>
      </c>
      <c r="T15" s="22">
        <f t="shared" si="7"/>
        <v>330.4619289783472</v>
      </c>
    </row>
    <row r="16" spans="1:20" x14ac:dyDescent="0.2">
      <c r="A16" s="5">
        <v>25</v>
      </c>
      <c r="B16" s="1">
        <f t="shared" si="8"/>
        <v>1.2488629699476654</v>
      </c>
      <c r="C16" s="5">
        <f t="shared" si="9"/>
        <v>16756.026396534169</v>
      </c>
      <c r="D16" s="5">
        <f t="shared" si="0"/>
        <v>16664.700311207973</v>
      </c>
      <c r="E16" s="5">
        <f t="shared" si="1"/>
        <v>7164.7003112079728</v>
      </c>
      <c r="F16" s="5">
        <f t="shared" si="2"/>
        <v>2707.7896360490045</v>
      </c>
      <c r="G16" s="5">
        <f t="shared" si="3"/>
        <v>13956.910675158968</v>
      </c>
      <c r="H16" s="22">
        <f t="shared" si="10"/>
        <v>7707.6824660535831</v>
      </c>
      <c r="I16" s="5">
        <f t="shared" si="4"/>
        <v>21055.686226394319</v>
      </c>
      <c r="J16" s="26">
        <f t="shared" si="5"/>
        <v>6.5482431689305495E-2</v>
      </c>
      <c r="L16" s="22">
        <f t="shared" si="11"/>
        <v>27031.411853285972</v>
      </c>
      <c r="M16" s="5">
        <f>scrimecost*Meta!O13</f>
        <v>792.79200000000003</v>
      </c>
      <c r="N16" s="5">
        <f>L16-Grade9!L16</f>
        <v>403.52887289227874</v>
      </c>
      <c r="O16" s="5">
        <f>Grade9!M16-M16</f>
        <v>15.245999999999981</v>
      </c>
      <c r="P16" s="22">
        <f t="shared" si="12"/>
        <v>83.240825801482899</v>
      </c>
      <c r="Q16" s="22"/>
      <c r="R16" s="22"/>
      <c r="S16" s="22">
        <f t="shared" si="6"/>
        <v>308.23984489010104</v>
      </c>
      <c r="T16" s="22">
        <f t="shared" si="7"/>
        <v>337.6442101682361</v>
      </c>
    </row>
    <row r="17" spans="1:20" x14ac:dyDescent="0.2">
      <c r="A17" s="5">
        <v>26</v>
      </c>
      <c r="B17" s="1">
        <f t="shared" si="8"/>
        <v>1.2800845441963571</v>
      </c>
      <c r="C17" s="5">
        <f t="shared" si="9"/>
        <v>17174.927056447523</v>
      </c>
      <c r="D17" s="5">
        <f t="shared" si="0"/>
        <v>17050.507818988171</v>
      </c>
      <c r="E17" s="5">
        <f t="shared" si="1"/>
        <v>7550.5078189881715</v>
      </c>
      <c r="F17" s="5">
        <f t="shared" si="2"/>
        <v>2814.4654119502293</v>
      </c>
      <c r="G17" s="5">
        <f t="shared" si="3"/>
        <v>14236.042407037941</v>
      </c>
      <c r="H17" s="22">
        <f t="shared" si="10"/>
        <v>7900.374527704922</v>
      </c>
      <c r="I17" s="5">
        <f t="shared" si="4"/>
        <v>21512.287347054174</v>
      </c>
      <c r="J17" s="26">
        <f t="shared" si="5"/>
        <v>6.8504427400910298E-2</v>
      </c>
      <c r="L17" s="22">
        <f t="shared" si="11"/>
        <v>27707.197149618121</v>
      </c>
      <c r="M17" s="5">
        <f>scrimecost*Meta!O14</f>
        <v>792.79200000000003</v>
      </c>
      <c r="N17" s="5">
        <f>L17-Grade9!L17</f>
        <v>413.6170947145838</v>
      </c>
      <c r="O17" s="5">
        <f>Grade9!M17-M17</f>
        <v>15.245999999999981</v>
      </c>
      <c r="P17" s="22">
        <f t="shared" si="12"/>
        <v>84.520656756187307</v>
      </c>
      <c r="Q17" s="22"/>
      <c r="R17" s="22"/>
      <c r="S17" s="22">
        <f t="shared" si="6"/>
        <v>314.82261830653653</v>
      </c>
      <c r="T17" s="22">
        <f t="shared" si="7"/>
        <v>348.0114307415422</v>
      </c>
    </row>
    <row r="18" spans="1:20" x14ac:dyDescent="0.2">
      <c r="A18" s="5">
        <v>27</v>
      </c>
      <c r="B18" s="1">
        <f t="shared" si="8"/>
        <v>1.312086657801266</v>
      </c>
      <c r="C18" s="5">
        <f t="shared" si="9"/>
        <v>17604.300232858714</v>
      </c>
      <c r="D18" s="5">
        <f t="shared" si="0"/>
        <v>17445.960514462877</v>
      </c>
      <c r="E18" s="5">
        <f t="shared" si="1"/>
        <v>7945.9605144628767</v>
      </c>
      <c r="F18" s="5">
        <f t="shared" si="2"/>
        <v>2923.8080822489856</v>
      </c>
      <c r="G18" s="5">
        <f t="shared" si="3"/>
        <v>14522.15243221389</v>
      </c>
      <c r="H18" s="22">
        <f t="shared" si="10"/>
        <v>8097.8838908975449</v>
      </c>
      <c r="I18" s="5">
        <f t="shared" si="4"/>
        <v>21980.303495730528</v>
      </c>
      <c r="J18" s="26">
        <f t="shared" si="5"/>
        <v>7.1452715900036948E-2</v>
      </c>
      <c r="L18" s="22">
        <f t="shared" si="11"/>
        <v>28399.877078358575</v>
      </c>
      <c r="M18" s="5">
        <f>scrimecost*Meta!O15</f>
        <v>792.79200000000003</v>
      </c>
      <c r="N18" s="5">
        <f>L18-Grade9!L18</f>
        <v>423.9575220824554</v>
      </c>
      <c r="O18" s="5">
        <f>Grade9!M18-M18</f>
        <v>15.245999999999981</v>
      </c>
      <c r="P18" s="22">
        <f t="shared" si="12"/>
        <v>85.832483484759351</v>
      </c>
      <c r="Q18" s="22"/>
      <c r="R18" s="22"/>
      <c r="S18" s="22">
        <f t="shared" si="6"/>
        <v>321.56996105838761</v>
      </c>
      <c r="T18" s="22">
        <f t="shared" si="7"/>
        <v>358.72373142023929</v>
      </c>
    </row>
    <row r="19" spans="1:20" x14ac:dyDescent="0.2">
      <c r="A19" s="5">
        <v>28</v>
      </c>
      <c r="B19" s="1">
        <f t="shared" si="8"/>
        <v>1.3448888242462975</v>
      </c>
      <c r="C19" s="5">
        <f t="shared" si="9"/>
        <v>18044.40773868018</v>
      </c>
      <c r="D19" s="5">
        <f t="shared" si="0"/>
        <v>17851.299527324449</v>
      </c>
      <c r="E19" s="5">
        <f t="shared" si="1"/>
        <v>8351.2995273244487</v>
      </c>
      <c r="F19" s="5">
        <f t="shared" si="2"/>
        <v>3035.8843193052103</v>
      </c>
      <c r="G19" s="5">
        <f t="shared" si="3"/>
        <v>14815.415208019238</v>
      </c>
      <c r="H19" s="22">
        <f t="shared" si="10"/>
        <v>8300.3309881699824</v>
      </c>
      <c r="I19" s="5">
        <f t="shared" si="4"/>
        <v>22460.020048123792</v>
      </c>
      <c r="J19" s="26">
        <f t="shared" si="5"/>
        <v>7.4329094923575159E-2</v>
      </c>
      <c r="L19" s="22">
        <f t="shared" si="11"/>
        <v>29109.874005317535</v>
      </c>
      <c r="M19" s="5">
        <f>scrimecost*Meta!O16</f>
        <v>792.79200000000003</v>
      </c>
      <c r="N19" s="5">
        <f>L19-Grade9!L19</f>
        <v>434.55646013451405</v>
      </c>
      <c r="O19" s="5">
        <f>Grade9!M19-M19</f>
        <v>15.245999999999981</v>
      </c>
      <c r="P19" s="22">
        <f t="shared" si="12"/>
        <v>87.177105881545671</v>
      </c>
      <c r="Q19" s="22"/>
      <c r="R19" s="22"/>
      <c r="S19" s="22">
        <f t="shared" si="6"/>
        <v>328.48598737902989</v>
      </c>
      <c r="T19" s="22">
        <f t="shared" si="7"/>
        <v>369.79287269598115</v>
      </c>
    </row>
    <row r="20" spans="1:20" x14ac:dyDescent="0.2">
      <c r="A20" s="5">
        <v>29</v>
      </c>
      <c r="B20" s="1">
        <f t="shared" si="8"/>
        <v>1.3785110448524549</v>
      </c>
      <c r="C20" s="5">
        <f t="shared" si="9"/>
        <v>18495.517932147181</v>
      </c>
      <c r="D20" s="5">
        <f t="shared" si="0"/>
        <v>18266.772015507555</v>
      </c>
      <c r="E20" s="5">
        <f t="shared" si="1"/>
        <v>8766.7720155075549</v>
      </c>
      <c r="F20" s="5">
        <f t="shared" si="2"/>
        <v>3164.1010630632163</v>
      </c>
      <c r="G20" s="5">
        <f t="shared" si="3"/>
        <v>15102.670952444339</v>
      </c>
      <c r="H20" s="22">
        <f t="shared" si="10"/>
        <v>8507.8392628742313</v>
      </c>
      <c r="I20" s="5">
        <f t="shared" si="4"/>
        <v>22938.390913551506</v>
      </c>
      <c r="J20" s="26">
        <f t="shared" si="5"/>
        <v>7.7671649340082444E-2</v>
      </c>
      <c r="L20" s="22">
        <f t="shared" si="11"/>
        <v>29837.620855450474</v>
      </c>
      <c r="M20" s="5">
        <f>scrimecost*Meta!O17</f>
        <v>792.79200000000003</v>
      </c>
      <c r="N20" s="5">
        <f>L20-Grade9!L20</f>
        <v>445.42037163787973</v>
      </c>
      <c r="O20" s="5">
        <f>Grade9!M20-M20</f>
        <v>15.245999999999981</v>
      </c>
      <c r="P20" s="22">
        <f t="shared" si="12"/>
        <v>88.715372242268884</v>
      </c>
      <c r="Q20" s="22"/>
      <c r="R20" s="22"/>
      <c r="S20" s="22">
        <f t="shared" si="6"/>
        <v>335.72694134150743</v>
      </c>
      <c r="T20" s="22">
        <f t="shared" si="7"/>
        <v>381.40372922658833</v>
      </c>
    </row>
    <row r="21" spans="1:20" x14ac:dyDescent="0.2">
      <c r="A21" s="5">
        <v>30</v>
      </c>
      <c r="B21" s="1">
        <f t="shared" si="8"/>
        <v>1.4129738209737661</v>
      </c>
      <c r="C21" s="5">
        <f t="shared" si="9"/>
        <v>18957.90588045086</v>
      </c>
      <c r="D21" s="5">
        <f t="shared" si="0"/>
        <v>18692.631315895243</v>
      </c>
      <c r="E21" s="5">
        <f t="shared" si="1"/>
        <v>9192.6313158952435</v>
      </c>
      <c r="F21" s="5">
        <f t="shared" si="2"/>
        <v>3303.1441246397972</v>
      </c>
      <c r="G21" s="5">
        <f t="shared" si="3"/>
        <v>15389.487191255446</v>
      </c>
      <c r="H21" s="22">
        <f t="shared" si="10"/>
        <v>8720.5352444460877</v>
      </c>
      <c r="I21" s="5">
        <f t="shared" si="4"/>
        <v>23421.100151390296</v>
      </c>
      <c r="J21" s="26">
        <f t="shared" si="5"/>
        <v>8.1231632447516258E-2</v>
      </c>
      <c r="L21" s="22">
        <f t="shared" si="11"/>
        <v>30583.561376836729</v>
      </c>
      <c r="M21" s="5">
        <f>scrimecost*Meta!O18</f>
        <v>625.35199999999998</v>
      </c>
      <c r="N21" s="5">
        <f>L21-Grade9!L21</f>
        <v>456.5558809288159</v>
      </c>
      <c r="O21" s="5">
        <f>Grade9!M21-M21</f>
        <v>12.026000000000067</v>
      </c>
      <c r="P21" s="22">
        <f t="shared" si="12"/>
        <v>90.383526166992638</v>
      </c>
      <c r="Q21" s="22"/>
      <c r="R21" s="22"/>
      <c r="S21" s="22">
        <f t="shared" si="6"/>
        <v>340.17677851277307</v>
      </c>
      <c r="T21" s="22">
        <f t="shared" si="7"/>
        <v>389.99627441244041</v>
      </c>
    </row>
    <row r="22" spans="1:20" x14ac:dyDescent="0.2">
      <c r="A22" s="5">
        <v>31</v>
      </c>
      <c r="B22" s="1">
        <f t="shared" si="8"/>
        <v>1.4482981664981105</v>
      </c>
      <c r="C22" s="5">
        <f t="shared" si="9"/>
        <v>19431.853527462132</v>
      </c>
      <c r="D22" s="5">
        <f t="shared" si="0"/>
        <v>19129.137098792624</v>
      </c>
      <c r="E22" s="5">
        <f t="shared" si="1"/>
        <v>9629.1370987926239</v>
      </c>
      <c r="F22" s="5">
        <f t="shared" si="2"/>
        <v>3445.6632627557919</v>
      </c>
      <c r="G22" s="5">
        <f t="shared" si="3"/>
        <v>15683.473836036832</v>
      </c>
      <c r="H22" s="22">
        <f t="shared" si="10"/>
        <v>8938.5486255572414</v>
      </c>
      <c r="I22" s="5">
        <f t="shared" si="4"/>
        <v>23915.87712017505</v>
      </c>
      <c r="J22" s="26">
        <f t="shared" si="5"/>
        <v>8.4704786698671167E-2</v>
      </c>
      <c r="L22" s="22">
        <f t="shared" si="11"/>
        <v>31348.150411257655</v>
      </c>
      <c r="M22" s="5">
        <f>scrimecost*Meta!O19</f>
        <v>625.35199999999998</v>
      </c>
      <c r="N22" s="5">
        <f>L22-Grade9!L22</f>
        <v>467.96977795204293</v>
      </c>
      <c r="O22" s="5">
        <f>Grade9!M22-M22</f>
        <v>12.026000000000067</v>
      </c>
      <c r="P22" s="22">
        <f t="shared" si="12"/>
        <v>92.093383939834482</v>
      </c>
      <c r="Q22" s="22"/>
      <c r="R22" s="22"/>
      <c r="S22" s="22">
        <f t="shared" si="6"/>
        <v>347.87333661332968</v>
      </c>
      <c r="T22" s="22">
        <f t="shared" si="7"/>
        <v>402.47044130113534</v>
      </c>
    </row>
    <row r="23" spans="1:20" x14ac:dyDescent="0.2">
      <c r="A23" s="5">
        <v>32</v>
      </c>
      <c r="B23" s="1">
        <f t="shared" si="8"/>
        <v>1.4845056206605631</v>
      </c>
      <c r="C23" s="5">
        <f t="shared" si="9"/>
        <v>19917.649865648687</v>
      </c>
      <c r="D23" s="5">
        <f t="shared" si="0"/>
        <v>19576.555526262444</v>
      </c>
      <c r="E23" s="5">
        <f t="shared" si="1"/>
        <v>10076.555526262444</v>
      </c>
      <c r="F23" s="5">
        <f t="shared" si="2"/>
        <v>3591.7453793246877</v>
      </c>
      <c r="G23" s="5">
        <f t="shared" si="3"/>
        <v>15984.810146937756</v>
      </c>
      <c r="H23" s="22">
        <f t="shared" si="10"/>
        <v>9162.0123411961722</v>
      </c>
      <c r="I23" s="5">
        <f t="shared" si="4"/>
        <v>24423.023513179432</v>
      </c>
      <c r="J23" s="26">
        <f t="shared" si="5"/>
        <v>8.8093229870529657E-2</v>
      </c>
      <c r="L23" s="22">
        <f t="shared" si="11"/>
        <v>32131.854171539093</v>
      </c>
      <c r="M23" s="5">
        <f>scrimecost*Meta!O20</f>
        <v>625.35199999999998</v>
      </c>
      <c r="N23" s="5">
        <f>L23-Grade9!L23</f>
        <v>479.66902240084892</v>
      </c>
      <c r="O23" s="5">
        <f>Grade9!M23-M23</f>
        <v>12.026000000000067</v>
      </c>
      <c r="P23" s="22">
        <f t="shared" si="12"/>
        <v>93.845988156997379</v>
      </c>
      <c r="Q23" s="22"/>
      <c r="R23" s="22"/>
      <c r="S23" s="22">
        <f t="shared" si="6"/>
        <v>355.76230866639924</v>
      </c>
      <c r="T23" s="22">
        <f t="shared" si="7"/>
        <v>415.36493897632596</v>
      </c>
    </row>
    <row r="24" spans="1:20" x14ac:dyDescent="0.2">
      <c r="A24" s="5">
        <v>33</v>
      </c>
      <c r="B24" s="1">
        <f t="shared" si="8"/>
        <v>1.521618261177077</v>
      </c>
      <c r="C24" s="5">
        <f t="shared" si="9"/>
        <v>20415.591112289898</v>
      </c>
      <c r="D24" s="5">
        <f t="shared" si="0"/>
        <v>20035.159414418998</v>
      </c>
      <c r="E24" s="5">
        <f t="shared" si="1"/>
        <v>10535.159414418998</v>
      </c>
      <c r="F24" s="5">
        <f t="shared" si="2"/>
        <v>3741.479548807803</v>
      </c>
      <c r="G24" s="5">
        <f t="shared" si="3"/>
        <v>16293.679865611195</v>
      </c>
      <c r="H24" s="22">
        <f t="shared" si="10"/>
        <v>9391.0626497260746</v>
      </c>
      <c r="I24" s="5">
        <f t="shared" si="4"/>
        <v>24942.84856600891</v>
      </c>
      <c r="J24" s="26">
        <f t="shared" si="5"/>
        <v>9.1399028086976891E-2</v>
      </c>
      <c r="L24" s="22">
        <f t="shared" si="11"/>
        <v>32935.150525827565</v>
      </c>
      <c r="M24" s="5">
        <f>scrimecost*Meta!O21</f>
        <v>625.35199999999998</v>
      </c>
      <c r="N24" s="5">
        <f>L24-Grade9!L24</f>
        <v>491.66074796086104</v>
      </c>
      <c r="O24" s="5">
        <f>Grade9!M24-M24</f>
        <v>12.026000000000067</v>
      </c>
      <c r="P24" s="22">
        <f t="shared" si="12"/>
        <v>95.642407479589338</v>
      </c>
      <c r="Q24" s="22"/>
      <c r="R24" s="22"/>
      <c r="S24" s="22">
        <f t="shared" si="6"/>
        <v>363.84850502078802</v>
      </c>
      <c r="T24" s="22">
        <f t="shared" si="7"/>
        <v>428.69414091076715</v>
      </c>
    </row>
    <row r="25" spans="1:20" x14ac:dyDescent="0.2">
      <c r="A25" s="5">
        <v>34</v>
      </c>
      <c r="B25" s="1">
        <f t="shared" si="8"/>
        <v>1.559658717706504</v>
      </c>
      <c r="C25" s="5">
        <f t="shared" si="9"/>
        <v>20925.980890097147</v>
      </c>
      <c r="D25" s="5">
        <f t="shared" si="0"/>
        <v>20505.228399779477</v>
      </c>
      <c r="E25" s="5">
        <f t="shared" si="1"/>
        <v>11005.228399779477</v>
      </c>
      <c r="F25" s="5">
        <f t="shared" si="2"/>
        <v>3894.9570725279991</v>
      </c>
      <c r="G25" s="5">
        <f t="shared" si="3"/>
        <v>16610.271327251477</v>
      </c>
      <c r="H25" s="22">
        <f t="shared" si="10"/>
        <v>9625.8392159692248</v>
      </c>
      <c r="I25" s="5">
        <f t="shared" si="4"/>
        <v>25475.669245159133</v>
      </c>
      <c r="J25" s="26">
        <f t="shared" si="5"/>
        <v>9.4624197078632816E-2</v>
      </c>
      <c r="L25" s="22">
        <f t="shared" si="11"/>
        <v>33758.529288973259</v>
      </c>
      <c r="M25" s="5">
        <f>scrimecost*Meta!O22</f>
        <v>625.35199999999998</v>
      </c>
      <c r="N25" s="5">
        <f>L25-Grade9!L25</f>
        <v>503.95226665988594</v>
      </c>
      <c r="O25" s="5">
        <f>Grade9!M25-M25</f>
        <v>12.026000000000067</v>
      </c>
      <c r="P25" s="22">
        <f t="shared" si="12"/>
        <v>97.483737285246136</v>
      </c>
      <c r="Q25" s="22"/>
      <c r="R25" s="22"/>
      <c r="S25" s="22">
        <f t="shared" si="6"/>
        <v>372.13685628404323</v>
      </c>
      <c r="T25" s="22">
        <f t="shared" si="7"/>
        <v>442.47291404801604</v>
      </c>
    </row>
    <row r="26" spans="1:20" x14ac:dyDescent="0.2">
      <c r="A26" s="5">
        <v>35</v>
      </c>
      <c r="B26" s="1">
        <f t="shared" si="8"/>
        <v>1.5986501856491666</v>
      </c>
      <c r="C26" s="5">
        <f t="shared" si="9"/>
        <v>21449.130412349576</v>
      </c>
      <c r="D26" s="5">
        <f t="shared" si="0"/>
        <v>20987.049109773961</v>
      </c>
      <c r="E26" s="5">
        <f t="shared" si="1"/>
        <v>11487.049109773961</v>
      </c>
      <c r="F26" s="5">
        <f t="shared" si="2"/>
        <v>4052.2715343411983</v>
      </c>
      <c r="G26" s="5">
        <f t="shared" si="3"/>
        <v>16934.777575432763</v>
      </c>
      <c r="H26" s="22">
        <f t="shared" si="10"/>
        <v>9866.4851963684559</v>
      </c>
      <c r="I26" s="5">
        <f t="shared" si="4"/>
        <v>26021.810441288111</v>
      </c>
      <c r="J26" s="26">
        <f t="shared" si="5"/>
        <v>9.7770703411955595E-2</v>
      </c>
      <c r="L26" s="22">
        <f t="shared" si="11"/>
        <v>34602.492521197593</v>
      </c>
      <c r="M26" s="5">
        <f>scrimecost*Meta!O23</f>
        <v>497.95200000000006</v>
      </c>
      <c r="N26" s="5">
        <f>L26-Grade9!L26</f>
        <v>516.55107332638727</v>
      </c>
      <c r="O26" s="5">
        <f>Grade9!M26-M26</f>
        <v>9.575999999999965</v>
      </c>
      <c r="P26" s="22">
        <f t="shared" si="12"/>
        <v>99.371100336044307</v>
      </c>
      <c r="Q26" s="22"/>
      <c r="R26" s="22"/>
      <c r="S26" s="22">
        <f t="shared" si="6"/>
        <v>378.3049163288801</v>
      </c>
      <c r="T26" s="22">
        <f t="shared" si="7"/>
        <v>453.9238941981651</v>
      </c>
    </row>
    <row r="27" spans="1:20" x14ac:dyDescent="0.2">
      <c r="A27" s="5">
        <v>36</v>
      </c>
      <c r="B27" s="1">
        <f t="shared" si="8"/>
        <v>1.6386164402903955</v>
      </c>
      <c r="C27" s="5">
        <f t="shared" si="9"/>
        <v>21985.358672658313</v>
      </c>
      <c r="D27" s="5">
        <f t="shared" si="0"/>
        <v>21480.915337518309</v>
      </c>
      <c r="E27" s="5">
        <f t="shared" si="1"/>
        <v>11980.915337518309</v>
      </c>
      <c r="F27" s="5">
        <f t="shared" si="2"/>
        <v>4213.518857699728</v>
      </c>
      <c r="G27" s="5">
        <f t="shared" si="3"/>
        <v>17267.396479818581</v>
      </c>
      <c r="H27" s="22">
        <f t="shared" si="10"/>
        <v>10113.147326277667</v>
      </c>
      <c r="I27" s="5">
        <f t="shared" si="4"/>
        <v>26581.605167320311</v>
      </c>
      <c r="J27" s="26">
        <f t="shared" si="5"/>
        <v>0.1008404656883681</v>
      </c>
      <c r="L27" s="22">
        <f t="shared" si="11"/>
        <v>35467.554834227521</v>
      </c>
      <c r="M27" s="5">
        <f>scrimecost*Meta!O24</f>
        <v>497.95200000000006</v>
      </c>
      <c r="N27" s="5">
        <f>L27-Grade9!L27</f>
        <v>529.46485015954386</v>
      </c>
      <c r="O27" s="5">
        <f>Grade9!M27-M27</f>
        <v>9.575999999999965</v>
      </c>
      <c r="P27" s="22">
        <f t="shared" si="12"/>
        <v>101.30564746311244</v>
      </c>
      <c r="Q27" s="22"/>
      <c r="R27" s="22"/>
      <c r="S27" s="22">
        <f t="shared" si="6"/>
        <v>387.01286537483418</v>
      </c>
      <c r="T27" s="22">
        <f t="shared" si="7"/>
        <v>468.62290763151037</v>
      </c>
    </row>
    <row r="28" spans="1:20" x14ac:dyDescent="0.2">
      <c r="A28" s="5">
        <v>37</v>
      </c>
      <c r="B28" s="1">
        <f t="shared" si="8"/>
        <v>1.6795818512976552</v>
      </c>
      <c r="C28" s="5">
        <f t="shared" si="9"/>
        <v>22534.992639474767</v>
      </c>
      <c r="D28" s="5">
        <f t="shared" si="0"/>
        <v>21987.128220956263</v>
      </c>
      <c r="E28" s="5">
        <f t="shared" si="1"/>
        <v>12487.128220956263</v>
      </c>
      <c r="F28" s="5">
        <f t="shared" si="2"/>
        <v>4378.7973641422195</v>
      </c>
      <c r="G28" s="5">
        <f t="shared" si="3"/>
        <v>17608.330856814042</v>
      </c>
      <c r="H28" s="22">
        <f t="shared" si="10"/>
        <v>10365.976009434607</v>
      </c>
      <c r="I28" s="5">
        <f t="shared" si="4"/>
        <v>27155.394761503318</v>
      </c>
      <c r="J28" s="26">
        <f t="shared" si="5"/>
        <v>0.10383535571413635</v>
      </c>
      <c r="L28" s="22">
        <f t="shared" si="11"/>
        <v>36354.243705083209</v>
      </c>
      <c r="M28" s="5">
        <f>scrimecost*Meta!O25</f>
        <v>497.95200000000006</v>
      </c>
      <c r="N28" s="5">
        <f>L28-Grade9!L28</f>
        <v>542.70147141353664</v>
      </c>
      <c r="O28" s="5">
        <f>Grade9!M28-M28</f>
        <v>9.575999999999965</v>
      </c>
      <c r="P28" s="22">
        <f t="shared" si="12"/>
        <v>103.28855826835726</v>
      </c>
      <c r="Q28" s="22"/>
      <c r="R28" s="22"/>
      <c r="S28" s="22">
        <f t="shared" si="6"/>
        <v>395.93851314694086</v>
      </c>
      <c r="T28" s="22">
        <f t="shared" si="7"/>
        <v>483.81899248427948</v>
      </c>
    </row>
    <row r="29" spans="1:20" x14ac:dyDescent="0.2">
      <c r="A29" s="5">
        <v>38</v>
      </c>
      <c r="B29" s="1">
        <f t="shared" si="8"/>
        <v>1.7215713975800966</v>
      </c>
      <c r="C29" s="5">
        <f t="shared" si="9"/>
        <v>23098.367455461637</v>
      </c>
      <c r="D29" s="5">
        <f t="shared" si="0"/>
        <v>22505.996426480171</v>
      </c>
      <c r="E29" s="5">
        <f t="shared" si="1"/>
        <v>13005.996426480171</v>
      </c>
      <c r="F29" s="5">
        <f t="shared" si="2"/>
        <v>4548.2078332457759</v>
      </c>
      <c r="G29" s="5">
        <f t="shared" si="3"/>
        <v>17957.788593234396</v>
      </c>
      <c r="H29" s="22">
        <f t="shared" si="10"/>
        <v>10625.125409670471</v>
      </c>
      <c r="I29" s="5">
        <f t="shared" si="4"/>
        <v>27743.5290955409</v>
      </c>
      <c r="J29" s="26">
        <f t="shared" si="5"/>
        <v>0.10675719964171519</v>
      </c>
      <c r="L29" s="22">
        <f t="shared" si="11"/>
        <v>37263.099797710289</v>
      </c>
      <c r="M29" s="5">
        <f>scrimecost*Meta!O26</f>
        <v>497.95200000000006</v>
      </c>
      <c r="N29" s="5">
        <f>L29-Grade9!L29</f>
        <v>556.26900819886941</v>
      </c>
      <c r="O29" s="5">
        <f>Grade9!M29-M29</f>
        <v>9.575999999999965</v>
      </c>
      <c r="P29" s="22">
        <f t="shared" si="12"/>
        <v>105.32104184373324</v>
      </c>
      <c r="Q29" s="22"/>
      <c r="R29" s="22"/>
      <c r="S29" s="22">
        <f t="shared" si="6"/>
        <v>405.08730211334512</v>
      </c>
      <c r="T29" s="22">
        <f t="shared" si="7"/>
        <v>499.52916297209714</v>
      </c>
    </row>
    <row r="30" spans="1:20" x14ac:dyDescent="0.2">
      <c r="A30" s="5">
        <v>39</v>
      </c>
      <c r="B30" s="1">
        <f t="shared" si="8"/>
        <v>1.7646106825195991</v>
      </c>
      <c r="C30" s="5">
        <f t="shared" si="9"/>
        <v>23675.82664184818</v>
      </c>
      <c r="D30" s="5">
        <f t="shared" si="0"/>
        <v>23037.836337142176</v>
      </c>
      <c r="E30" s="5">
        <f t="shared" si="1"/>
        <v>13537.836337142176</v>
      </c>
      <c r="F30" s="5">
        <f t="shared" si="2"/>
        <v>4721.8535640769205</v>
      </c>
      <c r="G30" s="5">
        <f t="shared" si="3"/>
        <v>18315.982773065254</v>
      </c>
      <c r="H30" s="22">
        <f t="shared" si="10"/>
        <v>10890.753544912235</v>
      </c>
      <c r="I30" s="5">
        <f t="shared" si="4"/>
        <v>28346.366787929423</v>
      </c>
      <c r="J30" s="26">
        <f t="shared" si="5"/>
        <v>0.10960777908325549</v>
      </c>
      <c r="L30" s="22">
        <f t="shared" si="11"/>
        <v>38194.677292653039</v>
      </c>
      <c r="M30" s="5">
        <f>scrimecost*Meta!O27</f>
        <v>497.95200000000006</v>
      </c>
      <c r="N30" s="5">
        <f>L30-Grade9!L30</f>
        <v>570.17573340383387</v>
      </c>
      <c r="O30" s="5">
        <f>Grade9!M30-M30</f>
        <v>9.575999999999965</v>
      </c>
      <c r="P30" s="22">
        <f t="shared" si="12"/>
        <v>107.40433750849358</v>
      </c>
      <c r="Q30" s="22"/>
      <c r="R30" s="22"/>
      <c r="S30" s="22">
        <f t="shared" si="6"/>
        <v>414.46481080390856</v>
      </c>
      <c r="T30" s="22">
        <f t="shared" si="7"/>
        <v>515.77101759579875</v>
      </c>
    </row>
    <row r="31" spans="1:20" x14ac:dyDescent="0.2">
      <c r="A31" s="5">
        <v>40</v>
      </c>
      <c r="B31" s="1">
        <f t="shared" si="8"/>
        <v>1.8087259495825889</v>
      </c>
      <c r="C31" s="5">
        <f t="shared" si="9"/>
        <v>24267.722307894379</v>
      </c>
      <c r="D31" s="5">
        <f t="shared" si="0"/>
        <v>23582.972245570727</v>
      </c>
      <c r="E31" s="5">
        <f t="shared" si="1"/>
        <v>14082.972245570727</v>
      </c>
      <c r="F31" s="5">
        <f t="shared" si="2"/>
        <v>4899.8404381788423</v>
      </c>
      <c r="G31" s="5">
        <f t="shared" si="3"/>
        <v>18683.131807391885</v>
      </c>
      <c r="H31" s="22">
        <f t="shared" si="10"/>
        <v>11163.022383535039</v>
      </c>
      <c r="I31" s="5">
        <f t="shared" si="4"/>
        <v>28964.275422627656</v>
      </c>
      <c r="J31" s="26">
        <f t="shared" si="5"/>
        <v>0.11238883219695335</v>
      </c>
      <c r="L31" s="22">
        <f t="shared" si="11"/>
        <v>39149.544224969366</v>
      </c>
      <c r="M31" s="5">
        <f>scrimecost*Meta!O28</f>
        <v>427.33599999999996</v>
      </c>
      <c r="N31" s="5">
        <f>L31-Grade9!L31</f>
        <v>584.43012673893827</v>
      </c>
      <c r="O31" s="5">
        <f>Grade9!M31-M31</f>
        <v>8.2180000000000177</v>
      </c>
      <c r="P31" s="22">
        <f t="shared" si="12"/>
        <v>109.53971556487295</v>
      </c>
      <c r="Q31" s="22"/>
      <c r="R31" s="22"/>
      <c r="S31" s="22">
        <f t="shared" si="6"/>
        <v>422.78665721174451</v>
      </c>
      <c r="T31" s="22">
        <f t="shared" si="7"/>
        <v>530.94262983931662</v>
      </c>
    </row>
    <row r="32" spans="1:20" x14ac:dyDescent="0.2">
      <c r="A32" s="5">
        <v>41</v>
      </c>
      <c r="B32" s="1">
        <f t="shared" si="8"/>
        <v>1.8539440983221533</v>
      </c>
      <c r="C32" s="5">
        <f t="shared" si="9"/>
        <v>24874.415365591736</v>
      </c>
      <c r="D32" s="5">
        <f t="shared" si="0"/>
        <v>24141.73655170999</v>
      </c>
      <c r="E32" s="5">
        <f t="shared" si="1"/>
        <v>14641.73655170999</v>
      </c>
      <c r="F32" s="5">
        <f t="shared" si="2"/>
        <v>5082.276984133312</v>
      </c>
      <c r="G32" s="5">
        <f t="shared" si="3"/>
        <v>19059.459567576676</v>
      </c>
      <c r="H32" s="22">
        <f t="shared" si="10"/>
        <v>11442.097943123414</v>
      </c>
      <c r="I32" s="5">
        <f t="shared" si="4"/>
        <v>29597.631773193338</v>
      </c>
      <c r="J32" s="26">
        <f t="shared" si="5"/>
        <v>0.11510205474690248</v>
      </c>
      <c r="L32" s="22">
        <f t="shared" si="11"/>
        <v>40128.282830593591</v>
      </c>
      <c r="M32" s="5">
        <f>scrimecost*Meta!O29</f>
        <v>427.33599999999996</v>
      </c>
      <c r="N32" s="5">
        <f>L32-Grade9!L32</f>
        <v>599.04087990740663</v>
      </c>
      <c r="O32" s="5">
        <f>Grade9!M32-M32</f>
        <v>8.2180000000000177</v>
      </c>
      <c r="P32" s="22">
        <f t="shared" si="12"/>
        <v>111.72847807266182</v>
      </c>
      <c r="Q32" s="22"/>
      <c r="R32" s="22"/>
      <c r="S32" s="22">
        <f t="shared" si="6"/>
        <v>432.63890227976907</v>
      </c>
      <c r="T32" s="22">
        <f t="shared" si="7"/>
        <v>548.28825729601431</v>
      </c>
    </row>
    <row r="33" spans="1:20" x14ac:dyDescent="0.2">
      <c r="A33" s="5">
        <v>42</v>
      </c>
      <c r="B33" s="1">
        <f t="shared" si="8"/>
        <v>1.9002927007802071</v>
      </c>
      <c r="C33" s="5">
        <f t="shared" si="9"/>
        <v>25496.275749731529</v>
      </c>
      <c r="D33" s="5">
        <f t="shared" si="0"/>
        <v>24714.46996550274</v>
      </c>
      <c r="E33" s="5">
        <f t="shared" si="1"/>
        <v>15214.46996550274</v>
      </c>
      <c r="F33" s="5">
        <f t="shared" si="2"/>
        <v>5269.2744437366446</v>
      </c>
      <c r="G33" s="5">
        <f t="shared" si="3"/>
        <v>19445.195521766094</v>
      </c>
      <c r="H33" s="22">
        <f t="shared" si="10"/>
        <v>11728.150391701498</v>
      </c>
      <c r="I33" s="5">
        <f t="shared" si="4"/>
        <v>30246.822032523174</v>
      </c>
      <c r="J33" s="26">
        <f t="shared" si="5"/>
        <v>0.11774910113709677</v>
      </c>
      <c r="L33" s="22">
        <f t="shared" si="11"/>
        <v>41131.489901358429</v>
      </c>
      <c r="M33" s="5">
        <f>scrimecost*Meta!O30</f>
        <v>427.33599999999996</v>
      </c>
      <c r="N33" s="5">
        <f>L33-Grade9!L33</f>
        <v>614.01690190508816</v>
      </c>
      <c r="O33" s="5">
        <f>Grade9!M33-M33</f>
        <v>8.2180000000000177</v>
      </c>
      <c r="P33" s="22">
        <f t="shared" si="12"/>
        <v>113.97195964314537</v>
      </c>
      <c r="Q33" s="22"/>
      <c r="R33" s="22"/>
      <c r="S33" s="22">
        <f t="shared" si="6"/>
        <v>442.73745347449506</v>
      </c>
      <c r="T33" s="22">
        <f t="shared" si="7"/>
        <v>566.22193866997736</v>
      </c>
    </row>
    <row r="34" spans="1:20" x14ac:dyDescent="0.2">
      <c r="A34" s="5">
        <v>43</v>
      </c>
      <c r="B34" s="1">
        <f t="shared" si="8"/>
        <v>1.9478000182997122</v>
      </c>
      <c r="C34" s="5">
        <f t="shared" si="9"/>
        <v>26133.682643474818</v>
      </c>
      <c r="D34" s="5">
        <f t="shared" si="0"/>
        <v>25301.521714640308</v>
      </c>
      <c r="E34" s="5">
        <f t="shared" si="1"/>
        <v>15801.521714640308</v>
      </c>
      <c r="F34" s="5">
        <f t="shared" si="2"/>
        <v>5460.9468398300605</v>
      </c>
      <c r="G34" s="5">
        <f t="shared" si="3"/>
        <v>19840.574874810249</v>
      </c>
      <c r="H34" s="22">
        <f t="shared" si="10"/>
        <v>12021.354151494035</v>
      </c>
      <c r="I34" s="5">
        <f t="shared" si="4"/>
        <v>30912.242048336255</v>
      </c>
      <c r="J34" s="26">
        <f t="shared" si="5"/>
        <v>0.12033158542021312</v>
      </c>
      <c r="L34" s="22">
        <f t="shared" si="11"/>
        <v>42159.777148892397</v>
      </c>
      <c r="M34" s="5">
        <f>scrimecost*Meta!O31</f>
        <v>427.33599999999996</v>
      </c>
      <c r="N34" s="5">
        <f>L34-Grade9!L34</f>
        <v>629.36732445273083</v>
      </c>
      <c r="O34" s="5">
        <f>Grade9!M34-M34</f>
        <v>8.2180000000000177</v>
      </c>
      <c r="P34" s="22">
        <f t="shared" si="12"/>
        <v>116.27152825289104</v>
      </c>
      <c r="Q34" s="22"/>
      <c r="R34" s="22"/>
      <c r="S34" s="22">
        <f t="shared" si="6"/>
        <v>453.08846844909931</v>
      </c>
      <c r="T34" s="22">
        <f t="shared" si="7"/>
        <v>584.76381620882978</v>
      </c>
    </row>
    <row r="35" spans="1:20" x14ac:dyDescent="0.2">
      <c r="A35" s="5">
        <v>44</v>
      </c>
      <c r="B35" s="1">
        <f t="shared" si="8"/>
        <v>1.9964950187572048</v>
      </c>
      <c r="C35" s="5">
        <f t="shared" si="9"/>
        <v>26787.024709561683</v>
      </c>
      <c r="D35" s="5">
        <f t="shared" si="0"/>
        <v>25903.249757506313</v>
      </c>
      <c r="E35" s="5">
        <f t="shared" si="1"/>
        <v>16403.249757506313</v>
      </c>
      <c r="F35" s="5">
        <f t="shared" si="2"/>
        <v>5657.411045825811</v>
      </c>
      <c r="G35" s="5">
        <f t="shared" si="3"/>
        <v>20245.838711680502</v>
      </c>
      <c r="H35" s="22">
        <f t="shared" si="10"/>
        <v>12321.888005281386</v>
      </c>
      <c r="I35" s="5">
        <f t="shared" si="4"/>
        <v>31594.297564544657</v>
      </c>
      <c r="J35" s="26">
        <f t="shared" si="5"/>
        <v>0.12285108228179005</v>
      </c>
      <c r="L35" s="22">
        <f t="shared" si="11"/>
        <v>43213.771577614694</v>
      </c>
      <c r="M35" s="5">
        <f>scrimecost*Meta!O32</f>
        <v>427.33599999999996</v>
      </c>
      <c r="N35" s="5">
        <f>L35-Grade9!L35</f>
        <v>645.10150756403164</v>
      </c>
      <c r="O35" s="5">
        <f>Grade9!M35-M35</f>
        <v>8.2180000000000177</v>
      </c>
      <c r="P35" s="22">
        <f t="shared" si="12"/>
        <v>118.62858607788033</v>
      </c>
      <c r="Q35" s="22"/>
      <c r="R35" s="22"/>
      <c r="S35" s="22">
        <f t="shared" si="6"/>
        <v>463.69825879805114</v>
      </c>
      <c r="T35" s="22">
        <f t="shared" si="7"/>
        <v>603.93472399196719</v>
      </c>
    </row>
    <row r="36" spans="1:20" x14ac:dyDescent="0.2">
      <c r="A36" s="5">
        <v>45</v>
      </c>
      <c r="B36" s="1">
        <f t="shared" si="8"/>
        <v>2.0464073942261352</v>
      </c>
      <c r="C36" s="5">
        <f t="shared" si="9"/>
        <v>27456.700327300729</v>
      </c>
      <c r="D36" s="5">
        <f t="shared" si="0"/>
        <v>26520.021001443973</v>
      </c>
      <c r="E36" s="5">
        <f t="shared" si="1"/>
        <v>17020.021001443973</v>
      </c>
      <c r="F36" s="5">
        <f t="shared" si="2"/>
        <v>5858.7868569714574</v>
      </c>
      <c r="G36" s="5">
        <f t="shared" si="3"/>
        <v>20661.234144472517</v>
      </c>
      <c r="H36" s="22">
        <f t="shared" si="10"/>
        <v>12629.935205413421</v>
      </c>
      <c r="I36" s="5">
        <f t="shared" si="4"/>
        <v>32293.404468658278</v>
      </c>
      <c r="J36" s="26">
        <f t="shared" si="5"/>
        <v>0.12530912800040173</v>
      </c>
      <c r="L36" s="22">
        <f t="shared" si="11"/>
        <v>44294.115867055072</v>
      </c>
      <c r="M36" s="5">
        <f>scrimecost*Meta!O33</f>
        <v>329.05599999999998</v>
      </c>
      <c r="N36" s="5">
        <f>L36-Grade9!L36</f>
        <v>661.22904525315244</v>
      </c>
      <c r="O36" s="5">
        <f>Grade9!M36-M36</f>
        <v>6.3280000000000314</v>
      </c>
      <c r="P36" s="22">
        <f t="shared" si="12"/>
        <v>121.0445703484944</v>
      </c>
      <c r="Q36" s="22"/>
      <c r="R36" s="22"/>
      <c r="S36" s="22">
        <f t="shared" si="6"/>
        <v>472.77779390574682</v>
      </c>
      <c r="T36" s="22">
        <f t="shared" si="7"/>
        <v>621.39629324824637</v>
      </c>
    </row>
    <row r="37" spans="1:20" x14ac:dyDescent="0.2">
      <c r="A37" s="5">
        <v>46</v>
      </c>
      <c r="B37" s="1">
        <f t="shared" ref="B37:B56" si="13">(1+experiencepremium)^(A37-startage)</f>
        <v>2.097567579081788</v>
      </c>
      <c r="C37" s="5">
        <f t="shared" ref="C37:C56" si="14">pretaxincome*B37/expnorm</f>
        <v>28143.117835483241</v>
      </c>
      <c r="D37" s="5">
        <f t="shared" ref="D37:D56" si="15">IF(A37&lt;startage,1,0)*(C37*(1-initialunempprob))+IF(A37=startage,1,0)*(C37*(1-unempprob))+IF(A37&gt;startage,1,0)*(C37*(1-unempprob)+unempprob*300*52)</f>
        <v>27152.211526480067</v>
      </c>
      <c r="E37" s="5">
        <f t="shared" si="1"/>
        <v>17652.211526480067</v>
      </c>
      <c r="F37" s="5">
        <f t="shared" si="2"/>
        <v>6065.1970633957417</v>
      </c>
      <c r="G37" s="5">
        <f t="shared" si="3"/>
        <v>21087.014463084324</v>
      </c>
      <c r="H37" s="22">
        <f t="shared" ref="H37:H56" si="16">benefits*B37/expnorm</f>
        <v>12945.683585548753</v>
      </c>
      <c r="I37" s="5">
        <f t="shared" ref="I37:I56" si="17">G37+IF(A37&lt;startage,1,0)*(H37*(1-initialunempprob))+IF(A37&gt;=startage,1,0)*(H37*(1-unempprob))</f>
        <v>33009.989045374728</v>
      </c>
      <c r="J37" s="26">
        <f t="shared" si="5"/>
        <v>0.12770722138441307</v>
      </c>
      <c r="L37" s="22">
        <f t="shared" ref="L37:L56" si="18">(sincome+sbenefits)*(1-sunemp)*B37/expnorm</f>
        <v>45401.468763731435</v>
      </c>
      <c r="M37" s="5">
        <f>scrimecost*Meta!O34</f>
        <v>329.05599999999998</v>
      </c>
      <c r="N37" s="5">
        <f>L37-Grade9!L37</f>
        <v>677.7597713844516</v>
      </c>
      <c r="O37" s="5">
        <f>Grade9!M37-M37</f>
        <v>6.3280000000000314</v>
      </c>
      <c r="P37" s="22">
        <f t="shared" si="12"/>
        <v>123.52095422587375</v>
      </c>
      <c r="Q37" s="22"/>
      <c r="R37" s="22"/>
      <c r="S37" s="22">
        <f t="shared" si="6"/>
        <v>483.92470489110838</v>
      </c>
      <c r="T37" s="22">
        <f t="shared" si="7"/>
        <v>641.86905026526938</v>
      </c>
    </row>
    <row r="38" spans="1:20" x14ac:dyDescent="0.2">
      <c r="A38" s="5">
        <v>47</v>
      </c>
      <c r="B38" s="1">
        <f t="shared" si="13"/>
        <v>2.1500067685588333</v>
      </c>
      <c r="C38" s="5">
        <f t="shared" si="14"/>
        <v>28846.69578137033</v>
      </c>
      <c r="D38" s="5">
        <f t="shared" si="15"/>
        <v>27800.206814642075</v>
      </c>
      <c r="E38" s="5">
        <f t="shared" si="1"/>
        <v>18300.206814642075</v>
      </c>
      <c r="F38" s="5">
        <f t="shared" si="2"/>
        <v>6276.767524980638</v>
      </c>
      <c r="G38" s="5">
        <f t="shared" si="3"/>
        <v>21523.439289661437</v>
      </c>
      <c r="H38" s="22">
        <f t="shared" si="16"/>
        <v>13269.325675187476</v>
      </c>
      <c r="I38" s="5">
        <f t="shared" si="17"/>
        <v>33744.488236509103</v>
      </c>
      <c r="J38" s="26">
        <f t="shared" ref="J38:J56" si="19">(F38-(IF(A38&gt;startage,1,0)*(unempprob*300*52)))/(IF(A38&lt;startage,1,0)*((C38+H38)*(1-initialunempprob))+IF(A38&gt;=startage,1,0)*((C38+H38)*(1-unempprob)))</f>
        <v>0.1300468246858876</v>
      </c>
      <c r="L38" s="22">
        <f t="shared" si="18"/>
        <v>46536.50548282473</v>
      </c>
      <c r="M38" s="5">
        <f>scrimecost*Meta!O35</f>
        <v>329.05599999999998</v>
      </c>
      <c r="N38" s="5">
        <f>L38-Grade9!L38</f>
        <v>694.70376566908089</v>
      </c>
      <c r="O38" s="5">
        <f>Grade9!M38-M38</f>
        <v>6.3280000000000314</v>
      </c>
      <c r="P38" s="22">
        <f t="shared" si="12"/>
        <v>126.05924770018767</v>
      </c>
      <c r="Q38" s="22"/>
      <c r="R38" s="22"/>
      <c r="S38" s="22">
        <f t="shared" ref="S38:S69" si="20">IF(A38&lt;startage,1,0)*(N38-Q38-R38)+IF(A38&gt;=startage,1,0)*completionprob*(N38*spart+O38+P38)</f>
        <v>495.35028865112935</v>
      </c>
      <c r="T38" s="22">
        <f t="shared" ref="T38:T69" si="21">S38/sreturn^(A38-startage+1)</f>
        <v>663.03753496128718</v>
      </c>
    </row>
    <row r="39" spans="1:20" x14ac:dyDescent="0.2">
      <c r="A39" s="5">
        <v>48</v>
      </c>
      <c r="B39" s="1">
        <f t="shared" si="13"/>
        <v>2.2037569377728037</v>
      </c>
      <c r="C39" s="5">
        <f t="shared" si="14"/>
        <v>29567.863175904582</v>
      </c>
      <c r="D39" s="5">
        <f t="shared" si="15"/>
        <v>28464.401985008124</v>
      </c>
      <c r="E39" s="5">
        <f t="shared" si="1"/>
        <v>18964.401985008124</v>
      </c>
      <c r="F39" s="5">
        <f t="shared" si="2"/>
        <v>6493.6272481051528</v>
      </c>
      <c r="G39" s="5">
        <f t="shared" si="3"/>
        <v>21970.774736902971</v>
      </c>
      <c r="H39" s="22">
        <f t="shared" si="16"/>
        <v>13601.05881706716</v>
      </c>
      <c r="I39" s="5">
        <f t="shared" si="17"/>
        <v>34497.349907421827</v>
      </c>
      <c r="J39" s="26">
        <f t="shared" si="19"/>
        <v>0.13232936449220423</v>
      </c>
      <c r="L39" s="22">
        <f t="shared" si="18"/>
        <v>47699.918119895345</v>
      </c>
      <c r="M39" s="5">
        <f>scrimecost*Meta!O36</f>
        <v>329.05599999999998</v>
      </c>
      <c r="N39" s="5">
        <f>L39-Grade9!L39</f>
        <v>712.07135981080501</v>
      </c>
      <c r="O39" s="5">
        <f>Grade9!M39-M39</f>
        <v>6.3280000000000314</v>
      </c>
      <c r="P39" s="22">
        <f t="shared" ref="P39:P56" si="22">(spart-initialspart)*(L39*J39+nptrans)</f>
        <v>128.6609985113594</v>
      </c>
      <c r="Q39" s="22"/>
      <c r="R39" s="22"/>
      <c r="S39" s="22">
        <f t="shared" si="20"/>
        <v>507.06151200513972</v>
      </c>
      <c r="T39" s="22">
        <f t="shared" si="21"/>
        <v>684.92559305147643</v>
      </c>
    </row>
    <row r="40" spans="1:20" x14ac:dyDescent="0.2">
      <c r="A40" s="5">
        <v>49</v>
      </c>
      <c r="B40" s="1">
        <f t="shared" si="13"/>
        <v>2.2588508612171236</v>
      </c>
      <c r="C40" s="5">
        <f t="shared" si="14"/>
        <v>30307.059755302194</v>
      </c>
      <c r="D40" s="5">
        <f t="shared" si="15"/>
        <v>29145.202034633323</v>
      </c>
      <c r="E40" s="5">
        <f t="shared" si="1"/>
        <v>19645.202034633323</v>
      </c>
      <c r="F40" s="5">
        <f t="shared" si="2"/>
        <v>6715.9084643077804</v>
      </c>
      <c r="G40" s="5">
        <f t="shared" si="3"/>
        <v>22429.293570325543</v>
      </c>
      <c r="H40" s="22">
        <f t="shared" si="16"/>
        <v>13941.085287493839</v>
      </c>
      <c r="I40" s="5">
        <f t="shared" si="17"/>
        <v>35269.033120107371</v>
      </c>
      <c r="J40" s="26">
        <f t="shared" si="19"/>
        <v>0.13455623259592769</v>
      </c>
      <c r="L40" s="22">
        <f t="shared" si="18"/>
        <v>48892.416072892724</v>
      </c>
      <c r="M40" s="5">
        <f>scrimecost*Meta!O37</f>
        <v>329.05599999999998</v>
      </c>
      <c r="N40" s="5">
        <f>L40-Grade9!L40</f>
        <v>729.87314380607859</v>
      </c>
      <c r="O40" s="5">
        <f>Grade9!M40-M40</f>
        <v>6.3280000000000314</v>
      </c>
      <c r="P40" s="22">
        <f t="shared" si="22"/>
        <v>131.3277930928104</v>
      </c>
      <c r="Q40" s="22"/>
      <c r="R40" s="22"/>
      <c r="S40" s="22">
        <f t="shared" si="20"/>
        <v>519.06551594300367</v>
      </c>
      <c r="T40" s="22">
        <f t="shared" si="21"/>
        <v>707.55788942836216</v>
      </c>
    </row>
    <row r="41" spans="1:20" x14ac:dyDescent="0.2">
      <c r="A41" s="5">
        <v>50</v>
      </c>
      <c r="B41" s="1">
        <f t="shared" si="13"/>
        <v>2.3153221327475517</v>
      </c>
      <c r="C41" s="5">
        <f t="shared" si="14"/>
        <v>31064.736249184753</v>
      </c>
      <c r="D41" s="5">
        <f t="shared" si="15"/>
        <v>29843.02208549916</v>
      </c>
      <c r="E41" s="5">
        <f t="shared" si="1"/>
        <v>20343.02208549916</v>
      </c>
      <c r="F41" s="5">
        <f t="shared" si="2"/>
        <v>6943.7467109154759</v>
      </c>
      <c r="G41" s="5">
        <f t="shared" si="3"/>
        <v>22899.275374583685</v>
      </c>
      <c r="H41" s="22">
        <f t="shared" si="16"/>
        <v>14289.612419681185</v>
      </c>
      <c r="I41" s="5">
        <f t="shared" si="17"/>
        <v>36060.008413110059</v>
      </c>
      <c r="J41" s="26">
        <f t="shared" si="19"/>
        <v>0.13672878684346285</v>
      </c>
      <c r="L41" s="22">
        <f t="shared" si="18"/>
        <v>50114.72647471504</v>
      </c>
      <c r="M41" s="5">
        <f>scrimecost*Meta!O38</f>
        <v>199.83600000000001</v>
      </c>
      <c r="N41" s="5">
        <f>L41-Grade9!L41</f>
        <v>748.1199724012331</v>
      </c>
      <c r="O41" s="5">
        <f>Grade9!M41-M41</f>
        <v>3.8429999999999893</v>
      </c>
      <c r="P41" s="22">
        <f t="shared" si="22"/>
        <v>134.06125753879769</v>
      </c>
      <c r="Q41" s="22"/>
      <c r="R41" s="22"/>
      <c r="S41" s="22">
        <f t="shared" si="20"/>
        <v>529.00886997931377</v>
      </c>
      <c r="T41" s="22">
        <f t="shared" si="21"/>
        <v>727.71245357992564</v>
      </c>
    </row>
    <row r="42" spans="1:20" x14ac:dyDescent="0.2">
      <c r="A42" s="5">
        <v>51</v>
      </c>
      <c r="B42" s="1">
        <f t="shared" si="13"/>
        <v>2.3732051860662402</v>
      </c>
      <c r="C42" s="5">
        <f t="shared" si="14"/>
        <v>31841.354655414365</v>
      </c>
      <c r="D42" s="5">
        <f t="shared" si="15"/>
        <v>30558.287637636633</v>
      </c>
      <c r="E42" s="5">
        <f t="shared" si="1"/>
        <v>21058.287637636633</v>
      </c>
      <c r="F42" s="5">
        <f t="shared" si="2"/>
        <v>7177.2809136883607</v>
      </c>
      <c r="G42" s="5">
        <f t="shared" si="3"/>
        <v>23381.006723948274</v>
      </c>
      <c r="H42" s="22">
        <f t="shared" si="16"/>
        <v>14646.852730173212</v>
      </c>
      <c r="I42" s="5">
        <f t="shared" si="17"/>
        <v>36870.758088437804</v>
      </c>
      <c r="J42" s="26">
        <f t="shared" si="19"/>
        <v>0.13884835196300929</v>
      </c>
      <c r="L42" s="22">
        <f t="shared" si="18"/>
        <v>51367.594636582908</v>
      </c>
      <c r="M42" s="5">
        <f>scrimecost*Meta!O39</f>
        <v>199.83600000000001</v>
      </c>
      <c r="N42" s="5">
        <f>L42-Grade9!L42</f>
        <v>766.82297171125538</v>
      </c>
      <c r="O42" s="5">
        <f>Grade9!M42-M42</f>
        <v>3.8429999999999893</v>
      </c>
      <c r="P42" s="22">
        <f t="shared" si="22"/>
        <v>136.86305859593466</v>
      </c>
      <c r="Q42" s="22"/>
      <c r="R42" s="22"/>
      <c r="S42" s="22">
        <f t="shared" si="20"/>
        <v>541.6205766165258</v>
      </c>
      <c r="T42" s="22">
        <f t="shared" si="21"/>
        <v>751.88091518675208</v>
      </c>
    </row>
    <row r="43" spans="1:20" x14ac:dyDescent="0.2">
      <c r="A43" s="5">
        <v>52</v>
      </c>
      <c r="B43" s="1">
        <f t="shared" si="13"/>
        <v>2.4325353157178964</v>
      </c>
      <c r="C43" s="5">
        <f t="shared" si="14"/>
        <v>32637.388521799723</v>
      </c>
      <c r="D43" s="5">
        <f t="shared" si="15"/>
        <v>31291.434828577549</v>
      </c>
      <c r="E43" s="5">
        <f t="shared" si="1"/>
        <v>21791.434828577549</v>
      </c>
      <c r="F43" s="5">
        <f t="shared" si="2"/>
        <v>7416.6534715305697</v>
      </c>
      <c r="G43" s="5">
        <f t="shared" si="3"/>
        <v>23874.781357046981</v>
      </c>
      <c r="H43" s="22">
        <f t="shared" si="16"/>
        <v>15013.024048427544</v>
      </c>
      <c r="I43" s="5">
        <f t="shared" si="17"/>
        <v>37701.776505648748</v>
      </c>
      <c r="J43" s="26">
        <f t="shared" si="19"/>
        <v>0.14091622037232293</v>
      </c>
      <c r="L43" s="22">
        <f t="shared" si="18"/>
        <v>52651.784502497489</v>
      </c>
      <c r="M43" s="5">
        <f>scrimecost*Meta!O40</f>
        <v>199.83600000000001</v>
      </c>
      <c r="N43" s="5">
        <f>L43-Grade9!L43</f>
        <v>785.99354600404331</v>
      </c>
      <c r="O43" s="5">
        <f>Grade9!M43-M43</f>
        <v>3.8429999999999893</v>
      </c>
      <c r="P43" s="22">
        <f t="shared" si="22"/>
        <v>139.73490467950003</v>
      </c>
      <c r="Q43" s="22"/>
      <c r="R43" s="22"/>
      <c r="S43" s="22">
        <f t="shared" si="20"/>
        <v>554.54757591967609</v>
      </c>
      <c r="T43" s="22">
        <f t="shared" si="21"/>
        <v>776.87253921059585</v>
      </c>
    </row>
    <row r="44" spans="1:20" x14ac:dyDescent="0.2">
      <c r="A44" s="5">
        <v>53</v>
      </c>
      <c r="B44" s="1">
        <f t="shared" si="13"/>
        <v>2.4933486986108435</v>
      </c>
      <c r="C44" s="5">
        <f t="shared" si="14"/>
        <v>33453.323234844713</v>
      </c>
      <c r="D44" s="5">
        <f t="shared" si="15"/>
        <v>32042.910699291984</v>
      </c>
      <c r="E44" s="5">
        <f t="shared" si="1"/>
        <v>22542.910699291984</v>
      </c>
      <c r="F44" s="5">
        <f t="shared" si="2"/>
        <v>7662.0103433188324</v>
      </c>
      <c r="G44" s="5">
        <f t="shared" si="3"/>
        <v>24380.90035597315</v>
      </c>
      <c r="H44" s="22">
        <f t="shared" si="16"/>
        <v>15388.34964963823</v>
      </c>
      <c r="I44" s="5">
        <f t="shared" si="17"/>
        <v>38553.57038328996</v>
      </c>
      <c r="J44" s="26">
        <f t="shared" si="19"/>
        <v>0.14293365296677521</v>
      </c>
      <c r="L44" s="22">
        <f t="shared" si="18"/>
        <v>53968.079115059918</v>
      </c>
      <c r="M44" s="5">
        <f>scrimecost*Meta!O41</f>
        <v>199.83600000000001</v>
      </c>
      <c r="N44" s="5">
        <f>L44-Grade9!L44</f>
        <v>805.64338465415494</v>
      </c>
      <c r="O44" s="5">
        <f>Grade9!M44-M44</f>
        <v>3.8429999999999893</v>
      </c>
      <c r="P44" s="22">
        <f t="shared" si="22"/>
        <v>142.67854691515456</v>
      </c>
      <c r="Q44" s="22"/>
      <c r="R44" s="22"/>
      <c r="S44" s="22">
        <f t="shared" si="20"/>
        <v>567.7977502054074</v>
      </c>
      <c r="T44" s="22">
        <f t="shared" si="21"/>
        <v>802.71555619747812</v>
      </c>
    </row>
    <row r="45" spans="1:20" x14ac:dyDescent="0.2">
      <c r="A45" s="5">
        <v>54</v>
      </c>
      <c r="B45" s="1">
        <f t="shared" si="13"/>
        <v>2.555682416076114</v>
      </c>
      <c r="C45" s="5">
        <f t="shared" si="14"/>
        <v>34289.656315715823</v>
      </c>
      <c r="D45" s="5">
        <f t="shared" si="15"/>
        <v>32813.173466774271</v>
      </c>
      <c r="E45" s="5">
        <f t="shared" si="1"/>
        <v>23313.173466774271</v>
      </c>
      <c r="F45" s="5">
        <f t="shared" si="2"/>
        <v>7913.5011369017993</v>
      </c>
      <c r="G45" s="5">
        <f t="shared" si="3"/>
        <v>24899.672329872472</v>
      </c>
      <c r="H45" s="22">
        <f t="shared" si="16"/>
        <v>15773.058390879181</v>
      </c>
      <c r="I45" s="5">
        <f t="shared" si="17"/>
        <v>39426.659107872198</v>
      </c>
      <c r="J45" s="26">
        <f t="shared" si="19"/>
        <v>0.14490187988819209</v>
      </c>
      <c r="L45" s="22">
        <f t="shared" si="18"/>
        <v>55317.281092936406</v>
      </c>
      <c r="M45" s="5">
        <f>scrimecost*Meta!O42</f>
        <v>199.83600000000001</v>
      </c>
      <c r="N45" s="5">
        <f>L45-Grade9!L45</f>
        <v>825.78446927048935</v>
      </c>
      <c r="O45" s="5">
        <f>Grade9!M45-M45</f>
        <v>3.8429999999999893</v>
      </c>
      <c r="P45" s="22">
        <f t="shared" si="22"/>
        <v>145.69578020670042</v>
      </c>
      <c r="Q45" s="22"/>
      <c r="R45" s="22"/>
      <c r="S45" s="22">
        <f t="shared" si="20"/>
        <v>581.37917884826572</v>
      </c>
      <c r="T45" s="22">
        <f t="shared" si="21"/>
        <v>829.43916666050222</v>
      </c>
    </row>
    <row r="46" spans="1:20" x14ac:dyDescent="0.2">
      <c r="A46" s="5">
        <v>55</v>
      </c>
      <c r="B46" s="1">
        <f t="shared" si="13"/>
        <v>2.6195744764780171</v>
      </c>
      <c r="C46" s="5">
        <f t="shared" si="14"/>
        <v>35146.897723608723</v>
      </c>
      <c r="D46" s="5">
        <f t="shared" si="15"/>
        <v>33602.692803443635</v>
      </c>
      <c r="E46" s="5">
        <f t="shared" si="1"/>
        <v>24102.692803443635</v>
      </c>
      <c r="F46" s="5">
        <f t="shared" si="2"/>
        <v>8171.2792003243467</v>
      </c>
      <c r="G46" s="5">
        <f t="shared" si="3"/>
        <v>25431.41360311929</v>
      </c>
      <c r="H46" s="22">
        <f t="shared" si="16"/>
        <v>16167.384850651164</v>
      </c>
      <c r="I46" s="5">
        <f t="shared" si="17"/>
        <v>40321.575050569008</v>
      </c>
      <c r="J46" s="26">
        <f t="shared" si="19"/>
        <v>0.14682210127494028</v>
      </c>
      <c r="L46" s="22">
        <f t="shared" si="18"/>
        <v>56700.213120259825</v>
      </c>
      <c r="M46" s="5">
        <f>scrimecost*Meta!O43</f>
        <v>99.736000000000004</v>
      </c>
      <c r="N46" s="5">
        <f>L46-Grade9!L46</f>
        <v>846.42908100226487</v>
      </c>
      <c r="O46" s="5">
        <f>Grade9!M46-M46</f>
        <v>1.9180000000000064</v>
      </c>
      <c r="P46" s="22">
        <f t="shared" si="22"/>
        <v>148.78844433053499</v>
      </c>
      <c r="Q46" s="22"/>
      <c r="R46" s="22"/>
      <c r="S46" s="22">
        <f t="shared" si="20"/>
        <v>593.47139320721317</v>
      </c>
      <c r="T46" s="22">
        <f t="shared" si="21"/>
        <v>854.44066173695899</v>
      </c>
    </row>
    <row r="47" spans="1:20" x14ac:dyDescent="0.2">
      <c r="A47" s="5">
        <v>56</v>
      </c>
      <c r="B47" s="1">
        <f t="shared" si="13"/>
        <v>2.6850638383899672</v>
      </c>
      <c r="C47" s="5">
        <f t="shared" si="14"/>
        <v>36025.570166698941</v>
      </c>
      <c r="D47" s="5">
        <f t="shared" si="15"/>
        <v>34411.950123529728</v>
      </c>
      <c r="E47" s="5">
        <f t="shared" si="1"/>
        <v>24911.950123529728</v>
      </c>
      <c r="F47" s="5">
        <f t="shared" si="2"/>
        <v>8435.5017153324552</v>
      </c>
      <c r="G47" s="5">
        <f t="shared" si="3"/>
        <v>25976.448408197273</v>
      </c>
      <c r="H47" s="22">
        <f t="shared" si="16"/>
        <v>16571.569471917439</v>
      </c>
      <c r="I47" s="5">
        <f t="shared" si="17"/>
        <v>41238.863891833236</v>
      </c>
      <c r="J47" s="26">
        <f t="shared" si="19"/>
        <v>0.14869548799371901</v>
      </c>
      <c r="L47" s="22">
        <f t="shared" si="18"/>
        <v>58117.718448266314</v>
      </c>
      <c r="M47" s="5">
        <f>scrimecost*Meta!O44</f>
        <v>99.736000000000004</v>
      </c>
      <c r="N47" s="5">
        <f>L47-Grade9!L47</f>
        <v>867.58980802731821</v>
      </c>
      <c r="O47" s="5">
        <f>Grade9!M47-M47</f>
        <v>1.9180000000000064</v>
      </c>
      <c r="P47" s="22">
        <f t="shared" si="22"/>
        <v>151.95842505746538</v>
      </c>
      <c r="Q47" s="22"/>
      <c r="R47" s="22"/>
      <c r="S47" s="22">
        <f t="shared" si="20"/>
        <v>607.74038167512538</v>
      </c>
      <c r="T47" s="22">
        <f t="shared" si="21"/>
        <v>882.99300914495063</v>
      </c>
    </row>
    <row r="48" spans="1:20" x14ac:dyDescent="0.2">
      <c r="A48" s="5">
        <v>57</v>
      </c>
      <c r="B48" s="1">
        <f t="shared" si="13"/>
        <v>2.7521904343497163</v>
      </c>
      <c r="C48" s="5">
        <f t="shared" si="14"/>
        <v>36926.209420866406</v>
      </c>
      <c r="D48" s="5">
        <f t="shared" si="15"/>
        <v>35241.438876617962</v>
      </c>
      <c r="E48" s="5">
        <f t="shared" si="1"/>
        <v>25741.438876617962</v>
      </c>
      <c r="F48" s="5">
        <f t="shared" si="2"/>
        <v>8706.3297932157639</v>
      </c>
      <c r="G48" s="5">
        <f t="shared" si="3"/>
        <v>26535.109083402196</v>
      </c>
      <c r="H48" s="22">
        <f t="shared" si="16"/>
        <v>16985.858708715376</v>
      </c>
      <c r="I48" s="5">
        <f t="shared" si="17"/>
        <v>42179.084954129059</v>
      </c>
      <c r="J48" s="26">
        <f t="shared" si="19"/>
        <v>0.15052318235350315</v>
      </c>
      <c r="L48" s="22">
        <f t="shared" si="18"/>
        <v>59570.661409472967</v>
      </c>
      <c r="M48" s="5">
        <f>scrimecost*Meta!O45</f>
        <v>99.736000000000004</v>
      </c>
      <c r="N48" s="5">
        <f>L48-Grade9!L48</f>
        <v>889.27955322800699</v>
      </c>
      <c r="O48" s="5">
        <f>Grade9!M48-M48</f>
        <v>1.9180000000000064</v>
      </c>
      <c r="P48" s="22">
        <f t="shared" si="22"/>
        <v>155.20765530256907</v>
      </c>
      <c r="Q48" s="22"/>
      <c r="R48" s="22"/>
      <c r="S48" s="22">
        <f t="shared" si="20"/>
        <v>622.36609485474037</v>
      </c>
      <c r="T48" s="22">
        <f t="shared" si="21"/>
        <v>912.51948999297429</v>
      </c>
    </row>
    <row r="49" spans="1:20" x14ac:dyDescent="0.2">
      <c r="A49" s="5">
        <v>58</v>
      </c>
      <c r="B49" s="1">
        <f t="shared" si="13"/>
        <v>2.8209951952084591</v>
      </c>
      <c r="C49" s="5">
        <f t="shared" si="14"/>
        <v>37849.364656388068</v>
      </c>
      <c r="D49" s="5">
        <f t="shared" si="15"/>
        <v>36091.664848533415</v>
      </c>
      <c r="E49" s="5">
        <f t="shared" si="1"/>
        <v>26591.664848533415</v>
      </c>
      <c r="F49" s="5">
        <f t="shared" si="2"/>
        <v>8983.9285730461597</v>
      </c>
      <c r="G49" s="5">
        <f t="shared" si="3"/>
        <v>27107.736275487256</v>
      </c>
      <c r="H49" s="22">
        <f t="shared" si="16"/>
        <v>17410.505176433257</v>
      </c>
      <c r="I49" s="5">
        <f t="shared" si="17"/>
        <v>43142.811542982286</v>
      </c>
      <c r="J49" s="26">
        <f t="shared" si="19"/>
        <v>0.15230629880207303</v>
      </c>
      <c r="L49" s="22">
        <f t="shared" si="18"/>
        <v>61059.927944709787</v>
      </c>
      <c r="M49" s="5">
        <f>scrimecost*Meta!O46</f>
        <v>99.736000000000004</v>
      </c>
      <c r="N49" s="5">
        <f>L49-Grade9!L49</f>
        <v>911.51154205869534</v>
      </c>
      <c r="O49" s="5">
        <f>Grade9!M49-M49</f>
        <v>1.9180000000000064</v>
      </c>
      <c r="P49" s="22">
        <f t="shared" si="22"/>
        <v>158.53811630380031</v>
      </c>
      <c r="Q49" s="22"/>
      <c r="R49" s="22"/>
      <c r="S49" s="22">
        <f t="shared" si="20"/>
        <v>637.35745086383622</v>
      </c>
      <c r="T49" s="22">
        <f t="shared" si="21"/>
        <v>943.05352773895686</v>
      </c>
    </row>
    <row r="50" spans="1:20" x14ac:dyDescent="0.2">
      <c r="A50" s="5">
        <v>59</v>
      </c>
      <c r="B50" s="1">
        <f t="shared" si="13"/>
        <v>2.8915200750886707</v>
      </c>
      <c r="C50" s="5">
        <f t="shared" si="14"/>
        <v>38795.59877279777</v>
      </c>
      <c r="D50" s="5">
        <f t="shared" si="15"/>
        <v>36963.146469746753</v>
      </c>
      <c r="E50" s="5">
        <f t="shared" si="1"/>
        <v>27463.146469746753</v>
      </c>
      <c r="F50" s="5">
        <f t="shared" si="2"/>
        <v>9268.4673223723148</v>
      </c>
      <c r="G50" s="5">
        <f t="shared" si="3"/>
        <v>27694.679147374438</v>
      </c>
      <c r="H50" s="22">
        <f t="shared" si="16"/>
        <v>17845.767805844091</v>
      </c>
      <c r="I50" s="5">
        <f t="shared" si="17"/>
        <v>44130.63129655685</v>
      </c>
      <c r="J50" s="26">
        <f t="shared" si="19"/>
        <v>0.15404592460555586</v>
      </c>
      <c r="L50" s="22">
        <f t="shared" si="18"/>
        <v>62586.426143327531</v>
      </c>
      <c r="M50" s="5">
        <f>scrimecost*Meta!O47</f>
        <v>99.736000000000004</v>
      </c>
      <c r="N50" s="5">
        <f>L50-Grade9!L50</f>
        <v>934.299330610178</v>
      </c>
      <c r="O50" s="5">
        <f>Grade9!M50-M50</f>
        <v>1.9180000000000064</v>
      </c>
      <c r="P50" s="22">
        <f t="shared" si="22"/>
        <v>161.95183883006237</v>
      </c>
      <c r="Q50" s="22"/>
      <c r="R50" s="22"/>
      <c r="S50" s="22">
        <f t="shared" si="20"/>
        <v>652.7235907731739</v>
      </c>
      <c r="T50" s="22">
        <f t="shared" si="21"/>
        <v>974.62969437072729</v>
      </c>
    </row>
    <row r="51" spans="1:20" x14ac:dyDescent="0.2">
      <c r="A51" s="5">
        <v>60</v>
      </c>
      <c r="B51" s="1">
        <f t="shared" si="13"/>
        <v>2.9638080769658868</v>
      </c>
      <c r="C51" s="5">
        <f t="shared" si="14"/>
        <v>39765.488742117705</v>
      </c>
      <c r="D51" s="5">
        <f t="shared" si="15"/>
        <v>37856.415131490408</v>
      </c>
      <c r="E51" s="5">
        <f t="shared" si="1"/>
        <v>28356.415131490408</v>
      </c>
      <c r="F51" s="5">
        <f t="shared" si="2"/>
        <v>9560.1195404316186</v>
      </c>
      <c r="G51" s="5">
        <f t="shared" si="3"/>
        <v>28296.295591058792</v>
      </c>
      <c r="H51" s="22">
        <f t="shared" si="16"/>
        <v>18291.912000990189</v>
      </c>
      <c r="I51" s="5">
        <f t="shared" si="17"/>
        <v>45143.146543970754</v>
      </c>
      <c r="J51" s="26">
        <f t="shared" si="19"/>
        <v>0.15574312051139269</v>
      </c>
      <c r="L51" s="22">
        <f t="shared" si="18"/>
        <v>64151.086796910713</v>
      </c>
      <c r="M51" s="5">
        <f>scrimecost*Meta!O48</f>
        <v>49.868000000000002</v>
      </c>
      <c r="N51" s="5">
        <f>L51-Grade9!L51</f>
        <v>957.65681387541554</v>
      </c>
      <c r="O51" s="5">
        <f>Grade9!M51-M51</f>
        <v>0.95900000000000318</v>
      </c>
      <c r="P51" s="22">
        <f t="shared" si="22"/>
        <v>165.45090441948093</v>
      </c>
      <c r="Q51" s="22"/>
      <c r="R51" s="22"/>
      <c r="S51" s="22">
        <f t="shared" si="20"/>
        <v>667.56283418022804</v>
      </c>
      <c r="T51" s="22">
        <f t="shared" si="21"/>
        <v>1005.9109425404646</v>
      </c>
    </row>
    <row r="52" spans="1:20" x14ac:dyDescent="0.2">
      <c r="A52" s="5">
        <v>61</v>
      </c>
      <c r="B52" s="1">
        <f t="shared" si="13"/>
        <v>3.0379032788900342</v>
      </c>
      <c r="C52" s="5">
        <f t="shared" si="14"/>
        <v>40759.625960670652</v>
      </c>
      <c r="D52" s="5">
        <f t="shared" si="15"/>
        <v>38772.015509777673</v>
      </c>
      <c r="E52" s="5">
        <f t="shared" si="1"/>
        <v>29272.015509777673</v>
      </c>
      <c r="F52" s="5">
        <f t="shared" si="2"/>
        <v>9859.0630639424107</v>
      </c>
      <c r="G52" s="5">
        <f t="shared" si="3"/>
        <v>28912.952445835261</v>
      </c>
      <c r="H52" s="22">
        <f t="shared" si="16"/>
        <v>18749.209801014946</v>
      </c>
      <c r="I52" s="5">
        <f t="shared" si="17"/>
        <v>46180.974672570024</v>
      </c>
      <c r="J52" s="26">
        <f t="shared" si="19"/>
        <v>0.157398921395136</v>
      </c>
      <c r="L52" s="22">
        <f t="shared" si="18"/>
        <v>65754.86396683348</v>
      </c>
      <c r="M52" s="5">
        <f>scrimecost*Meta!O49</f>
        <v>49.868000000000002</v>
      </c>
      <c r="N52" s="5">
        <f>L52-Grade9!L52</f>
        <v>981.5982342223142</v>
      </c>
      <c r="O52" s="5">
        <f>Grade9!M52-M52</f>
        <v>0.95900000000000318</v>
      </c>
      <c r="P52" s="22">
        <f t="shared" si="22"/>
        <v>169.03744664863498</v>
      </c>
      <c r="Q52" s="22"/>
      <c r="R52" s="22"/>
      <c r="S52" s="22">
        <f t="shared" si="20"/>
        <v>683.70688492247439</v>
      </c>
      <c r="T52" s="22">
        <f t="shared" si="21"/>
        <v>1039.6673103735354</v>
      </c>
    </row>
    <row r="53" spans="1:20" x14ac:dyDescent="0.2">
      <c r="A53" s="5">
        <v>62</v>
      </c>
      <c r="B53" s="1">
        <f t="shared" si="13"/>
        <v>3.1138508608622844</v>
      </c>
      <c r="C53" s="5">
        <f t="shared" si="14"/>
        <v>41778.616609687415</v>
      </c>
      <c r="D53" s="5">
        <f t="shared" si="15"/>
        <v>39710.505897522111</v>
      </c>
      <c r="E53" s="5">
        <f t="shared" si="1"/>
        <v>30210.505897522111</v>
      </c>
      <c r="F53" s="5">
        <f t="shared" si="2"/>
        <v>10165.480175540968</v>
      </c>
      <c r="G53" s="5">
        <f t="shared" si="3"/>
        <v>29545.025721981143</v>
      </c>
      <c r="H53" s="22">
        <f t="shared" si="16"/>
        <v>19217.940046040316</v>
      </c>
      <c r="I53" s="5">
        <f t="shared" si="17"/>
        <v>47244.748504384275</v>
      </c>
      <c r="J53" s="26">
        <f t="shared" si="19"/>
        <v>0.1590143368914709</v>
      </c>
      <c r="L53" s="22">
        <f t="shared" si="18"/>
        <v>67398.73556600431</v>
      </c>
      <c r="M53" s="5">
        <f>scrimecost*Meta!O50</f>
        <v>49.868000000000002</v>
      </c>
      <c r="N53" s="5">
        <f>L53-Grade9!L53</f>
        <v>1006.1381900778506</v>
      </c>
      <c r="O53" s="5">
        <f>Grade9!M53-M53</f>
        <v>0.95900000000000318</v>
      </c>
      <c r="P53" s="22">
        <f t="shared" si="22"/>
        <v>172.71365243351786</v>
      </c>
      <c r="Q53" s="22"/>
      <c r="R53" s="22"/>
      <c r="S53" s="22">
        <f t="shared" si="20"/>
        <v>700.25453693325846</v>
      </c>
      <c r="T53" s="22">
        <f t="shared" si="21"/>
        <v>1074.5767008849136</v>
      </c>
    </row>
    <row r="54" spans="1:20" x14ac:dyDescent="0.2">
      <c r="A54" s="5">
        <v>63</v>
      </c>
      <c r="B54" s="1">
        <f t="shared" si="13"/>
        <v>3.1916971323838421</v>
      </c>
      <c r="C54" s="5">
        <f t="shared" si="14"/>
        <v>42823.082024929601</v>
      </c>
      <c r="D54" s="5">
        <f t="shared" si="15"/>
        <v>40672.458544960165</v>
      </c>
      <c r="E54" s="5">
        <f t="shared" si="1"/>
        <v>31172.458544960165</v>
      </c>
      <c r="F54" s="5">
        <f t="shared" si="2"/>
        <v>10479.557714929495</v>
      </c>
      <c r="G54" s="5">
        <f t="shared" si="3"/>
        <v>30192.90083003067</v>
      </c>
      <c r="H54" s="22">
        <f t="shared" si="16"/>
        <v>19698.388547191327</v>
      </c>
      <c r="I54" s="5">
        <f t="shared" si="17"/>
        <v>48335.116681993881</v>
      </c>
      <c r="J54" s="26">
        <f t="shared" si="19"/>
        <v>0.16059035200984648</v>
      </c>
      <c r="L54" s="22">
        <f t="shared" si="18"/>
        <v>69083.703955154415</v>
      </c>
      <c r="M54" s="5">
        <f>scrimecost*Meta!O51</f>
        <v>49.868000000000002</v>
      </c>
      <c r="N54" s="5">
        <f>L54-Grade9!L54</f>
        <v>1031.2916448298201</v>
      </c>
      <c r="O54" s="5">
        <f>Grade9!M54-M54</f>
        <v>0.95900000000000318</v>
      </c>
      <c r="P54" s="22">
        <f t="shared" si="22"/>
        <v>176.48176336302285</v>
      </c>
      <c r="Q54" s="22"/>
      <c r="R54" s="22"/>
      <c r="S54" s="22">
        <f t="shared" si="20"/>
        <v>717.21588024433618</v>
      </c>
      <c r="T54" s="22">
        <f t="shared" si="21"/>
        <v>1110.6786877671605</v>
      </c>
    </row>
    <row r="55" spans="1:20" x14ac:dyDescent="0.2">
      <c r="A55" s="5">
        <v>64</v>
      </c>
      <c r="B55" s="1">
        <f t="shared" si="13"/>
        <v>3.2714895606934378</v>
      </c>
      <c r="C55" s="5">
        <f t="shared" si="14"/>
        <v>43893.659075552845</v>
      </c>
      <c r="D55" s="5">
        <f t="shared" si="15"/>
        <v>41658.460008584174</v>
      </c>
      <c r="E55" s="5">
        <f t="shared" si="1"/>
        <v>32158.460008584174</v>
      </c>
      <c r="F55" s="5">
        <f t="shared" si="2"/>
        <v>10801.487192802733</v>
      </c>
      <c r="G55" s="5">
        <f t="shared" si="3"/>
        <v>30856.972815781439</v>
      </c>
      <c r="H55" s="22">
        <f t="shared" si="16"/>
        <v>20190.848260871109</v>
      </c>
      <c r="I55" s="5">
        <f t="shared" si="17"/>
        <v>49452.744064043727</v>
      </c>
      <c r="J55" s="26">
        <f t="shared" si="19"/>
        <v>0.16212792773509091</v>
      </c>
      <c r="L55" s="22">
        <f t="shared" si="18"/>
        <v>70810.796554033266</v>
      </c>
      <c r="M55" s="5">
        <f>scrimecost*Meta!O52</f>
        <v>49.868000000000002</v>
      </c>
      <c r="N55" s="5">
        <f>L55-Grade9!L55</f>
        <v>1057.0739359505533</v>
      </c>
      <c r="O55" s="5">
        <f>Grade9!M55-M55</f>
        <v>0.95900000000000318</v>
      </c>
      <c r="P55" s="22">
        <f t="shared" si="22"/>
        <v>180.34407706576548</v>
      </c>
      <c r="Q55" s="22"/>
      <c r="R55" s="22"/>
      <c r="S55" s="22">
        <f t="shared" si="20"/>
        <v>734.6012571381716</v>
      </c>
      <c r="T55" s="22">
        <f t="shared" si="21"/>
        <v>1148.0142046964606</v>
      </c>
    </row>
    <row r="56" spans="1:20" x14ac:dyDescent="0.2">
      <c r="A56" s="5">
        <v>65</v>
      </c>
      <c r="B56" s="1">
        <f t="shared" si="13"/>
        <v>3.3532767997107733</v>
      </c>
      <c r="C56" s="5">
        <f t="shared" si="14"/>
        <v>44991.000552441656</v>
      </c>
      <c r="D56" s="5">
        <f t="shared" si="15"/>
        <v>42669.111508798771</v>
      </c>
      <c r="E56" s="5">
        <f t="shared" si="1"/>
        <v>33169.111508798771</v>
      </c>
      <c r="F56" s="5">
        <f t="shared" si="2"/>
        <v>11131.464907622798</v>
      </c>
      <c r="G56" s="5">
        <f t="shared" si="3"/>
        <v>31537.646601175973</v>
      </c>
      <c r="H56" s="22">
        <f t="shared" si="16"/>
        <v>20695.619467392884</v>
      </c>
      <c r="I56" s="5">
        <f t="shared" si="17"/>
        <v>50598.312130644816</v>
      </c>
      <c r="J56" s="26">
        <f t="shared" si="19"/>
        <v>0.16362800161337809</v>
      </c>
      <c r="L56" s="22">
        <f t="shared" si="18"/>
        <v>72581.066467884099</v>
      </c>
      <c r="M56" s="5">
        <f>scrimecost*Meta!O53</f>
        <v>13.831999999999999</v>
      </c>
      <c r="N56" s="5">
        <f>L56-Grade9!L56</f>
        <v>1083.5007843493077</v>
      </c>
      <c r="O56" s="5">
        <f>Grade9!M56-M56</f>
        <v>0.26600000000000001</v>
      </c>
      <c r="P56" s="22">
        <f t="shared" si="22"/>
        <v>184.3029486110766</v>
      </c>
      <c r="Q56" s="22"/>
      <c r="R56" s="22"/>
      <c r="S56" s="22">
        <f t="shared" si="20"/>
        <v>751.76291845435435</v>
      </c>
      <c r="T56" s="22">
        <f t="shared" si="21"/>
        <v>1185.5873240420265</v>
      </c>
    </row>
    <row r="57" spans="1:20" x14ac:dyDescent="0.2">
      <c r="A57" s="5">
        <v>66</v>
      </c>
      <c r="C57" s="5"/>
      <c r="H57" s="21"/>
      <c r="I57" s="5"/>
      <c r="M57" s="5">
        <f>scrimecost*Meta!O54</f>
        <v>13.831999999999999</v>
      </c>
      <c r="N57" s="5">
        <f>L57-Grade9!L57</f>
        <v>0</v>
      </c>
      <c r="O57" s="5">
        <f>Grade9!M57-M57</f>
        <v>0.26600000000000001</v>
      </c>
      <c r="Q57" s="22"/>
      <c r="R57" s="22"/>
      <c r="S57" s="22">
        <f t="shared" si="20"/>
        <v>0.25269999999999998</v>
      </c>
      <c r="T57" s="22">
        <f t="shared" si="21"/>
        <v>0.40217488132159707</v>
      </c>
    </row>
    <row r="58" spans="1:20" x14ac:dyDescent="0.2">
      <c r="A58" s="5">
        <v>67</v>
      </c>
      <c r="C58" s="5"/>
      <c r="H58" s="21"/>
      <c r="I58" s="5"/>
      <c r="M58" s="5">
        <f>scrimecost*Meta!O55</f>
        <v>13.831999999999999</v>
      </c>
      <c r="N58" s="5">
        <f>L58-Grade9!L58</f>
        <v>0</v>
      </c>
      <c r="O58" s="5">
        <f>Grade9!M58-M58</f>
        <v>0.26600000000000001</v>
      </c>
      <c r="Q58" s="22"/>
      <c r="R58" s="22"/>
      <c r="S58" s="22">
        <f t="shared" si="20"/>
        <v>0.25269999999999998</v>
      </c>
      <c r="T58" s="22">
        <f t="shared" si="21"/>
        <v>0.40585602290367762</v>
      </c>
    </row>
    <row r="59" spans="1:20" x14ac:dyDescent="0.2">
      <c r="A59" s="5">
        <v>68</v>
      </c>
      <c r="H59" s="21"/>
      <c r="I59" s="5"/>
      <c r="M59" s="5">
        <f>scrimecost*Meta!O56</f>
        <v>13.831999999999999</v>
      </c>
      <c r="N59" s="5">
        <f>L59-Grade9!L59</f>
        <v>0</v>
      </c>
      <c r="O59" s="5">
        <f>Grade9!M59-M59</f>
        <v>0.26600000000000001</v>
      </c>
      <c r="Q59" s="22"/>
      <c r="R59" s="22"/>
      <c r="S59" s="22">
        <f t="shared" si="20"/>
        <v>0.25269999999999998</v>
      </c>
      <c r="T59" s="22">
        <f t="shared" si="21"/>
        <v>0.40957085829404066</v>
      </c>
    </row>
    <row r="60" spans="1:20" x14ac:dyDescent="0.2">
      <c r="A60" s="5">
        <v>69</v>
      </c>
      <c r="H60" s="21"/>
      <c r="I60" s="5"/>
      <c r="M60" s="5">
        <f>scrimecost*Meta!O57</f>
        <v>13.831999999999999</v>
      </c>
      <c r="N60" s="5">
        <f>L60-Grade9!L60</f>
        <v>0</v>
      </c>
      <c r="O60" s="5">
        <f>Grade9!M60-M60</f>
        <v>0.26600000000000001</v>
      </c>
      <c r="Q60" s="22"/>
      <c r="R60" s="22"/>
      <c r="S60" s="22">
        <f t="shared" si="20"/>
        <v>0.25269999999999998</v>
      </c>
      <c r="T60" s="22">
        <f t="shared" si="21"/>
        <v>0.41331969589503692</v>
      </c>
    </row>
    <row r="61" spans="1:20" x14ac:dyDescent="0.2">
      <c r="A61" s="5">
        <v>70</v>
      </c>
      <c r="H61" s="21"/>
      <c r="I61" s="5"/>
      <c r="M61" s="5">
        <f>scrimecost*Meta!O58</f>
        <v>13.831999999999999</v>
      </c>
      <c r="N61" s="5">
        <f>L61-Grade9!L61</f>
        <v>0</v>
      </c>
      <c r="O61" s="5">
        <f>Grade9!M61-M61</f>
        <v>0.26600000000000001</v>
      </c>
      <c r="Q61" s="22"/>
      <c r="R61" s="22"/>
      <c r="S61" s="22">
        <f t="shared" si="20"/>
        <v>0.25269999999999998</v>
      </c>
      <c r="T61" s="22">
        <f t="shared" si="21"/>
        <v>0.41710284693185029</v>
      </c>
    </row>
    <row r="62" spans="1:20" x14ac:dyDescent="0.2">
      <c r="A62" s="5">
        <v>71</v>
      </c>
      <c r="H62" s="21"/>
      <c r="I62" s="5"/>
      <c r="M62" s="5">
        <f>scrimecost*Meta!O59</f>
        <v>13.831999999999999</v>
      </c>
      <c r="N62" s="5">
        <f>L62-Grade9!L62</f>
        <v>0</v>
      </c>
      <c r="O62" s="5">
        <f>Grade9!M62-M62</f>
        <v>0.26600000000000001</v>
      </c>
      <c r="Q62" s="22"/>
      <c r="R62" s="22"/>
      <c r="S62" s="22">
        <f t="shared" si="20"/>
        <v>0.25269999999999998</v>
      </c>
      <c r="T62" s="22">
        <f t="shared" si="21"/>
        <v>0.42092062547833592</v>
      </c>
    </row>
    <row r="63" spans="1:20" x14ac:dyDescent="0.2">
      <c r="A63" s="5">
        <v>72</v>
      </c>
      <c r="H63" s="21"/>
      <c r="M63" s="5">
        <f>scrimecost*Meta!O60</f>
        <v>13.831999999999999</v>
      </c>
      <c r="N63" s="5">
        <f>L63-Grade9!L63</f>
        <v>0</v>
      </c>
      <c r="O63" s="5">
        <f>Grade9!M63-M63</f>
        <v>0.26600000000000001</v>
      </c>
      <c r="Q63" s="22"/>
      <c r="R63" s="22"/>
      <c r="S63" s="22">
        <f t="shared" si="20"/>
        <v>0.25269999999999998</v>
      </c>
      <c r="T63" s="22">
        <f t="shared" si="21"/>
        <v>0.42477334848309412</v>
      </c>
    </row>
    <row r="64" spans="1:20" x14ac:dyDescent="0.2">
      <c r="A64" s="5">
        <v>73</v>
      </c>
      <c r="H64" s="21"/>
      <c r="M64" s="5">
        <f>scrimecost*Meta!O61</f>
        <v>13.831999999999999</v>
      </c>
      <c r="N64" s="5">
        <f>L64-Grade9!L64</f>
        <v>0</v>
      </c>
      <c r="O64" s="5">
        <f>Grade9!M64-M64</f>
        <v>0.26600000000000001</v>
      </c>
      <c r="Q64" s="22"/>
      <c r="R64" s="22"/>
      <c r="S64" s="22">
        <f t="shared" si="20"/>
        <v>0.25269999999999998</v>
      </c>
      <c r="T64" s="22">
        <f t="shared" si="21"/>
        <v>0.42866133579578342</v>
      </c>
    </row>
    <row r="65" spans="1:20" x14ac:dyDescent="0.2">
      <c r="A65" s="5">
        <v>74</v>
      </c>
      <c r="H65" s="21"/>
      <c r="M65" s="5">
        <f>scrimecost*Meta!O62</f>
        <v>13.831999999999999</v>
      </c>
      <c r="N65" s="5">
        <f>L65-Grade9!L65</f>
        <v>0</v>
      </c>
      <c r="O65" s="5">
        <f>Grade9!M65-M65</f>
        <v>0.26600000000000001</v>
      </c>
      <c r="Q65" s="22"/>
      <c r="R65" s="22"/>
      <c r="S65" s="22">
        <f t="shared" si="20"/>
        <v>0.25269999999999998</v>
      </c>
      <c r="T65" s="22">
        <f t="shared" si="21"/>
        <v>0.43258491019367384</v>
      </c>
    </row>
    <row r="66" spans="1:20" x14ac:dyDescent="0.2">
      <c r="A66" s="5">
        <v>75</v>
      </c>
      <c r="H66" s="21"/>
      <c r="M66" s="5">
        <f>scrimecost*Meta!O63</f>
        <v>13.831999999999999</v>
      </c>
      <c r="N66" s="5">
        <f>L66-Grade9!L66</f>
        <v>0</v>
      </c>
      <c r="O66" s="5">
        <f>Grade9!M66-M66</f>
        <v>0.26600000000000001</v>
      </c>
      <c r="Q66" s="22"/>
      <c r="R66" s="22"/>
      <c r="S66" s="22">
        <f t="shared" si="20"/>
        <v>0.25269999999999998</v>
      </c>
      <c r="T66" s="22">
        <f t="shared" si="21"/>
        <v>0.43654439740844375</v>
      </c>
    </row>
    <row r="67" spans="1:20" x14ac:dyDescent="0.2">
      <c r="A67" s="5">
        <v>76</v>
      </c>
      <c r="H67" s="21"/>
      <c r="M67" s="5">
        <f>scrimecost*Meta!O64</f>
        <v>13.831999999999999</v>
      </c>
      <c r="N67" s="5">
        <f>L67-Grade9!L67</f>
        <v>0</v>
      </c>
      <c r="O67" s="5">
        <f>Grade9!M67-M67</f>
        <v>0.26600000000000001</v>
      </c>
      <c r="Q67" s="22"/>
      <c r="R67" s="22"/>
      <c r="S67" s="22">
        <f t="shared" si="20"/>
        <v>0.25269999999999998</v>
      </c>
      <c r="T67" s="22">
        <f t="shared" si="21"/>
        <v>0.44054012615322213</v>
      </c>
    </row>
    <row r="68" spans="1:20" x14ac:dyDescent="0.2">
      <c r="A68" s="5">
        <v>77</v>
      </c>
      <c r="H68" s="21"/>
      <c r="M68" s="5">
        <f>scrimecost*Meta!O65</f>
        <v>13.831999999999999</v>
      </c>
      <c r="N68" s="5">
        <f>L68-Grade9!L68</f>
        <v>0</v>
      </c>
      <c r="O68" s="5">
        <f>Grade9!M68-M68</f>
        <v>0.26600000000000001</v>
      </c>
      <c r="Q68" s="22"/>
      <c r="R68" s="22"/>
      <c r="S68" s="22">
        <f t="shared" si="20"/>
        <v>0.25269999999999998</v>
      </c>
      <c r="T68" s="22">
        <f t="shared" si="21"/>
        <v>0.44457242814987719</v>
      </c>
    </row>
    <row r="69" spans="1:20" x14ac:dyDescent="0.2">
      <c r="A69" s="5">
        <v>78</v>
      </c>
      <c r="H69" s="21"/>
      <c r="M69" s="5">
        <f>scrimecost*Meta!O66</f>
        <v>13.831999999999999</v>
      </c>
      <c r="N69" s="5">
        <f>L69-Grade9!L69</f>
        <v>0</v>
      </c>
      <c r="O69" s="5">
        <f>Grade9!M69-M69</f>
        <v>0.26600000000000001</v>
      </c>
      <c r="Q69" s="22"/>
      <c r="R69" s="22"/>
      <c r="S69" s="22">
        <f t="shared" si="20"/>
        <v>0.25269999999999998</v>
      </c>
      <c r="T69" s="22">
        <f t="shared" si="21"/>
        <v>0.44864163815655678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1.204144339794766E-9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P8" sqref="P8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Meta!A5+6</f>
        <v>17</v>
      </c>
      <c r="C2" s="7">
        <f>Meta!B5</f>
        <v>27491</v>
      </c>
      <c r="D2" s="7">
        <f>Meta!C5</f>
        <v>12646</v>
      </c>
      <c r="E2" s="1">
        <f>Meta!D5</f>
        <v>7.3999999999999996E-2</v>
      </c>
      <c r="F2" s="1">
        <f>Meta!F5</f>
        <v>0.50900000000000001</v>
      </c>
      <c r="G2" s="1">
        <f>Meta!I5</f>
        <v>1.9210422854781857</v>
      </c>
      <c r="H2" s="1">
        <f>Meta!E5</f>
        <v>0.95</v>
      </c>
      <c r="I2" s="13"/>
      <c r="J2" s="1">
        <f>Meta!X4</f>
        <v>0.56000000000000005</v>
      </c>
      <c r="K2" s="1">
        <f>Meta!D4</f>
        <v>7.9000000000000001E-2</v>
      </c>
      <c r="L2" s="29"/>
      <c r="N2" s="22">
        <f>Meta!T5</f>
        <v>31524</v>
      </c>
      <c r="O2" s="22">
        <f>Meta!U5</f>
        <v>14501</v>
      </c>
      <c r="P2" s="1">
        <f>Meta!V5</f>
        <v>6.0999999999999999E-2</v>
      </c>
      <c r="Q2" s="1">
        <f>Meta!X5</f>
        <v>0.56999999999999995</v>
      </c>
      <c r="R2" s="22">
        <f>Meta!W5</f>
        <v>356</v>
      </c>
      <c r="T2" s="12">
        <f>IRR(S5:S69)+1</f>
        <v>0.98879642957403802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B7" s="1">
        <v>1</v>
      </c>
      <c r="C7" s="5">
        <f>0.1*Grade10!C7</f>
        <v>1341.7025566252753</v>
      </c>
      <c r="D7" s="5">
        <f t="shared" ref="D7:D36" si="0">IF(A7&lt;startage,1,0)*(C7*(1-initialunempprob))+IF(A7=startage,1,0)*(C7*(1-unempprob))+IF(A7&gt;startage,1,0)*(C7*(1-unempprob)+unempprob*300*52)</f>
        <v>1235.7080546518787</v>
      </c>
      <c r="E7" s="5">
        <f t="shared" ref="E7:E56" si="1">IF(D7-9500&gt;0,1,0)*(D7-9500)</f>
        <v>0</v>
      </c>
      <c r="F7" s="5">
        <f t="shared" ref="F7:F56" si="2">IF(E7&lt;=8500,1,0)*(0.1*E7+0.1*E7+0.0765*D7)+IF(AND(E7&gt;8500,E7&lt;=34500),1,0)*(850+0.15*(E7-8500)+0.1*E7+0.0765*D7)+IF(AND(E7&gt;34500,E7&lt;=83600),1,0)*(4750+0.25*(E7-34500)+0.1*E7+0.0765*D7)+IF(AND(E7&gt;83600,E7&lt;=174400,D7&lt;=106800),1,0)*(17025+0.28*(E7-83600)+0.1*E7+0.0765*D7)+IF(AND(E7&gt;83600,E7&lt;=174400,D7&gt;106800),1,0)*(17025+0.28*(E7-83600)+0.1*E7+8170.2+0.0145*(D7-106800))+IF(AND(E7&gt;174400,E7&lt;=379150),1,0)*(42449+0.33*(E7-174400)+0.1*E7+8170.2+0.0145*(D7-106800))+IF(E7&gt;379150,1,0)*(110016.5+0.35*(E7-379150)+0.1*E7+8170.2+0.0145*(D7-106800))</f>
        <v>94.531666180868712</v>
      </c>
      <c r="G7" s="5">
        <f t="shared" ref="G7:G56" si="3">D7-F7</f>
        <v>1141.1763884710099</v>
      </c>
      <c r="H7" s="22">
        <f>0.1*Grade10!H7</f>
        <v>617.17599540777314</v>
      </c>
      <c r="I7" s="5">
        <f t="shared" ref="I7:I36" si="4">G7+IF(A7&lt;startage,1,0)*(H7*(1-initialunempprob))+IF(A7&gt;=startage,1,0)*(H7*(1-unempprob))</f>
        <v>1709.595480241569</v>
      </c>
      <c r="J7" s="26">
        <f t="shared" ref="J7:J38" si="5">(F7-(IF(A7&gt;startage,1,0)*(unempprob*300*52)))/(IF(A7&lt;startage,1,0)*((C7+H7)*(1-initialunempprob))+IF(A7&gt;=startage,1,0)*((C7+H7)*(1-unempprob)))</f>
        <v>5.2397452346041061E-2</v>
      </c>
      <c r="L7" s="22">
        <f>0.1*Grade10!L7</f>
        <v>2164.4818129581299</v>
      </c>
      <c r="M7" s="5">
        <f>scrimecost*Meta!O4</f>
        <v>937.34799999999996</v>
      </c>
      <c r="N7" s="5">
        <f>L7-Grade10!L7</f>
        <v>-19480.336316623168</v>
      </c>
      <c r="O7" s="5"/>
      <c r="P7" s="22"/>
      <c r="Q7" s="22">
        <f>0.05*feel*Grade10!G7</f>
        <v>151.7648688556888</v>
      </c>
      <c r="R7" s="22">
        <f>hstuition</f>
        <v>11298</v>
      </c>
      <c r="S7" s="22">
        <f t="shared" ref="S7:S38" si="6">IF(A7&lt;startage,1,0)*(N7-Q7-R7)+IF(A7&gt;=startage,1,0)*completionprob*(N7*spart+O7+P7)</f>
        <v>-30930.101185478856</v>
      </c>
      <c r="T7" s="22">
        <f t="shared" ref="T7:T38" si="7">S7/sreturn^(A7-startage+1)</f>
        <v>-30930.101185478856</v>
      </c>
    </row>
    <row r="8" spans="1:20" x14ac:dyDescent="0.2">
      <c r="A8" s="5">
        <v>17</v>
      </c>
      <c r="B8" s="1">
        <f t="shared" ref="B8:B36" si="8">(1+experiencepremium)^(A8-startage)</f>
        <v>1</v>
      </c>
      <c r="C8" s="5">
        <f t="shared" ref="C8:C36" si="9">pretaxincome*B8/expnorm</f>
        <v>14310.460632654394</v>
      </c>
      <c r="D8" s="5">
        <f t="shared" si="0"/>
        <v>13251.48654583797</v>
      </c>
      <c r="E8" s="5">
        <f t="shared" si="1"/>
        <v>3751.48654583797</v>
      </c>
      <c r="F8" s="5">
        <f t="shared" si="2"/>
        <v>1764.0360299241988</v>
      </c>
      <c r="G8" s="5">
        <f t="shared" si="3"/>
        <v>11487.450515913772</v>
      </c>
      <c r="H8" s="22">
        <f t="shared" ref="H8:H36" si="10">benefits*B8/expnorm</f>
        <v>6582.8847681258403</v>
      </c>
      <c r="I8" s="5">
        <f t="shared" si="4"/>
        <v>17583.201811198298</v>
      </c>
      <c r="J8" s="26">
        <f t="shared" si="5"/>
        <v>9.117766806870721E-2</v>
      </c>
      <c r="L8" s="22">
        <f t="shared" ref="L8:L36" si="11">(sincome+sbenefits)*(1-sunemp)*B8/expnorm</f>
        <v>22496.88896839786</v>
      </c>
      <c r="M8" s="5">
        <f>scrimecost*Meta!O5</f>
        <v>1029.5519999999999</v>
      </c>
      <c r="N8" s="5">
        <f>L8-Grade10!L8</f>
        <v>310.95038557703447</v>
      </c>
      <c r="O8" s="5">
        <f>Grade10!M8-M8</f>
        <v>23.135999999999967</v>
      </c>
      <c r="P8" s="22">
        <f t="shared" ref="P8:P39" si="12">(spart-initialspart)*(L8*J8+nptrans)</f>
        <v>86.052138749390537</v>
      </c>
      <c r="Q8" s="22"/>
      <c r="R8" s="22"/>
      <c r="S8" s="22">
        <f t="shared" si="6"/>
        <v>272.10836560188511</v>
      </c>
      <c r="T8" s="22">
        <f t="shared" si="7"/>
        <v>275.19149287291242</v>
      </c>
    </row>
    <row r="9" spans="1:20" x14ac:dyDescent="0.2">
      <c r="A9" s="5">
        <v>18</v>
      </c>
      <c r="B9" s="1">
        <f t="shared" si="8"/>
        <v>1.0249999999999999</v>
      </c>
      <c r="C9" s="5">
        <f t="shared" si="9"/>
        <v>14668.222148470753</v>
      </c>
      <c r="D9" s="5">
        <f t="shared" si="0"/>
        <v>14737.173709483917</v>
      </c>
      <c r="E9" s="5">
        <f t="shared" si="1"/>
        <v>5237.1737094839173</v>
      </c>
      <c r="F9" s="5">
        <f t="shared" si="2"/>
        <v>2174.8285306723028</v>
      </c>
      <c r="G9" s="5">
        <f t="shared" si="3"/>
        <v>12562.345178811614</v>
      </c>
      <c r="H9" s="22">
        <f t="shared" si="10"/>
        <v>6747.4568873289854</v>
      </c>
      <c r="I9" s="5">
        <f t="shared" si="4"/>
        <v>18810.490256478253</v>
      </c>
      <c r="J9" s="26">
        <f t="shared" si="5"/>
        <v>5.1456442418265039E-2</v>
      </c>
      <c r="L9" s="22">
        <f t="shared" si="11"/>
        <v>23059.311192607805</v>
      </c>
      <c r="M9" s="5">
        <f>scrimecost*Meta!O6</f>
        <v>1204.348</v>
      </c>
      <c r="N9" s="5">
        <f>L9-Grade10!L9</f>
        <v>318.72414521645624</v>
      </c>
      <c r="O9" s="5">
        <f>Grade10!M9-M9</f>
        <v>27.064000000000078</v>
      </c>
      <c r="P9" s="22">
        <f t="shared" si="12"/>
        <v>77.405501185871984</v>
      </c>
      <c r="Q9" s="22"/>
      <c r="R9" s="22"/>
      <c r="S9" s="22">
        <f t="shared" si="6"/>
        <v>271.83515076128947</v>
      </c>
      <c r="T9" s="22">
        <f t="shared" si="7"/>
        <v>278.03011231194182</v>
      </c>
    </row>
    <row r="10" spans="1:20" x14ac:dyDescent="0.2">
      <c r="A10" s="5">
        <v>19</v>
      </c>
      <c r="B10" s="1">
        <f t="shared" si="8"/>
        <v>1.0506249999999999</v>
      </c>
      <c r="C10" s="5">
        <f t="shared" si="9"/>
        <v>15034.927702182522</v>
      </c>
      <c r="D10" s="5">
        <f t="shared" si="0"/>
        <v>15076.743052221016</v>
      </c>
      <c r="E10" s="5">
        <f t="shared" si="1"/>
        <v>5576.7430522210161</v>
      </c>
      <c r="F10" s="5">
        <f t="shared" si="2"/>
        <v>2268.7194539391112</v>
      </c>
      <c r="G10" s="5">
        <f t="shared" si="3"/>
        <v>12808.023598281905</v>
      </c>
      <c r="H10" s="22">
        <f t="shared" si="10"/>
        <v>6916.1433095122102</v>
      </c>
      <c r="I10" s="5">
        <f t="shared" si="4"/>
        <v>19212.372302890213</v>
      </c>
      <c r="J10" s="26">
        <f t="shared" si="5"/>
        <v>5.4820502385230716E-2</v>
      </c>
      <c r="L10" s="22">
        <f t="shared" si="11"/>
        <v>23635.793972423002</v>
      </c>
      <c r="M10" s="5">
        <f>scrimecost*Meta!O7</f>
        <v>1296.1959999999999</v>
      </c>
      <c r="N10" s="5">
        <f>L10-Grade10!L10</f>
        <v>326.69224884686992</v>
      </c>
      <c r="O10" s="5">
        <f>Grade10!M10-M10</f>
        <v>29.128000000000156</v>
      </c>
      <c r="P10" s="22">
        <f t="shared" si="12"/>
        <v>78.497260998419563</v>
      </c>
      <c r="Q10" s="22"/>
      <c r="R10" s="22"/>
      <c r="S10" s="22">
        <f t="shared" si="6"/>
        <v>279.14785069907879</v>
      </c>
      <c r="T10" s="22">
        <f t="shared" si="7"/>
        <v>288.74443292519976</v>
      </c>
    </row>
    <row r="11" spans="1:20" x14ac:dyDescent="0.2">
      <c r="A11" s="5">
        <v>20</v>
      </c>
      <c r="B11" s="1">
        <f t="shared" si="8"/>
        <v>1.0768906249999999</v>
      </c>
      <c r="C11" s="5">
        <f t="shared" si="9"/>
        <v>15410.800894737085</v>
      </c>
      <c r="D11" s="5">
        <f t="shared" si="0"/>
        <v>15424.801628526542</v>
      </c>
      <c r="E11" s="5">
        <f t="shared" si="1"/>
        <v>5924.8016285265421</v>
      </c>
      <c r="F11" s="5">
        <f t="shared" si="2"/>
        <v>2364.9576502875889</v>
      </c>
      <c r="G11" s="5">
        <f t="shared" si="3"/>
        <v>13059.843978238954</v>
      </c>
      <c r="H11" s="22">
        <f t="shared" si="10"/>
        <v>7089.0468922500149</v>
      </c>
      <c r="I11" s="5">
        <f t="shared" si="4"/>
        <v>19624.301400462467</v>
      </c>
      <c r="J11" s="26">
        <f t="shared" si="5"/>
        <v>5.8102512109099627E-2</v>
      </c>
      <c r="L11" s="22">
        <f t="shared" si="11"/>
        <v>24226.688821733573</v>
      </c>
      <c r="M11" s="5">
        <f>scrimecost*Meta!O8</f>
        <v>1239.2359999999999</v>
      </c>
      <c r="N11" s="5">
        <f>L11-Grade10!L11</f>
        <v>334.85955506804021</v>
      </c>
      <c r="O11" s="5">
        <f>Grade10!M11-M11</f>
        <v>27.848000000000184</v>
      </c>
      <c r="P11" s="22">
        <f t="shared" si="12"/>
        <v>79.616314806280826</v>
      </c>
      <c r="Q11" s="22"/>
      <c r="R11" s="22"/>
      <c r="S11" s="22">
        <f t="shared" si="6"/>
        <v>283.41754813531071</v>
      </c>
      <c r="T11" s="22">
        <f t="shared" si="7"/>
        <v>296.48257803525996</v>
      </c>
    </row>
    <row r="12" spans="1:20" x14ac:dyDescent="0.2">
      <c r="A12" s="5">
        <v>21</v>
      </c>
      <c r="B12" s="1">
        <f t="shared" si="8"/>
        <v>1.1038128906249998</v>
      </c>
      <c r="C12" s="5">
        <f t="shared" si="9"/>
        <v>15796.07091710551</v>
      </c>
      <c r="D12" s="5">
        <f t="shared" si="0"/>
        <v>15781.561669239702</v>
      </c>
      <c r="E12" s="5">
        <f t="shared" si="1"/>
        <v>6281.5616692397016</v>
      </c>
      <c r="F12" s="5">
        <f t="shared" si="2"/>
        <v>2463.6018015447776</v>
      </c>
      <c r="G12" s="5">
        <f t="shared" si="3"/>
        <v>13317.959867694924</v>
      </c>
      <c r="H12" s="22">
        <f t="shared" si="10"/>
        <v>7266.2730645562651</v>
      </c>
      <c r="I12" s="5">
        <f t="shared" si="4"/>
        <v>20046.528725474025</v>
      </c>
      <c r="J12" s="26">
        <f t="shared" si="5"/>
        <v>6.1304472815313163E-2</v>
      </c>
      <c r="L12" s="22">
        <f t="shared" si="11"/>
        <v>24832.356042276911</v>
      </c>
      <c r="M12" s="5">
        <f>scrimecost*Meta!O9</f>
        <v>1109.652</v>
      </c>
      <c r="N12" s="5">
        <f>L12-Grade10!L12</f>
        <v>343.23104394474285</v>
      </c>
      <c r="O12" s="5">
        <f>Grade10!M12-M12</f>
        <v>24.935999999999922</v>
      </c>
      <c r="P12" s="22">
        <f t="shared" si="12"/>
        <v>80.76334495933861</v>
      </c>
      <c r="Q12" s="22"/>
      <c r="R12" s="22"/>
      <c r="S12" s="22">
        <f t="shared" si="6"/>
        <v>286.27398800744982</v>
      </c>
      <c r="T12" s="22">
        <f t="shared" si="7"/>
        <v>302.86385103862671</v>
      </c>
    </row>
    <row r="13" spans="1:20" x14ac:dyDescent="0.2">
      <c r="A13" s="5">
        <v>22</v>
      </c>
      <c r="B13" s="1">
        <f t="shared" si="8"/>
        <v>1.1314082128906247</v>
      </c>
      <c r="C13" s="5">
        <f t="shared" si="9"/>
        <v>16190.972690033146</v>
      </c>
      <c r="D13" s="5">
        <f t="shared" si="0"/>
        <v>16147.240710970693</v>
      </c>
      <c r="E13" s="5">
        <f t="shared" si="1"/>
        <v>6647.2407109706928</v>
      </c>
      <c r="F13" s="5">
        <f t="shared" si="2"/>
        <v>2564.7120565833966</v>
      </c>
      <c r="G13" s="5">
        <f t="shared" si="3"/>
        <v>13582.528654387297</v>
      </c>
      <c r="H13" s="22">
        <f t="shared" si="10"/>
        <v>7447.9298911701708</v>
      </c>
      <c r="I13" s="5">
        <f t="shared" si="4"/>
        <v>20479.311733610877</v>
      </c>
      <c r="J13" s="26">
        <f t="shared" si="5"/>
        <v>6.4428336918936152E-2</v>
      </c>
      <c r="L13" s="22">
        <f t="shared" si="11"/>
        <v>25453.164943333828</v>
      </c>
      <c r="M13" s="5">
        <f>scrimecost*Meta!O10</f>
        <v>1022.076</v>
      </c>
      <c r="N13" s="5">
        <f>L13-Grade10!L13</f>
        <v>351.81182004335642</v>
      </c>
      <c r="O13" s="5">
        <f>Grade10!M13-M13</f>
        <v>22.968000000000075</v>
      </c>
      <c r="P13" s="22">
        <f t="shared" si="12"/>
        <v>81.939050866222829</v>
      </c>
      <c r="Q13" s="22"/>
      <c r="R13" s="22"/>
      <c r="S13" s="22">
        <f t="shared" si="6"/>
        <v>290.16779887638921</v>
      </c>
      <c r="T13" s="22">
        <f t="shared" si="7"/>
        <v>310.46159042255516</v>
      </c>
    </row>
    <row r="14" spans="1:20" x14ac:dyDescent="0.2">
      <c r="A14" s="5">
        <v>23</v>
      </c>
      <c r="B14" s="1">
        <f t="shared" si="8"/>
        <v>1.1596934182128902</v>
      </c>
      <c r="C14" s="5">
        <f t="shared" si="9"/>
        <v>16595.747007283971</v>
      </c>
      <c r="D14" s="5">
        <f t="shared" si="0"/>
        <v>16522.06172874496</v>
      </c>
      <c r="E14" s="5">
        <f t="shared" si="1"/>
        <v>7022.0617287449604</v>
      </c>
      <c r="F14" s="5">
        <f t="shared" si="2"/>
        <v>2668.3500679979816</v>
      </c>
      <c r="G14" s="5">
        <f t="shared" si="3"/>
        <v>13853.71166074698</v>
      </c>
      <c r="H14" s="22">
        <f t="shared" si="10"/>
        <v>7634.1281384494241</v>
      </c>
      <c r="I14" s="5">
        <f t="shared" si="4"/>
        <v>20922.914316951148</v>
      </c>
      <c r="J14" s="26">
        <f t="shared" si="5"/>
        <v>6.7476009215153718E-2</v>
      </c>
      <c r="L14" s="22">
        <f t="shared" si="11"/>
        <v>26089.494066917174</v>
      </c>
      <c r="M14" s="5">
        <f>scrimecost*Meta!O11</f>
        <v>956.57199999999989</v>
      </c>
      <c r="N14" s="5">
        <f>L14-Grade10!L14</f>
        <v>360.60711554443697</v>
      </c>
      <c r="O14" s="5">
        <f>Grade10!M14-M14</f>
        <v>21.496000000000095</v>
      </c>
      <c r="P14" s="22">
        <f t="shared" si="12"/>
        <v>83.144149420779158</v>
      </c>
      <c r="Q14" s="22"/>
      <c r="R14" s="22"/>
      <c r="S14" s="22">
        <f t="shared" si="6"/>
        <v>294.67689501705286</v>
      </c>
      <c r="T14" s="22">
        <f t="shared" si="7"/>
        <v>318.85839679335493</v>
      </c>
    </row>
    <row r="15" spans="1:20" x14ac:dyDescent="0.2">
      <c r="A15" s="5">
        <v>24</v>
      </c>
      <c r="B15" s="1">
        <f t="shared" si="8"/>
        <v>1.1886857536682125</v>
      </c>
      <c r="C15" s="5">
        <f t="shared" si="9"/>
        <v>17010.640682466073</v>
      </c>
      <c r="D15" s="5">
        <f t="shared" si="0"/>
        <v>16906.253271963586</v>
      </c>
      <c r="E15" s="5">
        <f t="shared" si="1"/>
        <v>7406.2532719635856</v>
      </c>
      <c r="F15" s="5">
        <f t="shared" si="2"/>
        <v>2774.5790296979312</v>
      </c>
      <c r="G15" s="5">
        <f t="shared" si="3"/>
        <v>14131.674242265653</v>
      </c>
      <c r="H15" s="22">
        <f t="shared" si="10"/>
        <v>7824.9813419106604</v>
      </c>
      <c r="I15" s="5">
        <f t="shared" si="4"/>
        <v>21377.606964874925</v>
      </c>
      <c r="J15" s="26">
        <f t="shared" si="5"/>
        <v>7.0449348040731843E-2</v>
      </c>
      <c r="L15" s="22">
        <f t="shared" si="11"/>
        <v>26741.731418590105</v>
      </c>
      <c r="M15" s="5">
        <f>scrimecost*Meta!O12</f>
        <v>915.98799999999994</v>
      </c>
      <c r="N15" s="5">
        <f>L15-Grade10!L15</f>
        <v>369.62229343305808</v>
      </c>
      <c r="O15" s="5">
        <f>Grade10!M15-M15</f>
        <v>20.58400000000006</v>
      </c>
      <c r="P15" s="22">
        <f t="shared" si="12"/>
        <v>84.379375439199421</v>
      </c>
      <c r="Q15" s="22"/>
      <c r="R15" s="22"/>
      <c r="S15" s="22">
        <f t="shared" si="6"/>
        <v>299.86567856124043</v>
      </c>
      <c r="T15" s="22">
        <f t="shared" si="7"/>
        <v>328.1494226422094</v>
      </c>
    </row>
    <row r="16" spans="1:20" x14ac:dyDescent="0.2">
      <c r="A16" s="5">
        <v>25</v>
      </c>
      <c r="B16" s="1">
        <f t="shared" si="8"/>
        <v>1.2184028975099177</v>
      </c>
      <c r="C16" s="5">
        <f t="shared" si="9"/>
        <v>17435.906699527724</v>
      </c>
      <c r="D16" s="5">
        <f t="shared" si="0"/>
        <v>17300.049603762673</v>
      </c>
      <c r="E16" s="5">
        <f t="shared" si="1"/>
        <v>7800.0496037626726</v>
      </c>
      <c r="F16" s="5">
        <f t="shared" si="2"/>
        <v>2883.463715440379</v>
      </c>
      <c r="G16" s="5">
        <f t="shared" si="3"/>
        <v>14416.585888322294</v>
      </c>
      <c r="H16" s="22">
        <f t="shared" si="10"/>
        <v>8020.6058754584255</v>
      </c>
      <c r="I16" s="5">
        <f t="shared" si="4"/>
        <v>21843.666928996798</v>
      </c>
      <c r="J16" s="26">
        <f t="shared" si="5"/>
        <v>7.3350166407149489E-2</v>
      </c>
      <c r="L16" s="22">
        <f t="shared" si="11"/>
        <v>27410.274704054857</v>
      </c>
      <c r="M16" s="5">
        <f>scrimecost*Meta!O13</f>
        <v>775.36799999999994</v>
      </c>
      <c r="N16" s="5">
        <f>L16-Grade10!L16</f>
        <v>378.86285076888453</v>
      </c>
      <c r="O16" s="5">
        <f>Grade10!M16-M16</f>
        <v>17.424000000000092</v>
      </c>
      <c r="P16" s="22">
        <f t="shared" si="12"/>
        <v>85.645482108080159</v>
      </c>
      <c r="Q16" s="22"/>
      <c r="R16" s="22"/>
      <c r="S16" s="22">
        <f t="shared" si="6"/>
        <v>303.07024169402717</v>
      </c>
      <c r="T16" s="22">
        <f t="shared" si="7"/>
        <v>335.41407985173248</v>
      </c>
    </row>
    <row r="17" spans="1:20" x14ac:dyDescent="0.2">
      <c r="A17" s="5">
        <v>26</v>
      </c>
      <c r="B17" s="1">
        <f t="shared" si="8"/>
        <v>1.2488629699476654</v>
      </c>
      <c r="C17" s="5">
        <f t="shared" si="9"/>
        <v>17871.804367015917</v>
      </c>
      <c r="D17" s="5">
        <f t="shared" si="0"/>
        <v>17703.690843856741</v>
      </c>
      <c r="E17" s="5">
        <f t="shared" si="1"/>
        <v>8203.6908438567407</v>
      </c>
      <c r="F17" s="5">
        <f t="shared" si="2"/>
        <v>2995.070518326389</v>
      </c>
      <c r="G17" s="5">
        <f t="shared" si="3"/>
        <v>14708.620325530352</v>
      </c>
      <c r="H17" s="22">
        <f t="shared" si="10"/>
        <v>8221.1210223448852</v>
      </c>
      <c r="I17" s="5">
        <f t="shared" si="4"/>
        <v>22321.378392221715</v>
      </c>
      <c r="J17" s="26">
        <f t="shared" si="5"/>
        <v>7.6180233106093578E-2</v>
      </c>
      <c r="L17" s="22">
        <f t="shared" si="11"/>
        <v>28095.531571656218</v>
      </c>
      <c r="M17" s="5">
        <f>scrimecost*Meta!O14</f>
        <v>775.36799999999994</v>
      </c>
      <c r="N17" s="5">
        <f>L17-Grade10!L17</f>
        <v>388.33442203809682</v>
      </c>
      <c r="O17" s="5">
        <f>Grade10!M17-M17</f>
        <v>17.424000000000092</v>
      </c>
      <c r="P17" s="22">
        <f t="shared" si="12"/>
        <v>86.943241443682936</v>
      </c>
      <c r="Q17" s="22"/>
      <c r="R17" s="22"/>
      <c r="S17" s="22">
        <f t="shared" si="6"/>
        <v>309.43196890512831</v>
      </c>
      <c r="T17" s="22">
        <f t="shared" si="7"/>
        <v>346.33492210112905</v>
      </c>
    </row>
    <row r="18" spans="1:20" x14ac:dyDescent="0.2">
      <c r="A18" s="5">
        <v>27</v>
      </c>
      <c r="B18" s="1">
        <f t="shared" si="8"/>
        <v>1.2800845441963571</v>
      </c>
      <c r="C18" s="5">
        <f t="shared" si="9"/>
        <v>18318.599476191313</v>
      </c>
      <c r="D18" s="5">
        <f t="shared" si="0"/>
        <v>18117.423114953159</v>
      </c>
      <c r="E18" s="5">
        <f t="shared" si="1"/>
        <v>8617.4231149531588</v>
      </c>
      <c r="F18" s="5">
        <f t="shared" si="2"/>
        <v>3115.3386470322066</v>
      </c>
      <c r="G18" s="5">
        <f t="shared" si="3"/>
        <v>15002.084467920951</v>
      </c>
      <c r="H18" s="22">
        <f t="shared" si="10"/>
        <v>8426.6490479035074</v>
      </c>
      <c r="I18" s="5">
        <f t="shared" si="4"/>
        <v>22805.161486279598</v>
      </c>
      <c r="J18" s="26">
        <f t="shared" si="5"/>
        <v>7.9178337989299866E-2</v>
      </c>
      <c r="L18" s="22">
        <f t="shared" si="11"/>
        <v>28797.919860947626</v>
      </c>
      <c r="M18" s="5">
        <f>scrimecost*Meta!O15</f>
        <v>775.36799999999994</v>
      </c>
      <c r="N18" s="5">
        <f>L18-Grade10!L18</f>
        <v>398.04278258905106</v>
      </c>
      <c r="O18" s="5">
        <f>Grade10!M18-M18</f>
        <v>17.424000000000092</v>
      </c>
      <c r="P18" s="22">
        <f t="shared" si="12"/>
        <v>88.341714321387926</v>
      </c>
      <c r="Q18" s="22"/>
      <c r="R18" s="22"/>
      <c r="S18" s="22">
        <f t="shared" si="6"/>
        <v>316.01759537728975</v>
      </c>
      <c r="T18" s="22">
        <f t="shared" si="7"/>
        <v>357.71362220061178</v>
      </c>
    </row>
    <row r="19" spans="1:20" x14ac:dyDescent="0.2">
      <c r="A19" s="5">
        <v>28</v>
      </c>
      <c r="B19" s="1">
        <f t="shared" si="8"/>
        <v>1.312086657801266</v>
      </c>
      <c r="C19" s="5">
        <f t="shared" si="9"/>
        <v>18776.564463096096</v>
      </c>
      <c r="D19" s="5">
        <f t="shared" si="0"/>
        <v>18541.498692826986</v>
      </c>
      <c r="E19" s="5">
        <f t="shared" si="1"/>
        <v>9041.4986928269864</v>
      </c>
      <c r="F19" s="5">
        <f t="shared" si="2"/>
        <v>3253.7993232080107</v>
      </c>
      <c r="G19" s="5">
        <f t="shared" si="3"/>
        <v>15287.699369618975</v>
      </c>
      <c r="H19" s="22">
        <f t="shared" si="10"/>
        <v>8637.3152741010945</v>
      </c>
      <c r="I19" s="5">
        <f t="shared" si="4"/>
        <v>23285.85331343659</v>
      </c>
      <c r="J19" s="26">
        <f t="shared" si="5"/>
        <v>8.2701533573766639E-2</v>
      </c>
      <c r="L19" s="22">
        <f t="shared" si="11"/>
        <v>29517.867857471319</v>
      </c>
      <c r="M19" s="5">
        <f>scrimecost*Meta!O16</f>
        <v>775.36799999999994</v>
      </c>
      <c r="N19" s="5">
        <f>L19-Grade10!L19</f>
        <v>407.99385215378425</v>
      </c>
      <c r="O19" s="5">
        <f>Grade10!M19-M19</f>
        <v>17.424000000000092</v>
      </c>
      <c r="P19" s="22">
        <f t="shared" si="12"/>
        <v>89.951729396405796</v>
      </c>
      <c r="Q19" s="22"/>
      <c r="R19" s="22"/>
      <c r="S19" s="22">
        <f t="shared" si="6"/>
        <v>322.93561386785973</v>
      </c>
      <c r="T19" s="22">
        <f t="shared" si="7"/>
        <v>369.68622426388555</v>
      </c>
    </row>
    <row r="20" spans="1:20" x14ac:dyDescent="0.2">
      <c r="A20" s="5">
        <v>29</v>
      </c>
      <c r="B20" s="1">
        <f t="shared" si="8"/>
        <v>1.3448888242462975</v>
      </c>
      <c r="C20" s="5">
        <f t="shared" si="9"/>
        <v>19245.978574673496</v>
      </c>
      <c r="D20" s="5">
        <f t="shared" si="0"/>
        <v>18976.176160147661</v>
      </c>
      <c r="E20" s="5">
        <f t="shared" si="1"/>
        <v>9476.176160147661</v>
      </c>
      <c r="F20" s="5">
        <f t="shared" si="2"/>
        <v>3395.7215162882112</v>
      </c>
      <c r="G20" s="5">
        <f t="shared" si="3"/>
        <v>15580.45464385945</v>
      </c>
      <c r="H20" s="22">
        <f t="shared" si="10"/>
        <v>8853.2481559536227</v>
      </c>
      <c r="I20" s="5">
        <f t="shared" si="4"/>
        <v>23778.562436272507</v>
      </c>
      <c r="J20" s="26">
        <f t="shared" si="5"/>
        <v>8.6138797558612284E-2</v>
      </c>
      <c r="L20" s="22">
        <f t="shared" si="11"/>
        <v>30255.814553908098</v>
      </c>
      <c r="M20" s="5">
        <f>scrimecost*Meta!O17</f>
        <v>775.36799999999994</v>
      </c>
      <c r="N20" s="5">
        <f>L20-Grade10!L20</f>
        <v>418.19369845762412</v>
      </c>
      <c r="O20" s="5">
        <f>Grade10!M20-M20</f>
        <v>17.424000000000092</v>
      </c>
      <c r="P20" s="22">
        <f t="shared" si="12"/>
        <v>91.601994848299114</v>
      </c>
      <c r="Q20" s="22"/>
      <c r="R20" s="22"/>
      <c r="S20" s="22">
        <f t="shared" si="6"/>
        <v>330.02658282068762</v>
      </c>
      <c r="T20" s="22">
        <f t="shared" si="7"/>
        <v>382.08444569552643</v>
      </c>
    </row>
    <row r="21" spans="1:20" x14ac:dyDescent="0.2">
      <c r="A21" s="5">
        <v>30</v>
      </c>
      <c r="B21" s="1">
        <f t="shared" si="8"/>
        <v>1.3785110448524549</v>
      </c>
      <c r="C21" s="5">
        <f t="shared" si="9"/>
        <v>19727.12803904033</v>
      </c>
      <c r="D21" s="5">
        <f t="shared" si="0"/>
        <v>19421.720564151346</v>
      </c>
      <c r="E21" s="5">
        <f t="shared" si="1"/>
        <v>9921.7205641513465</v>
      </c>
      <c r="F21" s="5">
        <f t="shared" si="2"/>
        <v>3541.1917641954146</v>
      </c>
      <c r="G21" s="5">
        <f t="shared" si="3"/>
        <v>15880.528799955931</v>
      </c>
      <c r="H21" s="22">
        <f t="shared" si="10"/>
        <v>9074.5793598524615</v>
      </c>
      <c r="I21" s="5">
        <f t="shared" si="4"/>
        <v>24283.589287179311</v>
      </c>
      <c r="J21" s="26">
        <f t="shared" si="5"/>
        <v>8.9492225836510397E-2</v>
      </c>
      <c r="L21" s="22">
        <f t="shared" si="11"/>
        <v>31012.209917755798</v>
      </c>
      <c r="M21" s="5">
        <f>scrimecost*Meta!O18</f>
        <v>611.60799999999995</v>
      </c>
      <c r="N21" s="5">
        <f>L21-Grade10!L21</f>
        <v>428.64854091906818</v>
      </c>
      <c r="O21" s="5">
        <f>Grade10!M21-M21</f>
        <v>13.744000000000028</v>
      </c>
      <c r="P21" s="22">
        <f t="shared" si="12"/>
        <v>93.293516936489738</v>
      </c>
      <c r="Q21" s="22"/>
      <c r="R21" s="22"/>
      <c r="S21" s="22">
        <f t="shared" si="6"/>
        <v>333.79882599734066</v>
      </c>
      <c r="T21" s="22">
        <f t="shared" si="7"/>
        <v>390.8304125005381</v>
      </c>
    </row>
    <row r="22" spans="1:20" x14ac:dyDescent="0.2">
      <c r="A22" s="5">
        <v>31</v>
      </c>
      <c r="B22" s="1">
        <f t="shared" si="8"/>
        <v>1.4129738209737661</v>
      </c>
      <c r="C22" s="5">
        <f t="shared" si="9"/>
        <v>20220.30624001634</v>
      </c>
      <c r="D22" s="5">
        <f t="shared" si="0"/>
        <v>19878.403578255133</v>
      </c>
      <c r="E22" s="5">
        <f t="shared" si="1"/>
        <v>10378.403578255133</v>
      </c>
      <c r="F22" s="5">
        <f t="shared" si="2"/>
        <v>3690.2987683003007</v>
      </c>
      <c r="G22" s="5">
        <f t="shared" si="3"/>
        <v>16188.104809954832</v>
      </c>
      <c r="H22" s="22">
        <f t="shared" si="10"/>
        <v>9301.4438438487723</v>
      </c>
      <c r="I22" s="5">
        <f t="shared" si="4"/>
        <v>24801.241809358795</v>
      </c>
      <c r="J22" s="26">
        <f t="shared" si="5"/>
        <v>9.2763863180801334E-2</v>
      </c>
      <c r="L22" s="22">
        <f t="shared" si="11"/>
        <v>31787.515165699693</v>
      </c>
      <c r="M22" s="5">
        <f>scrimecost*Meta!O19</f>
        <v>611.60799999999995</v>
      </c>
      <c r="N22" s="5">
        <f>L22-Grade10!L22</f>
        <v>439.36475444203825</v>
      </c>
      <c r="O22" s="5">
        <f>Grade10!M22-M22</f>
        <v>13.744000000000028</v>
      </c>
      <c r="P22" s="22">
        <f t="shared" si="12"/>
        <v>95.027327076885172</v>
      </c>
      <c r="Q22" s="22"/>
      <c r="R22" s="22"/>
      <c r="S22" s="22">
        <f t="shared" si="6"/>
        <v>341.24877525340463</v>
      </c>
      <c r="T22" s="22">
        <f t="shared" si="7"/>
        <v>404.08037443103308</v>
      </c>
    </row>
    <row r="23" spans="1:20" x14ac:dyDescent="0.2">
      <c r="A23" s="5">
        <v>32</v>
      </c>
      <c r="B23" s="1">
        <f t="shared" si="8"/>
        <v>1.4482981664981105</v>
      </c>
      <c r="C23" s="5">
        <f t="shared" si="9"/>
        <v>20725.813896016749</v>
      </c>
      <c r="D23" s="5">
        <f t="shared" si="0"/>
        <v>20346.503667711513</v>
      </c>
      <c r="E23" s="5">
        <f t="shared" si="1"/>
        <v>10846.503667711513</v>
      </c>
      <c r="F23" s="5">
        <f t="shared" si="2"/>
        <v>3843.1334475078093</v>
      </c>
      <c r="G23" s="5">
        <f t="shared" si="3"/>
        <v>16503.370220203702</v>
      </c>
      <c r="H23" s="22">
        <f t="shared" si="10"/>
        <v>9533.9799399449948</v>
      </c>
      <c r="I23" s="5">
        <f t="shared" si="4"/>
        <v>25331.835644592767</v>
      </c>
      <c r="J23" s="26">
        <f t="shared" si="5"/>
        <v>9.59557044923047E-2</v>
      </c>
      <c r="L23" s="22">
        <f t="shared" si="11"/>
        <v>32582.203044842187</v>
      </c>
      <c r="M23" s="5">
        <f>scrimecost*Meta!O20</f>
        <v>611.60799999999995</v>
      </c>
      <c r="N23" s="5">
        <f>L23-Grade10!L23</f>
        <v>450.34887330309357</v>
      </c>
      <c r="O23" s="5">
        <f>Grade10!M23-M23</f>
        <v>13.744000000000028</v>
      </c>
      <c r="P23" s="22">
        <f t="shared" si="12"/>
        <v>96.804482470790489</v>
      </c>
      <c r="Q23" s="22"/>
      <c r="R23" s="22"/>
      <c r="S23" s="22">
        <f t="shared" si="6"/>
        <v>348.88497324087615</v>
      </c>
      <c r="T23" s="22">
        <f t="shared" si="7"/>
        <v>417.80345924467508</v>
      </c>
    </row>
    <row r="24" spans="1:20" x14ac:dyDescent="0.2">
      <c r="A24" s="5">
        <v>33</v>
      </c>
      <c r="B24" s="1">
        <f t="shared" si="8"/>
        <v>1.4845056206605631</v>
      </c>
      <c r="C24" s="5">
        <f t="shared" si="9"/>
        <v>21243.959243417165</v>
      </c>
      <c r="D24" s="5">
        <f t="shared" si="0"/>
        <v>20826.306259404297</v>
      </c>
      <c r="E24" s="5">
        <f t="shared" si="1"/>
        <v>11326.306259404297</v>
      </c>
      <c r="F24" s="5">
        <f t="shared" si="2"/>
        <v>3999.7889936955025</v>
      </c>
      <c r="G24" s="5">
        <f t="shared" si="3"/>
        <v>16826.517265708793</v>
      </c>
      <c r="H24" s="22">
        <f t="shared" si="10"/>
        <v>9772.3294384436176</v>
      </c>
      <c r="I24" s="5">
        <f t="shared" si="4"/>
        <v>25875.694325707584</v>
      </c>
      <c r="J24" s="26">
        <f t="shared" si="5"/>
        <v>9.9069696015722533E-2</v>
      </c>
      <c r="L24" s="22">
        <f t="shared" si="11"/>
        <v>33396.758120963241</v>
      </c>
      <c r="M24" s="5">
        <f>scrimecost*Meta!O21</f>
        <v>611.60799999999995</v>
      </c>
      <c r="N24" s="5">
        <f>L24-Grade10!L24</f>
        <v>461.60759513567609</v>
      </c>
      <c r="O24" s="5">
        <f>Grade10!M24-M24</f>
        <v>13.744000000000028</v>
      </c>
      <c r="P24" s="22">
        <f t="shared" si="12"/>
        <v>98.626066749543398</v>
      </c>
      <c r="Q24" s="22"/>
      <c r="R24" s="22"/>
      <c r="S24" s="22">
        <f t="shared" si="6"/>
        <v>356.71207617803481</v>
      </c>
      <c r="T24" s="22">
        <f t="shared" si="7"/>
        <v>432.01685369685509</v>
      </c>
    </row>
    <row r="25" spans="1:20" x14ac:dyDescent="0.2">
      <c r="A25" s="5">
        <v>34</v>
      </c>
      <c r="B25" s="1">
        <f t="shared" si="8"/>
        <v>1.521618261177077</v>
      </c>
      <c r="C25" s="5">
        <f t="shared" si="9"/>
        <v>21775.058224502594</v>
      </c>
      <c r="D25" s="5">
        <f t="shared" si="0"/>
        <v>21318.103915889405</v>
      </c>
      <c r="E25" s="5">
        <f t="shared" si="1"/>
        <v>11818.103915889405</v>
      </c>
      <c r="F25" s="5">
        <f t="shared" si="2"/>
        <v>4160.3609285378907</v>
      </c>
      <c r="G25" s="5">
        <f t="shared" si="3"/>
        <v>17157.742987351514</v>
      </c>
      <c r="H25" s="22">
        <f t="shared" si="10"/>
        <v>10016.637674404707</v>
      </c>
      <c r="I25" s="5">
        <f t="shared" si="4"/>
        <v>26433.149473850273</v>
      </c>
      <c r="J25" s="26">
        <f t="shared" si="5"/>
        <v>0.10210773652637414</v>
      </c>
      <c r="L25" s="22">
        <f t="shared" si="11"/>
        <v>34231.677073987317</v>
      </c>
      <c r="M25" s="5">
        <f>scrimecost*Meta!O22</f>
        <v>611.60799999999995</v>
      </c>
      <c r="N25" s="5">
        <f>L25-Grade10!L25</f>
        <v>473.14778501405817</v>
      </c>
      <c r="O25" s="5">
        <f>Grade10!M25-M25</f>
        <v>13.744000000000028</v>
      </c>
      <c r="P25" s="22">
        <f t="shared" si="12"/>
        <v>100.49319063526515</v>
      </c>
      <c r="Q25" s="22"/>
      <c r="R25" s="22"/>
      <c r="S25" s="22">
        <f t="shared" si="6"/>
        <v>364.7348566886144</v>
      </c>
      <c r="T25" s="22">
        <f t="shared" si="7"/>
        <v>446.73837227333797</v>
      </c>
    </row>
    <row r="26" spans="1:20" x14ac:dyDescent="0.2">
      <c r="A26" s="5">
        <v>35</v>
      </c>
      <c r="B26" s="1">
        <f t="shared" si="8"/>
        <v>1.559658717706504</v>
      </c>
      <c r="C26" s="5">
        <f t="shared" si="9"/>
        <v>22319.434680115159</v>
      </c>
      <c r="D26" s="5">
        <f t="shared" si="0"/>
        <v>21822.196513786639</v>
      </c>
      <c r="E26" s="5">
        <f t="shared" si="1"/>
        <v>12322.196513786639</v>
      </c>
      <c r="F26" s="5">
        <f t="shared" si="2"/>
        <v>4324.9471617513373</v>
      </c>
      <c r="G26" s="5">
        <f t="shared" si="3"/>
        <v>17497.249352035302</v>
      </c>
      <c r="H26" s="22">
        <f t="shared" si="10"/>
        <v>10267.053616264824</v>
      </c>
      <c r="I26" s="5">
        <f t="shared" si="4"/>
        <v>27004.541000696532</v>
      </c>
      <c r="J26" s="26">
        <f t="shared" si="5"/>
        <v>0.10507167848798545</v>
      </c>
      <c r="L26" s="22">
        <f t="shared" si="11"/>
        <v>35087.469000836994</v>
      </c>
      <c r="M26" s="5">
        <f>scrimecost*Meta!O23</f>
        <v>487.00800000000004</v>
      </c>
      <c r="N26" s="5">
        <f>L26-Grade10!L26</f>
        <v>484.97647963940108</v>
      </c>
      <c r="O26" s="5">
        <f>Grade10!M26-M26</f>
        <v>10.944000000000017</v>
      </c>
      <c r="P26" s="22">
        <f t="shared" si="12"/>
        <v>102.40699261812996</v>
      </c>
      <c r="Q26" s="22"/>
      <c r="R26" s="22"/>
      <c r="S26" s="22">
        <f t="shared" si="6"/>
        <v>370.29820671195915</v>
      </c>
      <c r="T26" s="22">
        <f t="shared" si="7"/>
        <v>458.69151569362356</v>
      </c>
    </row>
    <row r="27" spans="1:20" x14ac:dyDescent="0.2">
      <c r="A27" s="5">
        <v>36</v>
      </c>
      <c r="B27" s="1">
        <f t="shared" si="8"/>
        <v>1.5986501856491666</v>
      </c>
      <c r="C27" s="5">
        <f t="shared" si="9"/>
        <v>22877.420547118036</v>
      </c>
      <c r="D27" s="5">
        <f t="shared" si="0"/>
        <v>22338.891426631304</v>
      </c>
      <c r="E27" s="5">
        <f t="shared" si="1"/>
        <v>12838.891426631304</v>
      </c>
      <c r="F27" s="5">
        <f t="shared" si="2"/>
        <v>4493.648050795121</v>
      </c>
      <c r="G27" s="5">
        <f t="shared" si="3"/>
        <v>17845.243375836184</v>
      </c>
      <c r="H27" s="22">
        <f t="shared" si="10"/>
        <v>10523.729956671446</v>
      </c>
      <c r="I27" s="5">
        <f t="shared" si="4"/>
        <v>27590.217315713944</v>
      </c>
      <c r="J27" s="26">
        <f t="shared" si="5"/>
        <v>0.10796332918224039</v>
      </c>
      <c r="L27" s="22">
        <f t="shared" si="11"/>
        <v>35964.655725857927</v>
      </c>
      <c r="M27" s="5">
        <f>scrimecost*Meta!O24</f>
        <v>487.00800000000004</v>
      </c>
      <c r="N27" s="5">
        <f>L27-Grade10!L27</f>
        <v>497.10089163040539</v>
      </c>
      <c r="O27" s="5">
        <f>Grade10!M27-M27</f>
        <v>10.944000000000017</v>
      </c>
      <c r="P27" s="22">
        <f t="shared" si="12"/>
        <v>104.36863965056639</v>
      </c>
      <c r="Q27" s="22"/>
      <c r="R27" s="22"/>
      <c r="S27" s="22">
        <f t="shared" si="6"/>
        <v>378.72714048590251</v>
      </c>
      <c r="T27" s="22">
        <f t="shared" si="7"/>
        <v>474.44801893238741</v>
      </c>
    </row>
    <row r="28" spans="1:20" x14ac:dyDescent="0.2">
      <c r="A28" s="5">
        <v>37</v>
      </c>
      <c r="B28" s="1">
        <f t="shared" si="8"/>
        <v>1.6386164402903955</v>
      </c>
      <c r="C28" s="5">
        <f t="shared" si="9"/>
        <v>23449.356060795988</v>
      </c>
      <c r="D28" s="5">
        <f t="shared" si="0"/>
        <v>22868.503712297086</v>
      </c>
      <c r="E28" s="5">
        <f t="shared" si="1"/>
        <v>13368.503712297086</v>
      </c>
      <c r="F28" s="5">
        <f t="shared" si="2"/>
        <v>4666.5664620649986</v>
      </c>
      <c r="G28" s="5">
        <f t="shared" si="3"/>
        <v>18201.937250232088</v>
      </c>
      <c r="H28" s="22">
        <f t="shared" si="10"/>
        <v>10786.823205588229</v>
      </c>
      <c r="I28" s="5">
        <f t="shared" si="4"/>
        <v>28190.535538606789</v>
      </c>
      <c r="J28" s="26">
        <f t="shared" si="5"/>
        <v>0.11078445181078178</v>
      </c>
      <c r="L28" s="22">
        <f t="shared" si="11"/>
        <v>36863.772119004367</v>
      </c>
      <c r="M28" s="5">
        <f>scrimecost*Meta!O25</f>
        <v>487.00800000000004</v>
      </c>
      <c r="N28" s="5">
        <f>L28-Grade10!L28</f>
        <v>509.52841392115806</v>
      </c>
      <c r="O28" s="5">
        <f>Grade10!M28-M28</f>
        <v>10.944000000000017</v>
      </c>
      <c r="P28" s="22">
        <f t="shared" si="12"/>
        <v>106.37932785881371</v>
      </c>
      <c r="Q28" s="22"/>
      <c r="R28" s="22"/>
      <c r="S28" s="22">
        <f t="shared" si="6"/>
        <v>387.36679760418014</v>
      </c>
      <c r="T28" s="22">
        <f t="shared" si="7"/>
        <v>490.76966702108354</v>
      </c>
    </row>
    <row r="29" spans="1:20" x14ac:dyDescent="0.2">
      <c r="A29" s="5">
        <v>38</v>
      </c>
      <c r="B29" s="1">
        <f t="shared" si="8"/>
        <v>1.6795818512976552</v>
      </c>
      <c r="C29" s="5">
        <f t="shared" si="9"/>
        <v>24035.58996231588</v>
      </c>
      <c r="D29" s="5">
        <f t="shared" si="0"/>
        <v>23411.356305104509</v>
      </c>
      <c r="E29" s="5">
        <f t="shared" si="1"/>
        <v>13911.356305104509</v>
      </c>
      <c r="F29" s="5">
        <f t="shared" si="2"/>
        <v>4843.8078336166218</v>
      </c>
      <c r="G29" s="5">
        <f t="shared" si="3"/>
        <v>18567.548471487888</v>
      </c>
      <c r="H29" s="22">
        <f t="shared" si="10"/>
        <v>11056.493785727933</v>
      </c>
      <c r="I29" s="5">
        <f t="shared" si="4"/>
        <v>28805.861717071952</v>
      </c>
      <c r="J29" s="26">
        <f t="shared" si="5"/>
        <v>0.11353676657033436</v>
      </c>
      <c r="L29" s="22">
        <f t="shared" si="11"/>
        <v>37785.366421979474</v>
      </c>
      <c r="M29" s="5">
        <f>scrimecost*Meta!O26</f>
        <v>487.00800000000004</v>
      </c>
      <c r="N29" s="5">
        <f>L29-Grade10!L29</f>
        <v>522.26662426918483</v>
      </c>
      <c r="O29" s="5">
        <f>Grade10!M29-M29</f>
        <v>10.944000000000017</v>
      </c>
      <c r="P29" s="22">
        <f t="shared" si="12"/>
        <v>108.44028327226722</v>
      </c>
      <c r="Q29" s="22"/>
      <c r="R29" s="22"/>
      <c r="S29" s="22">
        <f t="shared" si="6"/>
        <v>396.2224461504174</v>
      </c>
      <c r="T29" s="22">
        <f t="shared" si="7"/>
        <v>507.67701879702247</v>
      </c>
    </row>
    <row r="30" spans="1:20" x14ac:dyDescent="0.2">
      <c r="A30" s="5">
        <v>39</v>
      </c>
      <c r="B30" s="1">
        <f t="shared" si="8"/>
        <v>1.7215713975800966</v>
      </c>
      <c r="C30" s="5">
        <f t="shared" si="9"/>
        <v>24636.479711373777</v>
      </c>
      <c r="D30" s="5">
        <f t="shared" si="0"/>
        <v>23967.780212732119</v>
      </c>
      <c r="E30" s="5">
        <f t="shared" si="1"/>
        <v>14467.780212732119</v>
      </c>
      <c r="F30" s="5">
        <f t="shared" si="2"/>
        <v>5025.480239457037</v>
      </c>
      <c r="G30" s="5">
        <f t="shared" si="3"/>
        <v>18942.299973275083</v>
      </c>
      <c r="H30" s="22">
        <f t="shared" si="10"/>
        <v>11332.906130371133</v>
      </c>
      <c r="I30" s="5">
        <f t="shared" si="4"/>
        <v>29436.571049998754</v>
      </c>
      <c r="J30" s="26">
        <f t="shared" si="5"/>
        <v>0.11622195170160515</v>
      </c>
      <c r="L30" s="22">
        <f t="shared" si="11"/>
        <v>38730.000582528963</v>
      </c>
      <c r="M30" s="5">
        <f>scrimecost*Meta!O27</f>
        <v>487.00800000000004</v>
      </c>
      <c r="N30" s="5">
        <f>L30-Grade10!L30</f>
        <v>535.32328987592336</v>
      </c>
      <c r="O30" s="5">
        <f>Grade10!M30-M30</f>
        <v>10.944000000000017</v>
      </c>
      <c r="P30" s="22">
        <f t="shared" si="12"/>
        <v>110.55276257105706</v>
      </c>
      <c r="Q30" s="22"/>
      <c r="R30" s="22"/>
      <c r="S30" s="22">
        <f t="shared" si="6"/>
        <v>405.29948591031672</v>
      </c>
      <c r="T30" s="22">
        <f t="shared" si="7"/>
        <v>525.19138432436694</v>
      </c>
    </row>
    <row r="31" spans="1:20" x14ac:dyDescent="0.2">
      <c r="A31" s="5">
        <v>40</v>
      </c>
      <c r="B31" s="1">
        <f t="shared" si="8"/>
        <v>1.7646106825195991</v>
      </c>
      <c r="C31" s="5">
        <f t="shared" si="9"/>
        <v>25252.391704158126</v>
      </c>
      <c r="D31" s="5">
        <f t="shared" si="0"/>
        <v>24538.114718050427</v>
      </c>
      <c r="E31" s="5">
        <f t="shared" si="1"/>
        <v>15038.114718050427</v>
      </c>
      <c r="F31" s="5">
        <f t="shared" si="2"/>
        <v>5211.694455443464</v>
      </c>
      <c r="G31" s="5">
        <f t="shared" si="3"/>
        <v>19326.420262606964</v>
      </c>
      <c r="H31" s="22">
        <f t="shared" si="10"/>
        <v>11616.228783630411</v>
      </c>
      <c r="I31" s="5">
        <f t="shared" si="4"/>
        <v>30083.048116248727</v>
      </c>
      <c r="J31" s="26">
        <f t="shared" si="5"/>
        <v>0.11884164451260108</v>
      </c>
      <c r="L31" s="22">
        <f t="shared" si="11"/>
        <v>39698.250597092185</v>
      </c>
      <c r="M31" s="5">
        <f>scrimecost*Meta!O28</f>
        <v>417.94399999999996</v>
      </c>
      <c r="N31" s="5">
        <f>L31-Grade10!L31</f>
        <v>548.70637212281872</v>
      </c>
      <c r="O31" s="5">
        <f>Grade10!M31-M31</f>
        <v>9.3919999999999959</v>
      </c>
      <c r="P31" s="22">
        <f t="shared" si="12"/>
        <v>112.71805385231667</v>
      </c>
      <c r="Q31" s="22"/>
      <c r="R31" s="22"/>
      <c r="S31" s="22">
        <f t="shared" si="6"/>
        <v>413.12905166420711</v>
      </c>
      <c r="T31" s="22">
        <f t="shared" si="7"/>
        <v>541.40266174773569</v>
      </c>
    </row>
    <row r="32" spans="1:20" x14ac:dyDescent="0.2">
      <c r="A32" s="5">
        <v>41</v>
      </c>
      <c r="B32" s="1">
        <f t="shared" si="8"/>
        <v>1.8087259495825889</v>
      </c>
      <c r="C32" s="5">
        <f t="shared" si="9"/>
        <v>25883.701496762074</v>
      </c>
      <c r="D32" s="5">
        <f t="shared" si="0"/>
        <v>25122.707586001685</v>
      </c>
      <c r="E32" s="5">
        <f t="shared" si="1"/>
        <v>15622.707586001685</v>
      </c>
      <c r="F32" s="5">
        <f t="shared" si="2"/>
        <v>5402.5640268295501</v>
      </c>
      <c r="G32" s="5">
        <f t="shared" si="3"/>
        <v>19720.143559172135</v>
      </c>
      <c r="H32" s="22">
        <f t="shared" si="10"/>
        <v>11906.63450322117</v>
      </c>
      <c r="I32" s="5">
        <f t="shared" si="4"/>
        <v>30745.68710915494</v>
      </c>
      <c r="J32" s="26">
        <f t="shared" si="5"/>
        <v>0.12139744237698737</v>
      </c>
      <c r="L32" s="22">
        <f t="shared" si="11"/>
        <v>40690.706862019491</v>
      </c>
      <c r="M32" s="5">
        <f>scrimecost*Meta!O29</f>
        <v>417.94399999999996</v>
      </c>
      <c r="N32" s="5">
        <f>L32-Grade10!L32</f>
        <v>562.42403142590047</v>
      </c>
      <c r="O32" s="5">
        <f>Grade10!M32-M32</f>
        <v>9.3919999999999959</v>
      </c>
      <c r="P32" s="22">
        <f t="shared" si="12"/>
        <v>114.93747741560779</v>
      </c>
      <c r="Q32" s="22"/>
      <c r="R32" s="22"/>
      <c r="S32" s="22">
        <f t="shared" si="6"/>
        <v>422.66561656195239</v>
      </c>
      <c r="T32" s="22">
        <f t="shared" si="7"/>
        <v>560.17623561443077</v>
      </c>
    </row>
    <row r="33" spans="1:20" x14ac:dyDescent="0.2">
      <c r="A33" s="5">
        <v>42</v>
      </c>
      <c r="B33" s="1">
        <f t="shared" si="8"/>
        <v>1.8539440983221533</v>
      </c>
      <c r="C33" s="5">
        <f t="shared" si="9"/>
        <v>26530.794034181123</v>
      </c>
      <c r="D33" s="5">
        <f t="shared" si="0"/>
        <v>25721.915275651721</v>
      </c>
      <c r="E33" s="5">
        <f t="shared" si="1"/>
        <v>16221.915275651721</v>
      </c>
      <c r="F33" s="5">
        <f t="shared" si="2"/>
        <v>5598.205337500287</v>
      </c>
      <c r="G33" s="5">
        <f t="shared" si="3"/>
        <v>20123.709938151434</v>
      </c>
      <c r="H33" s="22">
        <f t="shared" si="10"/>
        <v>12204.300365801699</v>
      </c>
      <c r="I33" s="5">
        <f t="shared" si="4"/>
        <v>31424.892076883807</v>
      </c>
      <c r="J33" s="26">
        <f t="shared" si="5"/>
        <v>0.12389090370809588</v>
      </c>
      <c r="L33" s="22">
        <f t="shared" si="11"/>
        <v>41707.974533569963</v>
      </c>
      <c r="M33" s="5">
        <f>scrimecost*Meta!O30</f>
        <v>417.94399999999996</v>
      </c>
      <c r="N33" s="5">
        <f>L33-Grade10!L33</f>
        <v>576.48463221153361</v>
      </c>
      <c r="O33" s="5">
        <f>Grade10!M33-M33</f>
        <v>9.3919999999999959</v>
      </c>
      <c r="P33" s="22">
        <f t="shared" si="12"/>
        <v>117.21238656798113</v>
      </c>
      <c r="Q33" s="22"/>
      <c r="R33" s="22"/>
      <c r="S33" s="22">
        <f t="shared" si="6"/>
        <v>432.44059558212746</v>
      </c>
      <c r="T33" s="22">
        <f t="shared" si="7"/>
        <v>579.62529268010746</v>
      </c>
    </row>
    <row r="34" spans="1:20" x14ac:dyDescent="0.2">
      <c r="A34" s="5">
        <v>43</v>
      </c>
      <c r="B34" s="1">
        <f t="shared" si="8"/>
        <v>1.9002927007802071</v>
      </c>
      <c r="C34" s="5">
        <f t="shared" si="9"/>
        <v>27194.063885035648</v>
      </c>
      <c r="D34" s="5">
        <f t="shared" si="0"/>
        <v>26336.103157543013</v>
      </c>
      <c r="E34" s="5">
        <f t="shared" si="1"/>
        <v>16836.103157543013</v>
      </c>
      <c r="F34" s="5">
        <f t="shared" si="2"/>
        <v>5798.7376809377938</v>
      </c>
      <c r="G34" s="5">
        <f t="shared" si="3"/>
        <v>20537.36547660522</v>
      </c>
      <c r="H34" s="22">
        <f t="shared" si="10"/>
        <v>12509.407874946739</v>
      </c>
      <c r="I34" s="5">
        <f t="shared" si="4"/>
        <v>32121.077168805903</v>
      </c>
      <c r="J34" s="26">
        <f t="shared" si="5"/>
        <v>0.12632354890917741</v>
      </c>
      <c r="L34" s="22">
        <f t="shared" si="11"/>
        <v>42750.673896909211</v>
      </c>
      <c r="M34" s="5">
        <f>scrimecost*Meta!O31</f>
        <v>417.94399999999996</v>
      </c>
      <c r="N34" s="5">
        <f>L34-Grade10!L34</f>
        <v>590.89674801681394</v>
      </c>
      <c r="O34" s="5">
        <f>Grade10!M34-M34</f>
        <v>9.3919999999999959</v>
      </c>
      <c r="P34" s="22">
        <f t="shared" si="12"/>
        <v>119.54416844916382</v>
      </c>
      <c r="Q34" s="22"/>
      <c r="R34" s="22"/>
      <c r="S34" s="22">
        <f t="shared" si="6"/>
        <v>442.45994907781034</v>
      </c>
      <c r="T34" s="22">
        <f t="shared" si="7"/>
        <v>599.77443023533624</v>
      </c>
    </row>
    <row r="35" spans="1:20" x14ac:dyDescent="0.2">
      <c r="A35" s="5">
        <v>44</v>
      </c>
      <c r="B35" s="1">
        <f t="shared" si="8"/>
        <v>1.9478000182997122</v>
      </c>
      <c r="C35" s="5">
        <f t="shared" si="9"/>
        <v>27873.915482161541</v>
      </c>
      <c r="D35" s="5">
        <f t="shared" si="0"/>
        <v>26965.645736481591</v>
      </c>
      <c r="E35" s="5">
        <f t="shared" si="1"/>
        <v>17465.645736481591</v>
      </c>
      <c r="F35" s="5">
        <f t="shared" si="2"/>
        <v>6004.2833329612395</v>
      </c>
      <c r="G35" s="5">
        <f t="shared" si="3"/>
        <v>20961.36240352035</v>
      </c>
      <c r="H35" s="22">
        <f t="shared" si="10"/>
        <v>12822.143071820408</v>
      </c>
      <c r="I35" s="5">
        <f t="shared" si="4"/>
        <v>32834.666888026048</v>
      </c>
      <c r="J35" s="26">
        <f t="shared" si="5"/>
        <v>0.12869686130047645</v>
      </c>
      <c r="L35" s="22">
        <f t="shared" si="11"/>
        <v>43819.440744331943</v>
      </c>
      <c r="M35" s="5">
        <f>scrimecost*Meta!O32</f>
        <v>417.94399999999996</v>
      </c>
      <c r="N35" s="5">
        <f>L35-Grade10!L35</f>
        <v>605.66916671724903</v>
      </c>
      <c r="O35" s="5">
        <f>Grade10!M35-M35</f>
        <v>9.3919999999999959</v>
      </c>
      <c r="P35" s="22">
        <f t="shared" si="12"/>
        <v>121.9342448773761</v>
      </c>
      <c r="Q35" s="22"/>
      <c r="R35" s="22"/>
      <c r="S35" s="22">
        <f t="shared" si="6"/>
        <v>452.72978641089759</v>
      </c>
      <c r="T35" s="22">
        <f t="shared" si="7"/>
        <v>620.64914464413414</v>
      </c>
    </row>
    <row r="36" spans="1:20" x14ac:dyDescent="0.2">
      <c r="A36" s="5">
        <v>45</v>
      </c>
      <c r="B36" s="1">
        <f t="shared" si="8"/>
        <v>1.9964950187572048</v>
      </c>
      <c r="C36" s="5">
        <f t="shared" si="9"/>
        <v>28570.763369215576</v>
      </c>
      <c r="D36" s="5">
        <f t="shared" si="0"/>
        <v>27610.926879893625</v>
      </c>
      <c r="E36" s="5">
        <f t="shared" si="1"/>
        <v>18110.926879893625</v>
      </c>
      <c r="F36" s="5">
        <f t="shared" si="2"/>
        <v>6214.9676262852681</v>
      </c>
      <c r="G36" s="5">
        <f t="shared" si="3"/>
        <v>21395.959253608358</v>
      </c>
      <c r="H36" s="22">
        <f t="shared" si="10"/>
        <v>13142.696648615916</v>
      </c>
      <c r="I36" s="5">
        <f t="shared" si="4"/>
        <v>33566.096350226697</v>
      </c>
      <c r="J36" s="26">
        <f t="shared" si="5"/>
        <v>0.13101228802369497</v>
      </c>
      <c r="L36" s="22">
        <f t="shared" si="11"/>
        <v>44914.926762940238</v>
      </c>
      <c r="M36" s="5">
        <f>scrimecost*Meta!O33</f>
        <v>321.82400000000001</v>
      </c>
      <c r="N36" s="5">
        <f>L36-Grade10!L36</f>
        <v>620.81089588516625</v>
      </c>
      <c r="O36" s="5">
        <f>Grade10!M36-M36</f>
        <v>7.2319999999999709</v>
      </c>
      <c r="P36" s="22">
        <f t="shared" si="12"/>
        <v>124.38407321629366</v>
      </c>
      <c r="Q36" s="22"/>
      <c r="R36" s="22"/>
      <c r="S36" s="22">
        <f t="shared" si="6"/>
        <v>461.20436967729643</v>
      </c>
      <c r="T36" s="22">
        <f t="shared" si="7"/>
        <v>639.430895109875</v>
      </c>
    </row>
    <row r="37" spans="1:20" x14ac:dyDescent="0.2">
      <c r="A37" s="5">
        <v>46</v>
      </c>
      <c r="B37" s="1">
        <f t="shared" ref="B37:B56" si="13">(1+experiencepremium)^(A37-startage)</f>
        <v>2.0464073942261352</v>
      </c>
      <c r="C37" s="5">
        <f t="shared" ref="C37:C56" si="14">pretaxincome*B37/expnorm</f>
        <v>29285.032453445969</v>
      </c>
      <c r="D37" s="5">
        <f t="shared" ref="D37:D56" si="15">IF(A37&lt;startage,1,0)*(C37*(1-initialunempprob))+IF(A37=startage,1,0)*(C37*(1-unempprob))+IF(A37&gt;startage,1,0)*(C37*(1-unempprob)+unempprob*300*52)</f>
        <v>28272.340051890969</v>
      </c>
      <c r="E37" s="5">
        <f t="shared" si="1"/>
        <v>18772.340051890969</v>
      </c>
      <c r="F37" s="5">
        <f t="shared" si="2"/>
        <v>6430.9190269424016</v>
      </c>
      <c r="G37" s="5">
        <f t="shared" si="3"/>
        <v>21841.42102494857</v>
      </c>
      <c r="H37" s="22">
        <f t="shared" ref="H37:H56" si="16">benefits*B37/expnorm</f>
        <v>13471.264064831315</v>
      </c>
      <c r="I37" s="5">
        <f t="shared" ref="I37:I56" si="17">G37+IF(A37&lt;startage,1,0)*(H37*(1-initialunempprob))+IF(A37&gt;=startage,1,0)*(H37*(1-unempprob))</f>
        <v>34315.811548982369</v>
      </c>
      <c r="J37" s="26">
        <f t="shared" si="5"/>
        <v>0.13327124092439604</v>
      </c>
      <c r="L37" s="22">
        <f t="shared" ref="L37:L56" si="18">(sincome+sbenefits)*(1-sunemp)*B37/expnorm</f>
        <v>46037.799932013746</v>
      </c>
      <c r="M37" s="5">
        <f>scrimecost*Meta!O34</f>
        <v>321.82400000000001</v>
      </c>
      <c r="N37" s="5">
        <f>L37-Grade10!L37</f>
        <v>636.33116828231141</v>
      </c>
      <c r="O37" s="5">
        <f>Grade10!M37-M37</f>
        <v>7.2319999999999709</v>
      </c>
      <c r="P37" s="22">
        <f t="shared" si="12"/>
        <v>126.89514726368417</v>
      </c>
      <c r="Q37" s="22"/>
      <c r="R37" s="22"/>
      <c r="S37" s="22">
        <f t="shared" si="6"/>
        <v>471.99411752537151</v>
      </c>
      <c r="T37" s="22">
        <f t="shared" si="7"/>
        <v>661.80477936326918</v>
      </c>
    </row>
    <row r="38" spans="1:20" x14ac:dyDescent="0.2">
      <c r="A38" s="5">
        <v>47</v>
      </c>
      <c r="B38" s="1">
        <f t="shared" si="13"/>
        <v>2.097567579081788</v>
      </c>
      <c r="C38" s="5">
        <f t="shared" si="14"/>
        <v>30017.158264782109</v>
      </c>
      <c r="D38" s="5">
        <f t="shared" si="15"/>
        <v>28950.288553188235</v>
      </c>
      <c r="E38" s="5">
        <f t="shared" si="1"/>
        <v>19450.288553188235</v>
      </c>
      <c r="F38" s="5">
        <f t="shared" si="2"/>
        <v>6652.2692126159582</v>
      </c>
      <c r="G38" s="5">
        <f t="shared" si="3"/>
        <v>22298.019340572275</v>
      </c>
      <c r="H38" s="22">
        <f t="shared" si="16"/>
        <v>13808.045666452097</v>
      </c>
      <c r="I38" s="5">
        <f t="shared" si="17"/>
        <v>35084.269627706919</v>
      </c>
      <c r="J38" s="26">
        <f t="shared" si="5"/>
        <v>0.13547509741288483</v>
      </c>
      <c r="L38" s="22">
        <f t="shared" si="18"/>
        <v>47188.744930314082</v>
      </c>
      <c r="M38" s="5">
        <f>scrimecost*Meta!O35</f>
        <v>321.82400000000001</v>
      </c>
      <c r="N38" s="5">
        <f>L38-Grade10!L38</f>
        <v>652.23944748935173</v>
      </c>
      <c r="O38" s="5">
        <f>Grade10!M38-M38</f>
        <v>7.2319999999999709</v>
      </c>
      <c r="P38" s="22">
        <f t="shared" si="12"/>
        <v>129.46899816225942</v>
      </c>
      <c r="Q38" s="22"/>
      <c r="R38" s="22"/>
      <c r="S38" s="22">
        <f t="shared" si="6"/>
        <v>483.05360906963034</v>
      </c>
      <c r="T38" s="22">
        <f t="shared" si="7"/>
        <v>684.98609384244719</v>
      </c>
    </row>
    <row r="39" spans="1:20" x14ac:dyDescent="0.2">
      <c r="A39" s="5">
        <v>48</v>
      </c>
      <c r="B39" s="1">
        <f t="shared" si="13"/>
        <v>2.1500067685588333</v>
      </c>
      <c r="C39" s="5">
        <f t="shared" si="14"/>
        <v>30767.587221401674</v>
      </c>
      <c r="D39" s="5">
        <f t="shared" si="15"/>
        <v>29645.185767017952</v>
      </c>
      <c r="E39" s="5">
        <f t="shared" si="1"/>
        <v>20145.185767017952</v>
      </c>
      <c r="F39" s="5">
        <f t="shared" si="2"/>
        <v>6879.1531529313615</v>
      </c>
      <c r="G39" s="5">
        <f t="shared" si="3"/>
        <v>22766.032614086591</v>
      </c>
      <c r="H39" s="22">
        <f t="shared" si="16"/>
        <v>14153.246808113401</v>
      </c>
      <c r="I39" s="5">
        <f t="shared" si="17"/>
        <v>35871.939158399604</v>
      </c>
      <c r="J39" s="26">
        <f t="shared" ref="J39:J56" si="19">(F39-(IF(A39&gt;startage,1,0)*(unempprob*300*52)))/(IF(A39&lt;startage,1,0)*((C39+H39)*(1-initialunempprob))+IF(A39&gt;=startage,1,0)*((C39+H39)*(1-unempprob)))</f>
        <v>0.1376252013040935</v>
      </c>
      <c r="L39" s="22">
        <f t="shared" si="18"/>
        <v>48368.463553571943</v>
      </c>
      <c r="M39" s="5">
        <f>scrimecost*Meta!O36</f>
        <v>321.82400000000001</v>
      </c>
      <c r="N39" s="5">
        <f>L39-Grade10!L39</f>
        <v>668.5454336765979</v>
      </c>
      <c r="O39" s="5">
        <f>Grade10!M39-M39</f>
        <v>7.2319999999999709</v>
      </c>
      <c r="P39" s="22">
        <f t="shared" si="12"/>
        <v>132.10719533329913</v>
      </c>
      <c r="Q39" s="22"/>
      <c r="R39" s="22"/>
      <c r="S39" s="22">
        <f t="shared" ref="S39:S69" si="20">IF(A39&lt;startage,1,0)*(N39-Q39-R39)+IF(A39&gt;=startage,1,0)*completionprob*(N39*spart+O39+P39)</f>
        <v>494.38958790251189</v>
      </c>
      <c r="T39" s="22">
        <f t="shared" ref="T39:T69" si="21">S39/sreturn^(A39-startage+1)</f>
        <v>709.00426834526093</v>
      </c>
    </row>
    <row r="40" spans="1:20" x14ac:dyDescent="0.2">
      <c r="A40" s="5">
        <v>49</v>
      </c>
      <c r="B40" s="1">
        <f t="shared" si="13"/>
        <v>2.2037569377728037</v>
      </c>
      <c r="C40" s="5">
        <f t="shared" si="14"/>
        <v>31536.776901936708</v>
      </c>
      <c r="D40" s="5">
        <f t="shared" si="15"/>
        <v>30357.455411193394</v>
      </c>
      <c r="E40" s="5">
        <f t="shared" si="1"/>
        <v>20857.455411193394</v>
      </c>
      <c r="F40" s="5">
        <f t="shared" si="2"/>
        <v>7111.7091917546431</v>
      </c>
      <c r="G40" s="5">
        <f t="shared" si="3"/>
        <v>23245.746219438752</v>
      </c>
      <c r="H40" s="22">
        <f t="shared" si="16"/>
        <v>14507.077978316234</v>
      </c>
      <c r="I40" s="5">
        <f t="shared" si="17"/>
        <v>36679.300427359587</v>
      </c>
      <c r="J40" s="26">
        <f t="shared" si="19"/>
        <v>0.13972286363697992</v>
      </c>
      <c r="L40" s="22">
        <f t="shared" si="18"/>
        <v>49577.67514241123</v>
      </c>
      <c r="M40" s="5">
        <f>scrimecost*Meta!O37</f>
        <v>321.82400000000001</v>
      </c>
      <c r="N40" s="5">
        <f>L40-Grade10!L40</f>
        <v>685.25906951850629</v>
      </c>
      <c r="O40" s="5">
        <f>Grade10!M40-M40</f>
        <v>7.2319999999999709</v>
      </c>
      <c r="P40" s="22">
        <f t="shared" ref="P40:P56" si="22">(spart-initialspart)*(L40*J40+nptrans)</f>
        <v>134.81134743361477</v>
      </c>
      <c r="Q40" s="22"/>
      <c r="R40" s="22"/>
      <c r="S40" s="22">
        <f t="shared" si="20"/>
        <v>506.00896620620517</v>
      </c>
      <c r="T40" s="22">
        <f t="shared" si="21"/>
        <v>733.88980869545469</v>
      </c>
    </row>
    <row r="41" spans="1:20" x14ac:dyDescent="0.2">
      <c r="A41" s="5">
        <v>50</v>
      </c>
      <c r="B41" s="1">
        <f t="shared" si="13"/>
        <v>2.2588508612171236</v>
      </c>
      <c r="C41" s="5">
        <f t="shared" si="14"/>
        <v>32325.196324485121</v>
      </c>
      <c r="D41" s="5">
        <f t="shared" si="15"/>
        <v>31087.531796473224</v>
      </c>
      <c r="E41" s="5">
        <f t="shared" si="1"/>
        <v>21587.531796473224</v>
      </c>
      <c r="F41" s="5">
        <f t="shared" si="2"/>
        <v>7350.0791315485076</v>
      </c>
      <c r="G41" s="5">
        <f t="shared" si="3"/>
        <v>23737.452664924716</v>
      </c>
      <c r="H41" s="22">
        <f t="shared" si="16"/>
        <v>14869.75492777414</v>
      </c>
      <c r="I41" s="5">
        <f t="shared" si="17"/>
        <v>37506.845728043569</v>
      </c>
      <c r="J41" s="26">
        <f t="shared" si="19"/>
        <v>0.14176936347394228</v>
      </c>
      <c r="L41" s="22">
        <f t="shared" si="18"/>
        <v>50817.117020971513</v>
      </c>
      <c r="M41" s="5">
        <f>scrimecost*Meta!O38</f>
        <v>195.44400000000002</v>
      </c>
      <c r="N41" s="5">
        <f>L41-Grade10!L41</f>
        <v>702.39054625647259</v>
      </c>
      <c r="O41" s="5">
        <f>Grade10!M41-M41</f>
        <v>4.3919999999999959</v>
      </c>
      <c r="P41" s="22">
        <f t="shared" si="22"/>
        <v>137.58310333643831</v>
      </c>
      <c r="Q41" s="22"/>
      <c r="R41" s="22"/>
      <c r="S41" s="22">
        <f t="shared" si="20"/>
        <v>515.22082896749623</v>
      </c>
      <c r="T41" s="22">
        <f t="shared" si="21"/>
        <v>755.71695661836202</v>
      </c>
    </row>
    <row r="42" spans="1:20" x14ac:dyDescent="0.2">
      <c r="A42" s="5">
        <v>51</v>
      </c>
      <c r="B42" s="1">
        <f t="shared" si="13"/>
        <v>2.3153221327475517</v>
      </c>
      <c r="C42" s="5">
        <f t="shared" si="14"/>
        <v>33133.326232597246</v>
      </c>
      <c r="D42" s="5">
        <f t="shared" si="15"/>
        <v>31835.860091385053</v>
      </c>
      <c r="E42" s="5">
        <f t="shared" si="1"/>
        <v>22335.860091385053</v>
      </c>
      <c r="F42" s="5">
        <f t="shared" si="2"/>
        <v>7594.40831983722</v>
      </c>
      <c r="G42" s="5">
        <f t="shared" si="3"/>
        <v>24241.451771547832</v>
      </c>
      <c r="H42" s="22">
        <f t="shared" si="16"/>
        <v>15241.498800968493</v>
      </c>
      <c r="I42" s="5">
        <f t="shared" si="17"/>
        <v>38355.079661244657</v>
      </c>
      <c r="J42" s="26">
        <f t="shared" si="19"/>
        <v>0.14376594868073489</v>
      </c>
      <c r="L42" s="22">
        <f t="shared" si="18"/>
        <v>52087.5449464958</v>
      </c>
      <c r="M42" s="5">
        <f>scrimecost*Meta!O39</f>
        <v>195.44400000000002</v>
      </c>
      <c r="N42" s="5">
        <f>L42-Grade10!L42</f>
        <v>719.95030991289241</v>
      </c>
      <c r="O42" s="5">
        <f>Grade10!M42-M42</f>
        <v>4.3919999999999959</v>
      </c>
      <c r="P42" s="22">
        <f t="shared" si="22"/>
        <v>140.42415313683244</v>
      </c>
      <c r="Q42" s="22"/>
      <c r="R42" s="22"/>
      <c r="S42" s="22">
        <f t="shared" si="20"/>
        <v>527.42843829782191</v>
      </c>
      <c r="T42" s="22">
        <f t="shared" si="21"/>
        <v>782.38840944316735</v>
      </c>
    </row>
    <row r="43" spans="1:20" x14ac:dyDescent="0.2">
      <c r="A43" s="5">
        <v>52</v>
      </c>
      <c r="B43" s="1">
        <f t="shared" si="13"/>
        <v>2.3732051860662402</v>
      </c>
      <c r="C43" s="5">
        <f t="shared" si="14"/>
        <v>33961.659388412176</v>
      </c>
      <c r="D43" s="5">
        <f t="shared" si="15"/>
        <v>32602.896593669677</v>
      </c>
      <c r="E43" s="5">
        <f t="shared" si="1"/>
        <v>23102.896593669677</v>
      </c>
      <c r="F43" s="5">
        <f t="shared" si="2"/>
        <v>7844.8457378331495</v>
      </c>
      <c r="G43" s="5">
        <f t="shared" si="3"/>
        <v>24758.050855836525</v>
      </c>
      <c r="H43" s="22">
        <f t="shared" si="16"/>
        <v>15622.536270992701</v>
      </c>
      <c r="I43" s="5">
        <f t="shared" si="17"/>
        <v>39224.519442775767</v>
      </c>
      <c r="J43" s="26">
        <f t="shared" si="19"/>
        <v>0.14571383668736176</v>
      </c>
      <c r="L43" s="22">
        <f t="shared" si="18"/>
        <v>53389.733570158183</v>
      </c>
      <c r="M43" s="5">
        <f>scrimecost*Meta!O40</f>
        <v>195.44400000000002</v>
      </c>
      <c r="N43" s="5">
        <f>L43-Grade10!L43</f>
        <v>737.94906766069471</v>
      </c>
      <c r="O43" s="5">
        <f>Grade10!M43-M43</f>
        <v>4.3919999999999959</v>
      </c>
      <c r="P43" s="22">
        <f t="shared" si="22"/>
        <v>143.33622918223639</v>
      </c>
      <c r="Q43" s="22"/>
      <c r="R43" s="22"/>
      <c r="S43" s="22">
        <f t="shared" si="20"/>
        <v>539.94123786139073</v>
      </c>
      <c r="T43" s="22">
        <f t="shared" si="21"/>
        <v>810.02509475588386</v>
      </c>
    </row>
    <row r="44" spans="1:20" x14ac:dyDescent="0.2">
      <c r="A44" s="5">
        <v>53</v>
      </c>
      <c r="B44" s="1">
        <f t="shared" si="13"/>
        <v>2.4325353157178964</v>
      </c>
      <c r="C44" s="5">
        <f t="shared" si="14"/>
        <v>34810.700873122485</v>
      </c>
      <c r="D44" s="5">
        <f t="shared" si="15"/>
        <v>33389.109008511419</v>
      </c>
      <c r="E44" s="5">
        <f t="shared" si="1"/>
        <v>23889.109008511419</v>
      </c>
      <c r="F44" s="5">
        <f t="shared" si="2"/>
        <v>8101.5440912789782</v>
      </c>
      <c r="G44" s="5">
        <f t="shared" si="3"/>
        <v>25287.564917232441</v>
      </c>
      <c r="H44" s="22">
        <f t="shared" si="16"/>
        <v>16013.099677767521</v>
      </c>
      <c r="I44" s="5">
        <f t="shared" si="17"/>
        <v>40115.695218845169</v>
      </c>
      <c r="J44" s="26">
        <f t="shared" si="19"/>
        <v>0.14761421523041238</v>
      </c>
      <c r="L44" s="22">
        <f t="shared" si="18"/>
        <v>54724.476909412144</v>
      </c>
      <c r="M44" s="5">
        <f>scrimecost*Meta!O41</f>
        <v>195.44400000000002</v>
      </c>
      <c r="N44" s="5">
        <f>L44-Grade10!L44</f>
        <v>756.3977943522259</v>
      </c>
      <c r="O44" s="5">
        <f>Grade10!M44-M44</f>
        <v>4.3919999999999959</v>
      </c>
      <c r="P44" s="22">
        <f t="shared" si="22"/>
        <v>146.32110712877548</v>
      </c>
      <c r="Q44" s="22"/>
      <c r="R44" s="22"/>
      <c r="S44" s="22">
        <f t="shared" si="20"/>
        <v>552.76685741406698</v>
      </c>
      <c r="T44" s="22">
        <f t="shared" si="21"/>
        <v>838.662225212929</v>
      </c>
    </row>
    <row r="45" spans="1:20" x14ac:dyDescent="0.2">
      <c r="A45" s="5">
        <v>54</v>
      </c>
      <c r="B45" s="1">
        <f t="shared" si="13"/>
        <v>2.4933486986108435</v>
      </c>
      <c r="C45" s="5">
        <f t="shared" si="14"/>
        <v>35680.968394950542</v>
      </c>
      <c r="D45" s="5">
        <f t="shared" si="15"/>
        <v>34194.976733724201</v>
      </c>
      <c r="E45" s="5">
        <f t="shared" si="1"/>
        <v>24694.976733724201</v>
      </c>
      <c r="F45" s="5">
        <f t="shared" si="2"/>
        <v>8364.6599035609506</v>
      </c>
      <c r="G45" s="5">
        <f t="shared" si="3"/>
        <v>25830.31683016325</v>
      </c>
      <c r="H45" s="22">
        <f t="shared" si="16"/>
        <v>16413.427169711707</v>
      </c>
      <c r="I45" s="5">
        <f t="shared" si="17"/>
        <v>41029.150389316288</v>
      </c>
      <c r="J45" s="26">
        <f t="shared" si="19"/>
        <v>0.14946824307729101</v>
      </c>
      <c r="L45" s="22">
        <f t="shared" si="18"/>
        <v>56092.588832147441</v>
      </c>
      <c r="M45" s="5">
        <f>scrimecost*Meta!O42</f>
        <v>195.44400000000002</v>
      </c>
      <c r="N45" s="5">
        <f>L45-Grade10!L45</f>
        <v>775.30773921103537</v>
      </c>
      <c r="O45" s="5">
        <f>Grade10!M45-M45</f>
        <v>4.3919999999999959</v>
      </c>
      <c r="P45" s="22">
        <f t="shared" si="22"/>
        <v>149.380607023978</v>
      </c>
      <c r="Q45" s="22"/>
      <c r="R45" s="22"/>
      <c r="S45" s="22">
        <f t="shared" si="20"/>
        <v>565.9131174555547</v>
      </c>
      <c r="T45" s="22">
        <f t="shared" si="21"/>
        <v>868.33630128693335</v>
      </c>
    </row>
    <row r="46" spans="1:20" x14ac:dyDescent="0.2">
      <c r="A46" s="5">
        <v>55</v>
      </c>
      <c r="B46" s="1">
        <f t="shared" si="13"/>
        <v>2.555682416076114</v>
      </c>
      <c r="C46" s="5">
        <f t="shared" si="14"/>
        <v>36572.992604824292</v>
      </c>
      <c r="D46" s="5">
        <f t="shared" si="15"/>
        <v>35020.991152067298</v>
      </c>
      <c r="E46" s="5">
        <f t="shared" si="1"/>
        <v>25520.991152067298</v>
      </c>
      <c r="F46" s="5">
        <f t="shared" si="2"/>
        <v>8634.3536111499725</v>
      </c>
      <c r="G46" s="5">
        <f t="shared" si="3"/>
        <v>26386.637540917327</v>
      </c>
      <c r="H46" s="22">
        <f t="shared" si="16"/>
        <v>16823.762848954495</v>
      </c>
      <c r="I46" s="5">
        <f t="shared" si="17"/>
        <v>41965.441939049189</v>
      </c>
      <c r="J46" s="26">
        <f t="shared" si="19"/>
        <v>0.15127705073278244</v>
      </c>
      <c r="L46" s="22">
        <f t="shared" si="18"/>
        <v>57494.903552951109</v>
      </c>
      <c r="M46" s="5">
        <f>scrimecost*Meta!O43</f>
        <v>97.544000000000011</v>
      </c>
      <c r="N46" s="5">
        <f>L46-Grade10!L46</f>
        <v>794.69043269128451</v>
      </c>
      <c r="O46" s="5">
        <f>Grade10!M46-M46</f>
        <v>2.1919999999999931</v>
      </c>
      <c r="P46" s="22">
        <f t="shared" si="22"/>
        <v>152.51659441656062</v>
      </c>
      <c r="Q46" s="22"/>
      <c r="R46" s="22"/>
      <c r="S46" s="22">
        <f t="shared" si="20"/>
        <v>577.29803399806303</v>
      </c>
      <c r="T46" s="22">
        <f t="shared" si="21"/>
        <v>895.84192956281481</v>
      </c>
    </row>
    <row r="47" spans="1:20" x14ac:dyDescent="0.2">
      <c r="A47" s="5">
        <v>56</v>
      </c>
      <c r="B47" s="1">
        <f t="shared" si="13"/>
        <v>2.6195744764780171</v>
      </c>
      <c r="C47" s="5">
        <f t="shared" si="14"/>
        <v>37487.317419944906</v>
      </c>
      <c r="D47" s="5">
        <f t="shared" si="15"/>
        <v>35867.655930868983</v>
      </c>
      <c r="E47" s="5">
        <f t="shared" si="1"/>
        <v>26367.655930868983</v>
      </c>
      <c r="F47" s="5">
        <f t="shared" si="2"/>
        <v>8910.7896614287238</v>
      </c>
      <c r="G47" s="5">
        <f t="shared" si="3"/>
        <v>26956.866269440259</v>
      </c>
      <c r="H47" s="22">
        <f t="shared" si="16"/>
        <v>17244.356920178361</v>
      </c>
      <c r="I47" s="5">
        <f t="shared" si="17"/>
        <v>42925.140777525419</v>
      </c>
      <c r="J47" s="26">
        <f t="shared" si="19"/>
        <v>0.15304174112838378</v>
      </c>
      <c r="L47" s="22">
        <f t="shared" si="18"/>
        <v>58932.276141774899</v>
      </c>
      <c r="M47" s="5">
        <f>scrimecost*Meta!O44</f>
        <v>97.544000000000011</v>
      </c>
      <c r="N47" s="5">
        <f>L47-Grade10!L47</f>
        <v>814.55769350858463</v>
      </c>
      <c r="O47" s="5">
        <f>Grade10!M47-M47</f>
        <v>2.1919999999999931</v>
      </c>
      <c r="P47" s="22">
        <f t="shared" si="22"/>
        <v>155.73098149395784</v>
      </c>
      <c r="Q47" s="22"/>
      <c r="R47" s="22"/>
      <c r="S47" s="22">
        <f t="shared" si="20"/>
        <v>591.10982345415846</v>
      </c>
      <c r="T47" s="22">
        <f t="shared" si="21"/>
        <v>927.66803951108807</v>
      </c>
    </row>
    <row r="48" spans="1:20" x14ac:dyDescent="0.2">
      <c r="A48" s="5">
        <v>57</v>
      </c>
      <c r="B48" s="1">
        <f t="shared" si="13"/>
        <v>2.6850638383899672</v>
      </c>
      <c r="C48" s="5">
        <f t="shared" si="14"/>
        <v>38424.500355443532</v>
      </c>
      <c r="D48" s="5">
        <f t="shared" si="15"/>
        <v>36735.487329140713</v>
      </c>
      <c r="E48" s="5">
        <f t="shared" si="1"/>
        <v>27235.487329140713</v>
      </c>
      <c r="F48" s="5">
        <f t="shared" si="2"/>
        <v>9194.136612964443</v>
      </c>
      <c r="G48" s="5">
        <f t="shared" si="3"/>
        <v>27541.350716176268</v>
      </c>
      <c r="H48" s="22">
        <f t="shared" si="16"/>
        <v>17675.465843182817</v>
      </c>
      <c r="I48" s="5">
        <f t="shared" si="17"/>
        <v>43908.832086963557</v>
      </c>
      <c r="J48" s="26">
        <f t="shared" si="19"/>
        <v>0.15476339029482414</v>
      </c>
      <c r="L48" s="22">
        <f t="shared" si="18"/>
        <v>60405.583045319268</v>
      </c>
      <c r="M48" s="5">
        <f>scrimecost*Meta!O45</f>
        <v>97.544000000000011</v>
      </c>
      <c r="N48" s="5">
        <f>L48-Grade10!L48</f>
        <v>834.9216358463018</v>
      </c>
      <c r="O48" s="5">
        <f>Grade10!M48-M48</f>
        <v>2.1919999999999931</v>
      </c>
      <c r="P48" s="22">
        <f t="shared" si="22"/>
        <v>159.02572824828997</v>
      </c>
      <c r="Q48" s="22"/>
      <c r="R48" s="22"/>
      <c r="S48" s="22">
        <f t="shared" si="20"/>
        <v>605.26690764664772</v>
      </c>
      <c r="T48" s="22">
        <f t="shared" si="21"/>
        <v>960.64838706961302</v>
      </c>
    </row>
    <row r="49" spans="1:20" x14ac:dyDescent="0.2">
      <c r="A49" s="5">
        <v>58</v>
      </c>
      <c r="B49" s="1">
        <f t="shared" si="13"/>
        <v>2.7521904343497163</v>
      </c>
      <c r="C49" s="5">
        <f t="shared" si="14"/>
        <v>39385.112864329611</v>
      </c>
      <c r="D49" s="5">
        <f t="shared" si="15"/>
        <v>37625.01451236922</v>
      </c>
      <c r="E49" s="5">
        <f t="shared" si="1"/>
        <v>28125.01451236922</v>
      </c>
      <c r="F49" s="5">
        <f t="shared" si="2"/>
        <v>9484.5672382885496</v>
      </c>
      <c r="G49" s="5">
        <f t="shared" si="3"/>
        <v>28140.44727408067</v>
      </c>
      <c r="H49" s="22">
        <f t="shared" si="16"/>
        <v>18117.352489262386</v>
      </c>
      <c r="I49" s="5">
        <f t="shared" si="17"/>
        <v>44917.115679137642</v>
      </c>
      <c r="J49" s="26">
        <f t="shared" si="19"/>
        <v>0.15644304801818054</v>
      </c>
      <c r="L49" s="22">
        <f t="shared" si="18"/>
        <v>61915.722621452245</v>
      </c>
      <c r="M49" s="5">
        <f>scrimecost*Meta!O46</f>
        <v>97.544000000000011</v>
      </c>
      <c r="N49" s="5">
        <f>L49-Grade10!L49</f>
        <v>855.79467674245825</v>
      </c>
      <c r="O49" s="5">
        <f>Grade10!M49-M49</f>
        <v>2.1919999999999931</v>
      </c>
      <c r="P49" s="22">
        <f t="shared" si="22"/>
        <v>162.40284367148035</v>
      </c>
      <c r="Q49" s="22"/>
      <c r="R49" s="22"/>
      <c r="S49" s="22">
        <f t="shared" si="20"/>
        <v>619.77791894394738</v>
      </c>
      <c r="T49" s="22">
        <f t="shared" si="21"/>
        <v>994.82510818662706</v>
      </c>
    </row>
    <row r="50" spans="1:20" x14ac:dyDescent="0.2">
      <c r="A50" s="5">
        <v>59</v>
      </c>
      <c r="B50" s="1">
        <f t="shared" si="13"/>
        <v>2.8209951952084591</v>
      </c>
      <c r="C50" s="5">
        <f t="shared" si="14"/>
        <v>40369.740685937846</v>
      </c>
      <c r="D50" s="5">
        <f t="shared" si="15"/>
        <v>38536.77987517845</v>
      </c>
      <c r="E50" s="5">
        <f t="shared" si="1"/>
        <v>29036.77987517845</v>
      </c>
      <c r="F50" s="5">
        <f t="shared" si="2"/>
        <v>9782.2586292457636</v>
      </c>
      <c r="G50" s="5">
        <f t="shared" si="3"/>
        <v>28754.521245932687</v>
      </c>
      <c r="H50" s="22">
        <f t="shared" si="16"/>
        <v>18570.286301493947</v>
      </c>
      <c r="I50" s="5">
        <f t="shared" si="17"/>
        <v>45950.606361116079</v>
      </c>
      <c r="J50" s="26">
        <f t="shared" si="19"/>
        <v>0.15808173847999171</v>
      </c>
      <c r="L50" s="22">
        <f t="shared" si="18"/>
        <v>63463.615686988545</v>
      </c>
      <c r="M50" s="5">
        <f>scrimecost*Meta!O47</f>
        <v>97.544000000000011</v>
      </c>
      <c r="N50" s="5">
        <f>L50-Grade10!L50</f>
        <v>877.18954366101389</v>
      </c>
      <c r="O50" s="5">
        <f>Grade10!M50-M50</f>
        <v>2.1919999999999931</v>
      </c>
      <c r="P50" s="22">
        <f t="shared" si="22"/>
        <v>165.86438698025054</v>
      </c>
      <c r="Q50" s="22"/>
      <c r="R50" s="22"/>
      <c r="S50" s="22">
        <f t="shared" si="20"/>
        <v>634.65170552367692</v>
      </c>
      <c r="T50" s="22">
        <f t="shared" si="21"/>
        <v>1030.2418801496383</v>
      </c>
    </row>
    <row r="51" spans="1:20" x14ac:dyDescent="0.2">
      <c r="A51" s="5">
        <v>60</v>
      </c>
      <c r="B51" s="1">
        <f t="shared" si="13"/>
        <v>2.8915200750886707</v>
      </c>
      <c r="C51" s="5">
        <f t="shared" si="14"/>
        <v>41378.9842030863</v>
      </c>
      <c r="D51" s="5">
        <f t="shared" si="15"/>
        <v>39471.339372057919</v>
      </c>
      <c r="E51" s="5">
        <f t="shared" si="1"/>
        <v>29971.339372057919</v>
      </c>
      <c r="F51" s="5">
        <f t="shared" si="2"/>
        <v>10087.392304976911</v>
      </c>
      <c r="G51" s="5">
        <f t="shared" si="3"/>
        <v>29383.947067081008</v>
      </c>
      <c r="H51" s="22">
        <f t="shared" si="16"/>
        <v>19034.543459031294</v>
      </c>
      <c r="I51" s="5">
        <f t="shared" si="17"/>
        <v>47009.934310143988</v>
      </c>
      <c r="J51" s="26">
        <f t="shared" si="19"/>
        <v>0.15968046088175872</v>
      </c>
      <c r="L51" s="22">
        <f t="shared" si="18"/>
        <v>65050.206079163268</v>
      </c>
      <c r="M51" s="5">
        <f>scrimecost*Meta!O48</f>
        <v>48.772000000000006</v>
      </c>
      <c r="N51" s="5">
        <f>L51-Grade10!L51</f>
        <v>899.11928225255542</v>
      </c>
      <c r="O51" s="5">
        <f>Grade10!M51-M51</f>
        <v>1.0959999999999965</v>
      </c>
      <c r="P51" s="22">
        <f t="shared" si="22"/>
        <v>169.41246887174</v>
      </c>
      <c r="Q51" s="22"/>
      <c r="R51" s="22"/>
      <c r="S51" s="22">
        <f t="shared" si="20"/>
        <v>648.85613676791161</v>
      </c>
      <c r="T51" s="22">
        <f t="shared" si="21"/>
        <v>1065.2346279155038</v>
      </c>
    </row>
    <row r="52" spans="1:20" x14ac:dyDescent="0.2">
      <c r="A52" s="5">
        <v>61</v>
      </c>
      <c r="B52" s="1">
        <f t="shared" si="13"/>
        <v>2.9638080769658868</v>
      </c>
      <c r="C52" s="5">
        <f t="shared" si="14"/>
        <v>42413.45880816345</v>
      </c>
      <c r="D52" s="5">
        <f t="shared" si="15"/>
        <v>40429.262856359361</v>
      </c>
      <c r="E52" s="5">
        <f t="shared" si="1"/>
        <v>30929.262856359361</v>
      </c>
      <c r="F52" s="5">
        <f t="shared" si="2"/>
        <v>10400.154322601331</v>
      </c>
      <c r="G52" s="5">
        <f t="shared" si="3"/>
        <v>30029.10853375803</v>
      </c>
      <c r="H52" s="22">
        <f t="shared" si="16"/>
        <v>19510.407045507072</v>
      </c>
      <c r="I52" s="5">
        <f t="shared" si="17"/>
        <v>48095.745457897581</v>
      </c>
      <c r="J52" s="26">
        <f t="shared" si="19"/>
        <v>0.16124019005421431</v>
      </c>
      <c r="L52" s="22">
        <f t="shared" si="18"/>
        <v>66676.461231142326</v>
      </c>
      <c r="M52" s="5">
        <f>scrimecost*Meta!O49</f>
        <v>48.772000000000006</v>
      </c>
      <c r="N52" s="5">
        <f>L52-Grade10!L52</f>
        <v>921.59726430884621</v>
      </c>
      <c r="O52" s="5">
        <f>Grade10!M52-M52</f>
        <v>1.0959999999999965</v>
      </c>
      <c r="P52" s="22">
        <f t="shared" si="22"/>
        <v>173.04925281051663</v>
      </c>
      <c r="Q52" s="22"/>
      <c r="R52" s="22"/>
      <c r="S52" s="22">
        <f t="shared" si="20"/>
        <v>664.48290879323088</v>
      </c>
      <c r="T52" s="22">
        <f t="shared" si="21"/>
        <v>1103.2496151339026</v>
      </c>
    </row>
    <row r="53" spans="1:20" x14ac:dyDescent="0.2">
      <c r="A53" s="5">
        <v>62</v>
      </c>
      <c r="B53" s="1">
        <f t="shared" si="13"/>
        <v>3.0379032788900342</v>
      </c>
      <c r="C53" s="5">
        <f t="shared" si="14"/>
        <v>43473.795278367536</v>
      </c>
      <c r="D53" s="5">
        <f t="shared" si="15"/>
        <v>41411.134427768338</v>
      </c>
      <c r="E53" s="5">
        <f t="shared" si="1"/>
        <v>31911.134427768338</v>
      </c>
      <c r="F53" s="5">
        <f t="shared" si="2"/>
        <v>10720.735390666363</v>
      </c>
      <c r="G53" s="5">
        <f t="shared" si="3"/>
        <v>30690.399037101975</v>
      </c>
      <c r="H53" s="22">
        <f t="shared" si="16"/>
        <v>19998.167221644751</v>
      </c>
      <c r="I53" s="5">
        <f t="shared" si="17"/>
        <v>49208.701884345021</v>
      </c>
      <c r="J53" s="26">
        <f t="shared" si="19"/>
        <v>0.16276187705173192</v>
      </c>
      <c r="L53" s="22">
        <f t="shared" si="18"/>
        <v>68343.372761920895</v>
      </c>
      <c r="M53" s="5">
        <f>scrimecost*Meta!O50</f>
        <v>48.772000000000006</v>
      </c>
      <c r="N53" s="5">
        <f>L53-Grade10!L53</f>
        <v>944.63719591658446</v>
      </c>
      <c r="O53" s="5">
        <f>Grade10!M53-M53</f>
        <v>1.0959999999999965</v>
      </c>
      <c r="P53" s="22">
        <f t="shared" si="22"/>
        <v>176.77695634776273</v>
      </c>
      <c r="Q53" s="22"/>
      <c r="R53" s="22"/>
      <c r="S53" s="22">
        <f t="shared" si="20"/>
        <v>680.50035011920511</v>
      </c>
      <c r="T53" s="22">
        <f t="shared" si="21"/>
        <v>1142.6452882344192</v>
      </c>
    </row>
    <row r="54" spans="1:20" x14ac:dyDescent="0.2">
      <c r="A54" s="5">
        <v>63</v>
      </c>
      <c r="B54" s="1">
        <f t="shared" si="13"/>
        <v>3.1138508608622844</v>
      </c>
      <c r="C54" s="5">
        <f t="shared" si="14"/>
        <v>44560.640160326715</v>
      </c>
      <c r="D54" s="5">
        <f t="shared" si="15"/>
        <v>42417.552788462541</v>
      </c>
      <c r="E54" s="5">
        <f t="shared" si="1"/>
        <v>32917.552788462541</v>
      </c>
      <c r="F54" s="5">
        <f t="shared" si="2"/>
        <v>11049.33098543302</v>
      </c>
      <c r="G54" s="5">
        <f t="shared" si="3"/>
        <v>31368.221803029519</v>
      </c>
      <c r="H54" s="22">
        <f t="shared" si="16"/>
        <v>20498.121402185869</v>
      </c>
      <c r="I54" s="5">
        <f t="shared" si="17"/>
        <v>50349.482221453633</v>
      </c>
      <c r="J54" s="26">
        <f t="shared" si="19"/>
        <v>0.16424644973223695</v>
      </c>
      <c r="L54" s="22">
        <f t="shared" si="18"/>
        <v>70051.957080968903</v>
      </c>
      <c r="M54" s="5">
        <f>scrimecost*Meta!O51</f>
        <v>48.772000000000006</v>
      </c>
      <c r="N54" s="5">
        <f>L54-Grade10!L54</f>
        <v>968.25312581448816</v>
      </c>
      <c r="O54" s="5">
        <f>Grade10!M54-M54</f>
        <v>1.0959999999999965</v>
      </c>
      <c r="P54" s="22">
        <f t="shared" si="22"/>
        <v>180.59785247343999</v>
      </c>
      <c r="Q54" s="22"/>
      <c r="R54" s="22"/>
      <c r="S54" s="22">
        <f t="shared" si="20"/>
        <v>696.91822747831327</v>
      </c>
      <c r="T54" s="22">
        <f t="shared" si="21"/>
        <v>1183.4720725930526</v>
      </c>
    </row>
    <row r="55" spans="1:20" x14ac:dyDescent="0.2">
      <c r="A55" s="5">
        <v>64</v>
      </c>
      <c r="B55" s="1">
        <f t="shared" si="13"/>
        <v>3.1916971323838421</v>
      </c>
      <c r="C55" s="5">
        <f t="shared" si="14"/>
        <v>45674.65616433489</v>
      </c>
      <c r="D55" s="5">
        <f t="shared" si="15"/>
        <v>43449.13160817411</v>
      </c>
      <c r="E55" s="5">
        <f t="shared" si="1"/>
        <v>33949.13160817411</v>
      </c>
      <c r="F55" s="5">
        <f t="shared" si="2"/>
        <v>11386.141470068847</v>
      </c>
      <c r="G55" s="5">
        <f t="shared" si="3"/>
        <v>32062.990138105262</v>
      </c>
      <c r="H55" s="22">
        <f t="shared" si="16"/>
        <v>21010.574437240517</v>
      </c>
      <c r="I55" s="5">
        <f t="shared" si="17"/>
        <v>51518.782066989981</v>
      </c>
      <c r="J55" s="26">
        <f t="shared" si="19"/>
        <v>0.16569481332297356</v>
      </c>
      <c r="L55" s="22">
        <f t="shared" si="18"/>
        <v>71803.256007993143</v>
      </c>
      <c r="M55" s="5">
        <f>scrimecost*Meta!O52</f>
        <v>48.772000000000006</v>
      </c>
      <c r="N55" s="5">
        <f>L55-Grade10!L55</f>
        <v>992.45945395987656</v>
      </c>
      <c r="O55" s="5">
        <f>Grade10!M55-M55</f>
        <v>1.0959999999999965</v>
      </c>
      <c r="P55" s="22">
        <f t="shared" si="22"/>
        <v>184.51427100225914</v>
      </c>
      <c r="Q55" s="22"/>
      <c r="R55" s="22"/>
      <c r="S55" s="22">
        <f t="shared" si="20"/>
        <v>713.74655177141938</v>
      </c>
      <c r="T55" s="22">
        <f t="shared" si="21"/>
        <v>1225.7822384132126</v>
      </c>
    </row>
    <row r="56" spans="1:20" x14ac:dyDescent="0.2">
      <c r="A56" s="5">
        <v>65</v>
      </c>
      <c r="B56" s="1">
        <f t="shared" si="13"/>
        <v>3.2714895606934378</v>
      </c>
      <c r="C56" s="5">
        <f t="shared" si="14"/>
        <v>46816.522568443259</v>
      </c>
      <c r="D56" s="5">
        <f t="shared" si="15"/>
        <v>44506.499898378461</v>
      </c>
      <c r="E56" s="5">
        <f t="shared" si="1"/>
        <v>35006.499898378461</v>
      </c>
      <c r="F56" s="5">
        <f t="shared" si="2"/>
        <v>11782.022206658414</v>
      </c>
      <c r="G56" s="5">
        <f t="shared" si="3"/>
        <v>32724.477691720047</v>
      </c>
      <c r="H56" s="22">
        <f t="shared" si="16"/>
        <v>21535.838798171528</v>
      </c>
      <c r="I56" s="5">
        <f t="shared" si="17"/>
        <v>52666.664418826884</v>
      </c>
      <c r="J56" s="26">
        <f t="shared" si="19"/>
        <v>0.16790808101752469</v>
      </c>
      <c r="L56" s="22">
        <f t="shared" si="18"/>
        <v>73598.337408192951</v>
      </c>
      <c r="M56" s="5">
        <f>scrimecost*Meta!O53</f>
        <v>13.528</v>
      </c>
      <c r="N56" s="5">
        <f>L56-Grade10!L56</f>
        <v>1017.270940308852</v>
      </c>
      <c r="O56" s="5">
        <f>Grade10!M56-M56</f>
        <v>0.30399999999999849</v>
      </c>
      <c r="P56" s="22">
        <f t="shared" si="22"/>
        <v>189.11755600289786</v>
      </c>
      <c r="Q56" s="22"/>
      <c r="R56" s="22"/>
      <c r="S56" s="22">
        <f t="shared" si="20"/>
        <v>730.8026923799963</v>
      </c>
      <c r="T56" s="22">
        <f t="shared" si="21"/>
        <v>1269.2949440706725</v>
      </c>
    </row>
    <row r="57" spans="1:20" x14ac:dyDescent="0.2">
      <c r="A57" s="5">
        <v>66</v>
      </c>
      <c r="C57" s="5"/>
      <c r="H57" s="21"/>
      <c r="I57" s="5"/>
      <c r="M57" s="5">
        <f>scrimecost*Meta!O54</f>
        <v>13.528</v>
      </c>
      <c r="N57" s="5">
        <f>L57-Grade10!L57</f>
        <v>0</v>
      </c>
      <c r="O57" s="5">
        <f>Grade10!M57-M57</f>
        <v>0.30399999999999849</v>
      </c>
      <c r="Q57" s="22"/>
      <c r="R57" s="22"/>
      <c r="S57" s="22">
        <f t="shared" si="20"/>
        <v>0.28879999999999856</v>
      </c>
      <c r="T57" s="22">
        <f t="shared" si="21"/>
        <v>0.50728580599100059</v>
      </c>
    </row>
    <row r="58" spans="1:20" x14ac:dyDescent="0.2">
      <c r="A58" s="5">
        <v>67</v>
      </c>
      <c r="C58" s="5"/>
      <c r="H58" s="21"/>
      <c r="I58" s="5"/>
      <c r="M58" s="5">
        <f>scrimecost*Meta!O55</f>
        <v>13.528</v>
      </c>
      <c r="N58" s="5">
        <f>L58-Grade10!L58</f>
        <v>0</v>
      </c>
      <c r="O58" s="5">
        <f>Grade10!M58-M58</f>
        <v>0.30399999999999849</v>
      </c>
      <c r="Q58" s="22"/>
      <c r="R58" s="22"/>
      <c r="S58" s="22">
        <f t="shared" si="20"/>
        <v>0.28879999999999856</v>
      </c>
      <c r="T58" s="22">
        <f t="shared" si="21"/>
        <v>0.51303361421878668</v>
      </c>
    </row>
    <row r="59" spans="1:20" x14ac:dyDescent="0.2">
      <c r="A59" s="5">
        <v>68</v>
      </c>
      <c r="H59" s="21"/>
      <c r="I59" s="5"/>
      <c r="M59" s="5">
        <f>scrimecost*Meta!O56</f>
        <v>13.528</v>
      </c>
      <c r="N59" s="5">
        <f>L59-Grade10!L59</f>
        <v>0</v>
      </c>
      <c r="O59" s="5">
        <f>Grade10!M59-M59</f>
        <v>0.30399999999999849</v>
      </c>
      <c r="Q59" s="22"/>
      <c r="R59" s="22"/>
      <c r="S59" s="22">
        <f t="shared" si="20"/>
        <v>0.28879999999999856</v>
      </c>
      <c r="T59" s="22">
        <f t="shared" si="21"/>
        <v>0.51884654806024677</v>
      </c>
    </row>
    <row r="60" spans="1:20" x14ac:dyDescent="0.2">
      <c r="A60" s="5">
        <v>69</v>
      </c>
      <c r="H60" s="21"/>
      <c r="I60" s="5"/>
      <c r="M60" s="5">
        <f>scrimecost*Meta!O57</f>
        <v>13.528</v>
      </c>
      <c r="N60" s="5">
        <f>L60-Grade10!L60</f>
        <v>0</v>
      </c>
      <c r="O60" s="5">
        <f>Grade10!M60-M60</f>
        <v>0.30399999999999849</v>
      </c>
      <c r="Q60" s="22"/>
      <c r="R60" s="22"/>
      <c r="S60" s="22">
        <f t="shared" si="20"/>
        <v>0.28879999999999856</v>
      </c>
      <c r="T60" s="22">
        <f t="shared" si="21"/>
        <v>0.52472534542196902</v>
      </c>
    </row>
    <row r="61" spans="1:20" x14ac:dyDescent="0.2">
      <c r="A61" s="5">
        <v>70</v>
      </c>
      <c r="H61" s="21"/>
      <c r="I61" s="5"/>
      <c r="M61" s="5">
        <f>scrimecost*Meta!O58</f>
        <v>13.528</v>
      </c>
      <c r="N61" s="5">
        <f>L61-Grade10!L61</f>
        <v>0</v>
      </c>
      <c r="O61" s="5">
        <f>Grade10!M61-M61</f>
        <v>0.30399999999999849</v>
      </c>
      <c r="Q61" s="22"/>
      <c r="R61" s="22"/>
      <c r="S61" s="22">
        <f t="shared" si="20"/>
        <v>0.28879999999999856</v>
      </c>
      <c r="T61" s="22">
        <f t="shared" si="21"/>
        <v>0.53067075257140106</v>
      </c>
    </row>
    <row r="62" spans="1:20" x14ac:dyDescent="0.2">
      <c r="A62" s="5">
        <v>71</v>
      </c>
      <c r="H62" s="21"/>
      <c r="I62" s="5"/>
      <c r="M62" s="5">
        <f>scrimecost*Meta!O59</f>
        <v>13.528</v>
      </c>
      <c r="N62" s="5">
        <f>L62-Grade10!L62</f>
        <v>0</v>
      </c>
      <c r="O62" s="5">
        <f>Grade10!M62-M62</f>
        <v>0.30399999999999849</v>
      </c>
      <c r="Q62" s="22"/>
      <c r="R62" s="22"/>
      <c r="S62" s="22">
        <f t="shared" si="20"/>
        <v>0.28879999999999856</v>
      </c>
      <c r="T62" s="22">
        <f t="shared" si="21"/>
        <v>0.53668352423158294</v>
      </c>
    </row>
    <row r="63" spans="1:20" x14ac:dyDescent="0.2">
      <c r="A63" s="5">
        <v>72</v>
      </c>
      <c r="H63" s="21"/>
      <c r="M63" s="5">
        <f>scrimecost*Meta!O60</f>
        <v>13.528</v>
      </c>
      <c r="N63" s="5">
        <f>L63-Grade10!L63</f>
        <v>0</v>
      </c>
      <c r="O63" s="5">
        <f>Grade10!M63-M63</f>
        <v>0.30399999999999849</v>
      </c>
      <c r="Q63" s="22"/>
      <c r="R63" s="22"/>
      <c r="S63" s="22">
        <f t="shared" si="20"/>
        <v>0.28879999999999856</v>
      </c>
      <c r="T63" s="22">
        <f t="shared" si="21"/>
        <v>0.54276442367695443</v>
      </c>
    </row>
    <row r="64" spans="1:20" x14ac:dyDescent="0.2">
      <c r="A64" s="5">
        <v>73</v>
      </c>
      <c r="H64" s="21"/>
      <c r="M64" s="5">
        <f>scrimecost*Meta!O61</f>
        <v>13.528</v>
      </c>
      <c r="N64" s="5">
        <f>L64-Grade10!L64</f>
        <v>0</v>
      </c>
      <c r="O64" s="5">
        <f>Grade10!M64-M64</f>
        <v>0.30399999999999849</v>
      </c>
      <c r="Q64" s="22"/>
      <c r="R64" s="22"/>
      <c r="S64" s="22">
        <f t="shared" si="20"/>
        <v>0.28879999999999856</v>
      </c>
      <c r="T64" s="22">
        <f t="shared" si="21"/>
        <v>0.54891422283024516</v>
      </c>
    </row>
    <row r="65" spans="1:20" x14ac:dyDescent="0.2">
      <c r="A65" s="5">
        <v>74</v>
      </c>
      <c r="H65" s="21"/>
      <c r="M65" s="5">
        <f>scrimecost*Meta!O62</f>
        <v>13.528</v>
      </c>
      <c r="N65" s="5">
        <f>L65-Grade10!L65</f>
        <v>0</v>
      </c>
      <c r="O65" s="5">
        <f>Grade10!M65-M65</f>
        <v>0.30399999999999849</v>
      </c>
      <c r="Q65" s="22"/>
      <c r="R65" s="22"/>
      <c r="S65" s="22">
        <f t="shared" si="20"/>
        <v>0.28879999999999856</v>
      </c>
      <c r="T65" s="22">
        <f t="shared" si="21"/>
        <v>0.55513370236046566</v>
      </c>
    </row>
    <row r="66" spans="1:20" x14ac:dyDescent="0.2">
      <c r="A66" s="5">
        <v>75</v>
      </c>
      <c r="H66" s="21"/>
      <c r="M66" s="5">
        <f>scrimecost*Meta!O63</f>
        <v>13.528</v>
      </c>
      <c r="N66" s="5">
        <f>L66-Grade10!L66</f>
        <v>0</v>
      </c>
      <c r="O66" s="5">
        <f>Grade10!M66-M66</f>
        <v>0.30399999999999849</v>
      </c>
      <c r="Q66" s="22"/>
      <c r="R66" s="22"/>
      <c r="S66" s="22">
        <f t="shared" si="20"/>
        <v>0.28879999999999856</v>
      </c>
      <c r="T66" s="22">
        <f t="shared" si="21"/>
        <v>0.56142365178200604</v>
      </c>
    </row>
    <row r="67" spans="1:20" x14ac:dyDescent="0.2">
      <c r="A67" s="5">
        <v>76</v>
      </c>
      <c r="H67" s="21"/>
      <c r="M67" s="5">
        <f>scrimecost*Meta!O64</f>
        <v>13.528</v>
      </c>
      <c r="N67" s="5">
        <f>L67-Grade10!L67</f>
        <v>0</v>
      </c>
      <c r="O67" s="5">
        <f>Grade10!M67-M67</f>
        <v>0.30399999999999849</v>
      </c>
      <c r="Q67" s="22"/>
      <c r="R67" s="22"/>
      <c r="S67" s="22">
        <f t="shared" si="20"/>
        <v>0.28879999999999856</v>
      </c>
      <c r="T67" s="22">
        <f t="shared" si="21"/>
        <v>0.56778486955485963</v>
      </c>
    </row>
    <row r="68" spans="1:20" x14ac:dyDescent="0.2">
      <c r="A68" s="5">
        <v>77</v>
      </c>
      <c r="H68" s="21"/>
      <c r="M68" s="5">
        <f>scrimecost*Meta!O65</f>
        <v>13.528</v>
      </c>
      <c r="N68" s="5">
        <f>L68-Grade10!L68</f>
        <v>0</v>
      </c>
      <c r="O68" s="5">
        <f>Grade10!M68-M68</f>
        <v>0.30399999999999849</v>
      </c>
      <c r="Q68" s="22"/>
      <c r="R68" s="22"/>
      <c r="S68" s="22">
        <f t="shared" si="20"/>
        <v>0.28879999999999856</v>
      </c>
      <c r="T68" s="22">
        <f t="shared" si="21"/>
        <v>0.57421816318598029</v>
      </c>
    </row>
    <row r="69" spans="1:20" x14ac:dyDescent="0.2">
      <c r="A69" s="5">
        <v>78</v>
      </c>
      <c r="H69" s="21"/>
      <c r="M69" s="5">
        <f>scrimecost*Meta!O66</f>
        <v>13.528</v>
      </c>
      <c r="N69" s="5">
        <f>L69-Grade10!L69</f>
        <v>0</v>
      </c>
      <c r="O69" s="5">
        <f>Grade10!M69-M69</f>
        <v>0.30399999999999849</v>
      </c>
      <c r="Q69" s="22"/>
      <c r="R69" s="22"/>
      <c r="S69" s="22">
        <f t="shared" si="20"/>
        <v>0.28879999999999856</v>
      </c>
      <c r="T69" s="22">
        <f t="shared" si="21"/>
        <v>0.58072434933178996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9.9740771197787126E-11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P9" sqref="P9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Meta!A6+6</f>
        <v>18</v>
      </c>
      <c r="C2" s="7">
        <f>Meta!B6</f>
        <v>32249</v>
      </c>
      <c r="D2" s="7">
        <f>Meta!C6</f>
        <v>14835</v>
      </c>
      <c r="E2" s="1">
        <f>Meta!D6</f>
        <v>5.8999999999999997E-2</v>
      </c>
      <c r="F2" s="1">
        <f>Meta!F6</f>
        <v>0.58099999999999996</v>
      </c>
      <c r="G2" s="1">
        <f>Meta!I6</f>
        <v>1.8929079672445346</v>
      </c>
      <c r="H2" s="1">
        <f>Meta!E6</f>
        <v>0.95</v>
      </c>
      <c r="I2" s="13"/>
      <c r="J2" s="1">
        <f>Meta!X5</f>
        <v>0.56999999999999995</v>
      </c>
      <c r="K2" s="1">
        <f>Meta!D5</f>
        <v>7.3999999999999996E-2</v>
      </c>
      <c r="L2" s="29"/>
      <c r="N2" s="22">
        <f>Meta!T6</f>
        <v>32249</v>
      </c>
      <c r="O2" s="22">
        <f>Meta!U6</f>
        <v>14835</v>
      </c>
      <c r="P2" s="1">
        <f>Meta!V6</f>
        <v>5.8999999999999997E-2</v>
      </c>
      <c r="Q2" s="1">
        <f>Meta!X6</f>
        <v>0.58099999999999996</v>
      </c>
      <c r="R2" s="22">
        <f>Meta!W6</f>
        <v>349</v>
      </c>
      <c r="T2" s="12">
        <f>IRR(S5:S69)+1</f>
        <v>0.99114647878499296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B8" s="1">
        <v>1</v>
      </c>
      <c r="C8" s="5">
        <f>0.1*Grade11!C8</f>
        <v>1431.0460632654394</v>
      </c>
      <c r="D8" s="5">
        <f t="shared" ref="D8:D36" si="0">IF(A8&lt;startage,1,0)*(C8*(1-initialunempprob))+IF(A8=startage,1,0)*(C8*(1-unempprob))+IF(A8&gt;startage,1,0)*(C8*(1-unempprob)+unempprob*300*52)</f>
        <v>1325.148654583797</v>
      </c>
      <c r="E8" s="5">
        <f t="shared" ref="E8:E56" si="1">IF(D8-9500&gt;0,1,0)*(D8-9500)</f>
        <v>0</v>
      </c>
      <c r="F8" s="5">
        <f t="shared" ref="F8:F56" si="2">IF(E8&lt;=8500,1,0)*(0.1*E8+0.1*E8+0.0765*D8)+IF(AND(E8&gt;8500,E8&lt;=34500),1,0)*(850+0.15*(E8-8500)+0.1*E8+0.0765*D8)+IF(AND(E8&gt;34500,E8&lt;=83600),1,0)*(4750+0.25*(E8-34500)+0.1*E8+0.0765*D8)+IF(AND(E8&gt;83600,E8&lt;=174400,D8&lt;=106800),1,0)*(17025+0.28*(E8-83600)+0.1*E8+0.0765*D8)+IF(AND(E8&gt;83600,E8&lt;=174400,D8&gt;106800),1,0)*(17025+0.28*(E8-83600)+0.1*E8+8170.2+0.0145*(D8-106800))+IF(AND(E8&gt;174400,E8&lt;=379150),1,0)*(42449+0.33*(E8-174400)+0.1*E8+8170.2+0.0145*(D8-106800))+IF(E8&gt;379150,1,0)*(110016.5+0.35*(E8-379150)+0.1*E8+8170.2+0.0145*(D8-106800))</f>
        <v>101.37387207566047</v>
      </c>
      <c r="G8" s="5">
        <f t="shared" ref="G8:G56" si="3">D8-F8</f>
        <v>1223.7747825081365</v>
      </c>
      <c r="H8" s="22">
        <f>0.1*Grade11!H8</f>
        <v>658.28847681258412</v>
      </c>
      <c r="I8" s="5">
        <f t="shared" ref="I8:I36" si="4">G8+IF(A8&lt;startage,1,0)*(H8*(1-initialunempprob))+IF(A8&gt;=startage,1,0)*(H8*(1-unempprob))</f>
        <v>1833.3499120365896</v>
      </c>
      <c r="J8" s="26">
        <f t="shared" ref="J8:J39" si="5">(F8-(IF(A8&gt;startage,1,0)*(unempprob*300*52)))/(IF(A8&lt;startage,1,0)*((C8+H8)*(1-initialunempprob))+IF(A8&gt;=startage,1,0)*((C8+H8)*(1-unempprob)))</f>
        <v>5.2397077509529863E-2</v>
      </c>
      <c r="L8" s="22">
        <f>0.1*Grade11!L8</f>
        <v>2249.6888968397861</v>
      </c>
      <c r="M8" s="5">
        <f>scrimecost*Meta!O5</f>
        <v>1009.308</v>
      </c>
      <c r="N8" s="5">
        <f>L8-Grade11!L8</f>
        <v>-20247.200071558073</v>
      </c>
      <c r="O8" s="5"/>
      <c r="P8" s="22"/>
      <c r="Q8" s="22">
        <f>0.05*feel*Grade11!G8</f>
        <v>160.82430722279284</v>
      </c>
      <c r="R8" s="22">
        <f>hstuition</f>
        <v>11298</v>
      </c>
      <c r="S8" s="22">
        <f t="shared" ref="S8:S39" si="6">IF(A8&lt;startage,1,0)*(N8-Q8-R8)+IF(A8&gt;=startage,1,0)*completionprob*(N8*spart+O8+P8)</f>
        <v>-31706.024378780865</v>
      </c>
      <c r="T8" s="22">
        <f t="shared" ref="T8:T39" si="7">S8/sreturn^(A8-startage+1)</f>
        <v>-31706.024378780865</v>
      </c>
    </row>
    <row r="9" spans="1:20" x14ac:dyDescent="0.2">
      <c r="A9" s="5">
        <v>18</v>
      </c>
      <c r="B9" s="1">
        <f t="shared" ref="B9:B36" si="8">(1+experiencepremium)^(A9-startage)</f>
        <v>1</v>
      </c>
      <c r="C9" s="5">
        <f t="shared" ref="C9:C36" si="9">pretaxincome*B9/expnorm</f>
        <v>17036.750099871035</v>
      </c>
      <c r="D9" s="5">
        <f t="shared" si="0"/>
        <v>16031.581843978645</v>
      </c>
      <c r="E9" s="5">
        <f t="shared" si="1"/>
        <v>6531.5818439786453</v>
      </c>
      <c r="F9" s="5">
        <f t="shared" si="2"/>
        <v>2532.7323798600955</v>
      </c>
      <c r="G9" s="5">
        <f t="shared" si="3"/>
        <v>13498.84946411855</v>
      </c>
      <c r="H9" s="22">
        <f t="shared" ref="H9:H36" si="10">benefits*B9/expnorm</f>
        <v>7837.1480582835684</v>
      </c>
      <c r="I9" s="5">
        <f t="shared" si="4"/>
        <v>20873.605786963388</v>
      </c>
      <c r="J9" s="26">
        <f t="shared" si="5"/>
        <v>0.10820711731192668</v>
      </c>
      <c r="L9" s="22">
        <f t="shared" ref="L9:L36" si="11">(sincome+sbenefits)*(1-sunemp)*B9/expnorm</f>
        <v>23406.33816682348</v>
      </c>
      <c r="M9" s="5">
        <f>scrimecost*Meta!O6</f>
        <v>1180.6669999999999</v>
      </c>
      <c r="N9" s="5">
        <f>L9-Grade11!L9</f>
        <v>347.02697421567427</v>
      </c>
      <c r="O9" s="5">
        <f>Grade11!M9-M9</f>
        <v>23.68100000000004</v>
      </c>
      <c r="P9" s="22">
        <f t="shared" ref="P9:P56" si="12">(spart-initialspart)*(L9*J9+nptrans)</f>
        <v>99.954056178461144</v>
      </c>
      <c r="Q9" s="22"/>
      <c r="R9" s="22"/>
      <c r="S9" s="22">
        <f t="shared" si="6"/>
        <v>308.99484178787952</v>
      </c>
      <c r="T9" s="22">
        <f t="shared" si="7"/>
        <v>311.75497103784699</v>
      </c>
    </row>
    <row r="10" spans="1:20" x14ac:dyDescent="0.2">
      <c r="A10" s="5">
        <v>19</v>
      </c>
      <c r="B10" s="1">
        <f t="shared" si="8"/>
        <v>1.0249999999999999</v>
      </c>
      <c r="C10" s="5">
        <f t="shared" si="9"/>
        <v>17462.668852367809</v>
      </c>
      <c r="D10" s="5">
        <f t="shared" si="0"/>
        <v>17352.771390078113</v>
      </c>
      <c r="E10" s="5">
        <f t="shared" si="1"/>
        <v>7852.7713900781127</v>
      </c>
      <c r="F10" s="5">
        <f t="shared" si="2"/>
        <v>2898.0412893565981</v>
      </c>
      <c r="G10" s="5">
        <f t="shared" si="3"/>
        <v>14454.730100721514</v>
      </c>
      <c r="H10" s="22">
        <f t="shared" si="10"/>
        <v>8033.0767597406566</v>
      </c>
      <c r="I10" s="5">
        <f t="shared" si="4"/>
        <v>22013.855331637471</v>
      </c>
      <c r="J10" s="26">
        <f t="shared" si="5"/>
        <v>8.2430926281857608E-2</v>
      </c>
      <c r="L10" s="22">
        <f t="shared" si="11"/>
        <v>23991.496620994065</v>
      </c>
      <c r="M10" s="5">
        <f>scrimecost*Meta!O7</f>
        <v>1270.7090000000001</v>
      </c>
      <c r="N10" s="5">
        <f>L10-Grade11!L10</f>
        <v>355.70264857106304</v>
      </c>
      <c r="O10" s="5">
        <f>Grade11!M10-M10</f>
        <v>25.486999999999853</v>
      </c>
      <c r="P10" s="22">
        <f t="shared" si="12"/>
        <v>93.848054182922652</v>
      </c>
      <c r="Q10" s="22"/>
      <c r="R10" s="22"/>
      <c r="S10" s="22">
        <f t="shared" si="6"/>
        <v>309.69837835257459</v>
      </c>
      <c r="T10" s="22">
        <f t="shared" si="7"/>
        <v>315.25591696666646</v>
      </c>
    </row>
    <row r="11" spans="1:20" x14ac:dyDescent="0.2">
      <c r="A11" s="5">
        <v>20</v>
      </c>
      <c r="B11" s="1">
        <f t="shared" si="8"/>
        <v>1.0506249999999999</v>
      </c>
      <c r="C11" s="5">
        <f t="shared" si="9"/>
        <v>17899.235573677004</v>
      </c>
      <c r="D11" s="5">
        <f t="shared" si="0"/>
        <v>17763.580674830064</v>
      </c>
      <c r="E11" s="5">
        <f t="shared" si="1"/>
        <v>8263.5806748300638</v>
      </c>
      <c r="F11" s="5">
        <f t="shared" si="2"/>
        <v>3011.6300565905126</v>
      </c>
      <c r="G11" s="5">
        <f t="shared" si="3"/>
        <v>14751.950618239551</v>
      </c>
      <c r="H11" s="22">
        <f t="shared" si="10"/>
        <v>8233.903678734172</v>
      </c>
      <c r="I11" s="5">
        <f t="shared" si="4"/>
        <v>22500.053979928409</v>
      </c>
      <c r="J11" s="26">
        <f t="shared" si="5"/>
        <v>8.5039482016675605E-2</v>
      </c>
      <c r="L11" s="22">
        <f t="shared" si="11"/>
        <v>24591.284036518919</v>
      </c>
      <c r="M11" s="5">
        <f>scrimecost*Meta!O8</f>
        <v>1214.8689999999999</v>
      </c>
      <c r="N11" s="5">
        <f>L11-Grade11!L11</f>
        <v>364.59521478534589</v>
      </c>
      <c r="O11" s="5">
        <f>Grade11!M11-M11</f>
        <v>24.366999999999962</v>
      </c>
      <c r="P11" s="22">
        <f t="shared" si="12"/>
        <v>95.097530622495725</v>
      </c>
      <c r="Q11" s="22"/>
      <c r="R11" s="22"/>
      <c r="S11" s="22">
        <f t="shared" si="6"/>
        <v>314.72963289214255</v>
      </c>
      <c r="T11" s="22">
        <f t="shared" si="7"/>
        <v>323.23926306171842</v>
      </c>
    </row>
    <row r="12" spans="1:20" x14ac:dyDescent="0.2">
      <c r="A12" s="5">
        <v>21</v>
      </c>
      <c r="B12" s="1">
        <f t="shared" si="8"/>
        <v>1.0768906249999999</v>
      </c>
      <c r="C12" s="5">
        <f t="shared" si="9"/>
        <v>18346.716463018929</v>
      </c>
      <c r="D12" s="5">
        <f t="shared" si="0"/>
        <v>18184.660191700816</v>
      </c>
      <c r="E12" s="5">
        <f t="shared" si="1"/>
        <v>8684.6601917008156</v>
      </c>
      <c r="F12" s="5">
        <f t="shared" si="2"/>
        <v>3137.2915525903163</v>
      </c>
      <c r="G12" s="5">
        <f t="shared" si="3"/>
        <v>15047.3686391105</v>
      </c>
      <c r="H12" s="22">
        <f t="shared" si="10"/>
        <v>8439.7512707025271</v>
      </c>
      <c r="I12" s="5">
        <f t="shared" si="4"/>
        <v>22989.174584841578</v>
      </c>
      <c r="J12" s="26">
        <f t="shared" si="5"/>
        <v>8.7950715534232241E-2</v>
      </c>
      <c r="L12" s="22">
        <f t="shared" si="11"/>
        <v>25206.066137431892</v>
      </c>
      <c r="M12" s="5">
        <f>scrimecost*Meta!O9</f>
        <v>1087.8330000000001</v>
      </c>
      <c r="N12" s="5">
        <f>L12-Grade11!L12</f>
        <v>373.71009515498008</v>
      </c>
      <c r="O12" s="5">
        <f>Grade11!M12-M12</f>
        <v>21.81899999999996</v>
      </c>
      <c r="P12" s="22">
        <f t="shared" si="12"/>
        <v>96.479807078493565</v>
      </c>
      <c r="Q12" s="22"/>
      <c r="R12" s="22"/>
      <c r="S12" s="22">
        <f t="shared" si="6"/>
        <v>318.65315374536004</v>
      </c>
      <c r="T12" s="22">
        <f t="shared" si="7"/>
        <v>330.19223162997304</v>
      </c>
    </row>
    <row r="13" spans="1:20" x14ac:dyDescent="0.2">
      <c r="A13" s="5">
        <v>22</v>
      </c>
      <c r="B13" s="1">
        <f t="shared" si="8"/>
        <v>1.1038128906249998</v>
      </c>
      <c r="C13" s="5">
        <f t="shared" si="9"/>
        <v>18805.3843745944</v>
      </c>
      <c r="D13" s="5">
        <f t="shared" si="0"/>
        <v>18616.266696493334</v>
      </c>
      <c r="E13" s="5">
        <f t="shared" si="1"/>
        <v>9116.2666964933342</v>
      </c>
      <c r="F13" s="5">
        <f t="shared" si="2"/>
        <v>3278.2110764050735</v>
      </c>
      <c r="G13" s="5">
        <f t="shared" si="3"/>
        <v>15338.05562008826</v>
      </c>
      <c r="H13" s="22">
        <f t="shared" si="10"/>
        <v>8650.7450524700889</v>
      </c>
      <c r="I13" s="5">
        <f t="shared" si="4"/>
        <v>23478.406714462613</v>
      </c>
      <c r="J13" s="26">
        <f t="shared" si="5"/>
        <v>9.1259916427801901E-2</v>
      </c>
      <c r="L13" s="22">
        <f t="shared" si="11"/>
        <v>25836.217790867686</v>
      </c>
      <c r="M13" s="5">
        <f>scrimecost*Meta!O10</f>
        <v>1001.979</v>
      </c>
      <c r="N13" s="5">
        <f>L13-Grade11!L13</f>
        <v>383.05284753385786</v>
      </c>
      <c r="O13" s="5">
        <f>Grade11!M13-M13</f>
        <v>20.09699999999998</v>
      </c>
      <c r="P13" s="22">
        <f t="shared" si="12"/>
        <v>98.029921840455899</v>
      </c>
      <c r="Q13" s="22"/>
      <c r="R13" s="22"/>
      <c r="S13" s="22">
        <f t="shared" si="6"/>
        <v>323.64659494474591</v>
      </c>
      <c r="T13" s="22">
        <f t="shared" si="7"/>
        <v>338.36219232501963</v>
      </c>
    </row>
    <row r="14" spans="1:20" x14ac:dyDescent="0.2">
      <c r="A14" s="5">
        <v>23</v>
      </c>
      <c r="B14" s="1">
        <f t="shared" si="8"/>
        <v>1.1314082128906247</v>
      </c>
      <c r="C14" s="5">
        <f t="shared" si="9"/>
        <v>19275.518983959257</v>
      </c>
      <c r="D14" s="5">
        <f t="shared" si="0"/>
        <v>19058.663363905664</v>
      </c>
      <c r="E14" s="5">
        <f t="shared" si="1"/>
        <v>9558.6633639056636</v>
      </c>
      <c r="F14" s="5">
        <f t="shared" si="2"/>
        <v>3422.6535883151992</v>
      </c>
      <c r="G14" s="5">
        <f t="shared" si="3"/>
        <v>15636.009775590464</v>
      </c>
      <c r="H14" s="22">
        <f t="shared" si="10"/>
        <v>8867.013678781841</v>
      </c>
      <c r="I14" s="5">
        <f t="shared" si="4"/>
        <v>23979.86964732418</v>
      </c>
      <c r="J14" s="26">
        <f t="shared" si="5"/>
        <v>9.4488405104455206E-2</v>
      </c>
      <c r="L14" s="22">
        <f t="shared" si="11"/>
        <v>26482.123235639374</v>
      </c>
      <c r="M14" s="5">
        <f>scrimecost*Meta!O11</f>
        <v>937.76299999999992</v>
      </c>
      <c r="N14" s="5">
        <f>L14-Grade11!L14</f>
        <v>392.62916872220012</v>
      </c>
      <c r="O14" s="5">
        <f>Grade11!M14-M14</f>
        <v>18.808999999999969</v>
      </c>
      <c r="P14" s="22">
        <f t="shared" si="12"/>
        <v>99.618789471467281</v>
      </c>
      <c r="Q14" s="22"/>
      <c r="R14" s="22"/>
      <c r="S14" s="22">
        <f t="shared" si="6"/>
        <v>329.2180696741122</v>
      </c>
      <c r="T14" s="22">
        <f t="shared" si="7"/>
        <v>347.26147831814734</v>
      </c>
    </row>
    <row r="15" spans="1:20" x14ac:dyDescent="0.2">
      <c r="A15" s="5">
        <v>24</v>
      </c>
      <c r="B15" s="1">
        <f t="shared" si="8"/>
        <v>1.1596934182128902</v>
      </c>
      <c r="C15" s="5">
        <f t="shared" si="9"/>
        <v>19757.40695855824</v>
      </c>
      <c r="D15" s="5">
        <f t="shared" si="0"/>
        <v>19512.119948003306</v>
      </c>
      <c r="E15" s="5">
        <f t="shared" si="1"/>
        <v>10012.119948003306</v>
      </c>
      <c r="F15" s="5">
        <f t="shared" si="2"/>
        <v>3570.7071630230794</v>
      </c>
      <c r="G15" s="5">
        <f t="shared" si="3"/>
        <v>15941.412784980228</v>
      </c>
      <c r="H15" s="22">
        <f t="shared" si="10"/>
        <v>9088.6890207513861</v>
      </c>
      <c r="I15" s="5">
        <f t="shared" si="4"/>
        <v>24493.869153507283</v>
      </c>
      <c r="J15" s="26">
        <f t="shared" si="5"/>
        <v>9.763815015484871E-2</v>
      </c>
      <c r="L15" s="22">
        <f t="shared" si="11"/>
        <v>27144.176316530356</v>
      </c>
      <c r="M15" s="5">
        <f>scrimecost*Meta!O12</f>
        <v>897.97699999999998</v>
      </c>
      <c r="N15" s="5">
        <f>L15-Grade11!L15</f>
        <v>402.44489794025139</v>
      </c>
      <c r="O15" s="5">
        <f>Grade11!M15-M15</f>
        <v>18.010999999999967</v>
      </c>
      <c r="P15" s="22">
        <f t="shared" si="12"/>
        <v>101.24737879325396</v>
      </c>
      <c r="Q15" s="22"/>
      <c r="R15" s="22"/>
      <c r="S15" s="22">
        <f t="shared" si="6"/>
        <v>335.42492127171295</v>
      </c>
      <c r="T15" s="22">
        <f t="shared" si="7"/>
        <v>356.96894004590382</v>
      </c>
    </row>
    <row r="16" spans="1:20" x14ac:dyDescent="0.2">
      <c r="A16" s="5">
        <v>25</v>
      </c>
      <c r="B16" s="1">
        <f t="shared" si="8"/>
        <v>1.1886857536682125</v>
      </c>
      <c r="C16" s="5">
        <f t="shared" si="9"/>
        <v>20251.342132522193</v>
      </c>
      <c r="D16" s="5">
        <f t="shared" si="0"/>
        <v>19976.912946703385</v>
      </c>
      <c r="E16" s="5">
        <f t="shared" si="1"/>
        <v>10476.912946703385</v>
      </c>
      <c r="F16" s="5">
        <f t="shared" si="2"/>
        <v>3722.4620770986553</v>
      </c>
      <c r="G16" s="5">
        <f t="shared" si="3"/>
        <v>16254.450869604731</v>
      </c>
      <c r="H16" s="22">
        <f t="shared" si="10"/>
        <v>9315.9062462701713</v>
      </c>
      <c r="I16" s="5">
        <f t="shared" si="4"/>
        <v>25020.718647344962</v>
      </c>
      <c r="J16" s="26">
        <f t="shared" si="5"/>
        <v>0.10071107215523259</v>
      </c>
      <c r="L16" s="22">
        <f t="shared" si="11"/>
        <v>27822.780724443615</v>
      </c>
      <c r="M16" s="5">
        <f>scrimecost*Meta!O13</f>
        <v>760.12199999999996</v>
      </c>
      <c r="N16" s="5">
        <f>L16-Grade11!L16</f>
        <v>412.50602038875877</v>
      </c>
      <c r="O16" s="5">
        <f>Grade11!M16-M16</f>
        <v>15.245999999999981</v>
      </c>
      <c r="P16" s="22">
        <f t="shared" si="12"/>
        <v>102.9166828480853</v>
      </c>
      <c r="Q16" s="22"/>
      <c r="R16" s="22"/>
      <c r="S16" s="22">
        <f t="shared" si="6"/>
        <v>339.93724665925635</v>
      </c>
      <c r="T16" s="22">
        <f t="shared" si="7"/>
        <v>365.002646409063</v>
      </c>
    </row>
    <row r="17" spans="1:20" x14ac:dyDescent="0.2">
      <c r="A17" s="5">
        <v>26</v>
      </c>
      <c r="B17" s="1">
        <f t="shared" si="8"/>
        <v>1.2184028975099177</v>
      </c>
      <c r="C17" s="5">
        <f t="shared" si="9"/>
        <v>20757.625685835246</v>
      </c>
      <c r="D17" s="5">
        <f t="shared" si="0"/>
        <v>20453.325770370968</v>
      </c>
      <c r="E17" s="5">
        <f t="shared" si="1"/>
        <v>10953.325770370968</v>
      </c>
      <c r="F17" s="5">
        <f t="shared" si="2"/>
        <v>3878.010864026121</v>
      </c>
      <c r="G17" s="5">
        <f t="shared" si="3"/>
        <v>16575.314906344847</v>
      </c>
      <c r="H17" s="22">
        <f t="shared" si="10"/>
        <v>9548.8039024269256</v>
      </c>
      <c r="I17" s="5">
        <f t="shared" si="4"/>
        <v>25560.739378528582</v>
      </c>
      <c r="J17" s="26">
        <f t="shared" si="5"/>
        <v>0.10370904483853392</v>
      </c>
      <c r="L17" s="22">
        <f t="shared" si="11"/>
        <v>28518.350242554705</v>
      </c>
      <c r="M17" s="5">
        <f>scrimecost*Meta!O14</f>
        <v>760.12199999999996</v>
      </c>
      <c r="N17" s="5">
        <f>L17-Grade11!L17</f>
        <v>422.81867089848674</v>
      </c>
      <c r="O17" s="5">
        <f>Grade11!M17-M17</f>
        <v>15.245999999999981</v>
      </c>
      <c r="P17" s="22">
        <f t="shared" si="12"/>
        <v>104.62771950428743</v>
      </c>
      <c r="Q17" s="22"/>
      <c r="R17" s="22"/>
      <c r="S17" s="22">
        <f t="shared" si="6"/>
        <v>347.25479893149276</v>
      </c>
      <c r="T17" s="22">
        <f t="shared" si="7"/>
        <v>376.19037055565957</v>
      </c>
    </row>
    <row r="18" spans="1:20" x14ac:dyDescent="0.2">
      <c r="A18" s="5">
        <v>27</v>
      </c>
      <c r="B18" s="1">
        <f t="shared" si="8"/>
        <v>1.2488629699476654</v>
      </c>
      <c r="C18" s="5">
        <f t="shared" si="9"/>
        <v>21276.566327981123</v>
      </c>
      <c r="D18" s="5">
        <f t="shared" si="0"/>
        <v>20941.648914630241</v>
      </c>
      <c r="E18" s="5">
        <f t="shared" si="1"/>
        <v>11441.648914630241</v>
      </c>
      <c r="F18" s="5">
        <f t="shared" si="2"/>
        <v>4037.4483706267738</v>
      </c>
      <c r="G18" s="5">
        <f t="shared" si="3"/>
        <v>16904.200544003466</v>
      </c>
      <c r="H18" s="22">
        <f t="shared" si="10"/>
        <v>9787.5239999875957</v>
      </c>
      <c r="I18" s="5">
        <f t="shared" si="4"/>
        <v>26114.260627991796</v>
      </c>
      <c r="J18" s="26">
        <f t="shared" si="5"/>
        <v>0.10663389623687675</v>
      </c>
      <c r="L18" s="22">
        <f t="shared" si="11"/>
        <v>29231.30899861857</v>
      </c>
      <c r="M18" s="5">
        <f>scrimecost*Meta!O15</f>
        <v>760.12199999999996</v>
      </c>
      <c r="N18" s="5">
        <f>L18-Grade11!L18</f>
        <v>433.38913767094346</v>
      </c>
      <c r="O18" s="5">
        <f>Grade11!M18-M18</f>
        <v>15.245999999999981</v>
      </c>
      <c r="P18" s="22">
        <f t="shared" si="12"/>
        <v>106.3815320768946</v>
      </c>
      <c r="Q18" s="22"/>
      <c r="R18" s="22"/>
      <c r="S18" s="22">
        <f t="shared" si="6"/>
        <v>354.75529001052701</v>
      </c>
      <c r="T18" s="22">
        <f t="shared" si="7"/>
        <v>387.74879444609923</v>
      </c>
    </row>
    <row r="19" spans="1:20" x14ac:dyDescent="0.2">
      <c r="A19" s="5">
        <v>28</v>
      </c>
      <c r="B19" s="1">
        <f t="shared" si="8"/>
        <v>1.2800845441963571</v>
      </c>
      <c r="C19" s="5">
        <f t="shared" si="9"/>
        <v>21808.480486180655</v>
      </c>
      <c r="D19" s="5">
        <f t="shared" si="0"/>
        <v>21442.180137495998</v>
      </c>
      <c r="E19" s="5">
        <f t="shared" si="1"/>
        <v>11942.180137495998</v>
      </c>
      <c r="F19" s="5">
        <f t="shared" si="2"/>
        <v>4200.8718148924436</v>
      </c>
      <c r="G19" s="5">
        <f t="shared" si="3"/>
        <v>17241.308322603552</v>
      </c>
      <c r="H19" s="22">
        <f t="shared" si="10"/>
        <v>10032.212099987286</v>
      </c>
      <c r="I19" s="5">
        <f t="shared" si="4"/>
        <v>26681.619908691588</v>
      </c>
      <c r="J19" s="26">
        <f t="shared" si="5"/>
        <v>0.10948740979623557</v>
      </c>
      <c r="L19" s="22">
        <f t="shared" si="11"/>
        <v>29962.091723584032</v>
      </c>
      <c r="M19" s="5">
        <f>scrimecost*Meta!O16</f>
        <v>760.12199999999996</v>
      </c>
      <c r="N19" s="5">
        <f>L19-Grade11!L19</f>
        <v>444.22386611271213</v>
      </c>
      <c r="O19" s="5">
        <f>Grade11!M19-M19</f>
        <v>15.245999999999981</v>
      </c>
      <c r="P19" s="22">
        <f t="shared" si="12"/>
        <v>108.17918996381698</v>
      </c>
      <c r="Q19" s="22"/>
      <c r="R19" s="22"/>
      <c r="S19" s="22">
        <f t="shared" si="6"/>
        <v>362.44329336653749</v>
      </c>
      <c r="T19" s="22">
        <f t="shared" si="7"/>
        <v>399.69047759628501</v>
      </c>
    </row>
    <row r="20" spans="1:20" x14ac:dyDescent="0.2">
      <c r="A20" s="5">
        <v>29</v>
      </c>
      <c r="B20" s="1">
        <f t="shared" si="8"/>
        <v>1.312086657801266</v>
      </c>
      <c r="C20" s="5">
        <f t="shared" si="9"/>
        <v>22353.692498335167</v>
      </c>
      <c r="D20" s="5">
        <f t="shared" si="0"/>
        <v>21955.224640933397</v>
      </c>
      <c r="E20" s="5">
        <f t="shared" si="1"/>
        <v>12455.224640933397</v>
      </c>
      <c r="F20" s="5">
        <f t="shared" si="2"/>
        <v>4368.3808452647536</v>
      </c>
      <c r="G20" s="5">
        <f t="shared" si="3"/>
        <v>17586.843795668643</v>
      </c>
      <c r="H20" s="22">
        <f t="shared" si="10"/>
        <v>10283.017402486968</v>
      </c>
      <c r="I20" s="5">
        <f t="shared" si="4"/>
        <v>27263.16317140888</v>
      </c>
      <c r="J20" s="26">
        <f t="shared" si="5"/>
        <v>0.11227132546390271</v>
      </c>
      <c r="L20" s="22">
        <f t="shared" si="11"/>
        <v>30711.144016673632</v>
      </c>
      <c r="M20" s="5">
        <f>scrimecost*Meta!O17</f>
        <v>760.12199999999996</v>
      </c>
      <c r="N20" s="5">
        <f>L20-Grade11!L20</f>
        <v>455.32946276553412</v>
      </c>
      <c r="O20" s="5">
        <f>Grade11!M20-M20</f>
        <v>15.245999999999981</v>
      </c>
      <c r="P20" s="22">
        <f t="shared" si="12"/>
        <v>110.02178929791239</v>
      </c>
      <c r="Q20" s="22"/>
      <c r="R20" s="22"/>
      <c r="S20" s="22">
        <f t="shared" si="6"/>
        <v>370.32349680645325</v>
      </c>
      <c r="T20" s="22">
        <f t="shared" si="7"/>
        <v>412.02840759215422</v>
      </c>
    </row>
    <row r="21" spans="1:20" x14ac:dyDescent="0.2">
      <c r="A21" s="5">
        <v>30</v>
      </c>
      <c r="B21" s="1">
        <f t="shared" si="8"/>
        <v>1.3448888242462975</v>
      </c>
      <c r="C21" s="5">
        <f t="shared" si="9"/>
        <v>22912.534810793546</v>
      </c>
      <c r="D21" s="5">
        <f t="shared" si="0"/>
        <v>22481.095256956731</v>
      </c>
      <c r="E21" s="5">
        <f t="shared" si="1"/>
        <v>12981.095256956731</v>
      </c>
      <c r="F21" s="5">
        <f t="shared" si="2"/>
        <v>4540.0776013963723</v>
      </c>
      <c r="G21" s="5">
        <f t="shared" si="3"/>
        <v>17941.017655560358</v>
      </c>
      <c r="H21" s="22">
        <f t="shared" si="10"/>
        <v>10540.09283754914</v>
      </c>
      <c r="I21" s="5">
        <f t="shared" si="4"/>
        <v>27859.245015694098</v>
      </c>
      <c r="J21" s="26">
        <f t="shared" si="5"/>
        <v>0.11498734074943164</v>
      </c>
      <c r="L21" s="22">
        <f t="shared" si="11"/>
        <v>31478.922617090469</v>
      </c>
      <c r="M21" s="5">
        <f>scrimecost*Meta!O18</f>
        <v>599.58199999999999</v>
      </c>
      <c r="N21" s="5">
        <f>L21-Grade11!L21</f>
        <v>466.71269933467192</v>
      </c>
      <c r="O21" s="5">
        <f>Grade11!M21-M21</f>
        <v>12.025999999999954</v>
      </c>
      <c r="P21" s="22">
        <f t="shared" si="12"/>
        <v>111.91045361536018</v>
      </c>
      <c r="Q21" s="22"/>
      <c r="R21" s="22"/>
      <c r="S21" s="22">
        <f t="shared" si="6"/>
        <v>375.34170533236431</v>
      </c>
      <c r="T21" s="22">
        <f t="shared" si="7"/>
        <v>421.3421156356971</v>
      </c>
    </row>
    <row r="22" spans="1:20" x14ac:dyDescent="0.2">
      <c r="A22" s="5">
        <v>31</v>
      </c>
      <c r="B22" s="1">
        <f t="shared" si="8"/>
        <v>1.3785110448524549</v>
      </c>
      <c r="C22" s="5">
        <f t="shared" si="9"/>
        <v>23485.348181063382</v>
      </c>
      <c r="D22" s="5">
        <f t="shared" si="0"/>
        <v>23020.112638380644</v>
      </c>
      <c r="E22" s="5">
        <f t="shared" si="1"/>
        <v>13520.112638380644</v>
      </c>
      <c r="F22" s="5">
        <f t="shared" si="2"/>
        <v>4716.0667764312802</v>
      </c>
      <c r="G22" s="5">
        <f t="shared" si="3"/>
        <v>18304.045861949366</v>
      </c>
      <c r="H22" s="22">
        <f t="shared" si="10"/>
        <v>10803.595158487869</v>
      </c>
      <c r="I22" s="5">
        <f t="shared" si="4"/>
        <v>28470.22890608645</v>
      </c>
      <c r="J22" s="26">
        <f t="shared" si="5"/>
        <v>0.11763711175970372</v>
      </c>
      <c r="L22" s="22">
        <f t="shared" si="11"/>
        <v>32265.89568251773</v>
      </c>
      <c r="M22" s="5">
        <f>scrimecost*Meta!O19</f>
        <v>599.58199999999999</v>
      </c>
      <c r="N22" s="5">
        <f>L22-Grade11!L22</f>
        <v>478.38051681803699</v>
      </c>
      <c r="O22" s="5">
        <f>Grade11!M22-M22</f>
        <v>12.025999999999954</v>
      </c>
      <c r="P22" s="22">
        <f t="shared" si="12"/>
        <v>113.84633454074418</v>
      </c>
      <c r="Q22" s="22"/>
      <c r="R22" s="22"/>
      <c r="S22" s="22">
        <f t="shared" si="6"/>
        <v>383.62084407142243</v>
      </c>
      <c r="T22" s="22">
        <f t="shared" si="7"/>
        <v>434.48261425661207</v>
      </c>
    </row>
    <row r="23" spans="1:20" x14ac:dyDescent="0.2">
      <c r="A23" s="5">
        <v>32</v>
      </c>
      <c r="B23" s="1">
        <f t="shared" si="8"/>
        <v>1.4129738209737661</v>
      </c>
      <c r="C23" s="5">
        <f t="shared" si="9"/>
        <v>24072.481885589965</v>
      </c>
      <c r="D23" s="5">
        <f t="shared" si="0"/>
        <v>23572.605454340159</v>
      </c>
      <c r="E23" s="5">
        <f t="shared" si="1"/>
        <v>14072.605454340159</v>
      </c>
      <c r="F23" s="5">
        <f t="shared" si="2"/>
        <v>4896.4556808420621</v>
      </c>
      <c r="G23" s="5">
        <f t="shared" si="3"/>
        <v>18676.149773498095</v>
      </c>
      <c r="H23" s="22">
        <f t="shared" si="10"/>
        <v>11073.685037450066</v>
      </c>
      <c r="I23" s="5">
        <f t="shared" si="4"/>
        <v>29096.487393738607</v>
      </c>
      <c r="J23" s="26">
        <f t="shared" si="5"/>
        <v>0.12022225420874973</v>
      </c>
      <c r="L23" s="22">
        <f t="shared" si="11"/>
        <v>33072.543074580673</v>
      </c>
      <c r="M23" s="5">
        <f>scrimecost*Meta!O20</f>
        <v>599.58199999999999</v>
      </c>
      <c r="N23" s="5">
        <f>L23-Grade11!L23</f>
        <v>490.34002973848692</v>
      </c>
      <c r="O23" s="5">
        <f>Grade11!M23-M23</f>
        <v>12.025999999999954</v>
      </c>
      <c r="P23" s="22">
        <f t="shared" si="12"/>
        <v>115.83061248926279</v>
      </c>
      <c r="Q23" s="22"/>
      <c r="R23" s="22"/>
      <c r="S23" s="22">
        <f t="shared" si="6"/>
        <v>392.10696127895739</v>
      </c>
      <c r="T23" s="22">
        <f t="shared" si="7"/>
        <v>448.06076554752912</v>
      </c>
    </row>
    <row r="24" spans="1:20" x14ac:dyDescent="0.2">
      <c r="A24" s="5">
        <v>33</v>
      </c>
      <c r="B24" s="1">
        <f t="shared" si="8"/>
        <v>1.4482981664981105</v>
      </c>
      <c r="C24" s="5">
        <f t="shared" si="9"/>
        <v>24674.293932729717</v>
      </c>
      <c r="D24" s="5">
        <f t="shared" si="0"/>
        <v>24138.910590698666</v>
      </c>
      <c r="E24" s="5">
        <f t="shared" si="1"/>
        <v>14638.910590698666</v>
      </c>
      <c r="F24" s="5">
        <f t="shared" si="2"/>
        <v>5081.3543078631146</v>
      </c>
      <c r="G24" s="5">
        <f t="shared" si="3"/>
        <v>19057.556282835551</v>
      </c>
      <c r="H24" s="22">
        <f t="shared" si="10"/>
        <v>11350.527163386318</v>
      </c>
      <c r="I24" s="5">
        <f t="shared" si="4"/>
        <v>29738.402343582078</v>
      </c>
      <c r="J24" s="26">
        <f t="shared" si="5"/>
        <v>0.12274434440294091</v>
      </c>
      <c r="L24" s="22">
        <f t="shared" si="11"/>
        <v>33899.356651445189</v>
      </c>
      <c r="M24" s="5">
        <f>scrimecost*Meta!O21</f>
        <v>599.58199999999999</v>
      </c>
      <c r="N24" s="5">
        <f>L24-Grade11!L24</f>
        <v>502.59853048194782</v>
      </c>
      <c r="O24" s="5">
        <f>Grade11!M24-M24</f>
        <v>12.025999999999954</v>
      </c>
      <c r="P24" s="22">
        <f t="shared" si="12"/>
        <v>117.86449738649436</v>
      </c>
      <c r="Q24" s="22"/>
      <c r="R24" s="22"/>
      <c r="S24" s="22">
        <f t="shared" si="6"/>
        <v>400.80523141668067</v>
      </c>
      <c r="T24" s="22">
        <f t="shared" si="7"/>
        <v>462.0914181331309</v>
      </c>
    </row>
    <row r="25" spans="1:20" x14ac:dyDescent="0.2">
      <c r="A25" s="5">
        <v>34</v>
      </c>
      <c r="B25" s="1">
        <f t="shared" si="8"/>
        <v>1.4845056206605631</v>
      </c>
      <c r="C25" s="5">
        <f t="shared" si="9"/>
        <v>25291.151281047958</v>
      </c>
      <c r="D25" s="5">
        <f t="shared" si="0"/>
        <v>24719.37335546613</v>
      </c>
      <c r="E25" s="5">
        <f t="shared" si="1"/>
        <v>15219.37335546613</v>
      </c>
      <c r="F25" s="5">
        <f t="shared" si="2"/>
        <v>5270.8754005596911</v>
      </c>
      <c r="G25" s="5">
        <f t="shared" si="3"/>
        <v>19448.497954906437</v>
      </c>
      <c r="H25" s="22">
        <f t="shared" si="10"/>
        <v>11634.290342470975</v>
      </c>
      <c r="I25" s="5">
        <f t="shared" si="4"/>
        <v>30396.365167171625</v>
      </c>
      <c r="J25" s="26">
        <f t="shared" si="5"/>
        <v>0.12520492020215182</v>
      </c>
      <c r="L25" s="22">
        <f t="shared" si="11"/>
        <v>34746.84056773132</v>
      </c>
      <c r="M25" s="5">
        <f>scrimecost*Meta!O22</f>
        <v>599.58199999999999</v>
      </c>
      <c r="N25" s="5">
        <f>L25-Grade11!L25</f>
        <v>515.16349374400306</v>
      </c>
      <c r="O25" s="5">
        <f>Grade11!M25-M25</f>
        <v>12.025999999999954</v>
      </c>
      <c r="P25" s="22">
        <f t="shared" si="12"/>
        <v>119.94922940615672</v>
      </c>
      <c r="Q25" s="22"/>
      <c r="R25" s="22"/>
      <c r="S25" s="22">
        <f t="shared" si="6"/>
        <v>409.72095830785128</v>
      </c>
      <c r="T25" s="22">
        <f t="shared" si="7"/>
        <v>476.58992691503977</v>
      </c>
    </row>
    <row r="26" spans="1:20" x14ac:dyDescent="0.2">
      <c r="A26" s="5">
        <v>35</v>
      </c>
      <c r="B26" s="1">
        <f t="shared" si="8"/>
        <v>1.521618261177077</v>
      </c>
      <c r="C26" s="5">
        <f t="shared" si="9"/>
        <v>25923.430063074156</v>
      </c>
      <c r="D26" s="5">
        <f t="shared" si="0"/>
        <v>25314.347689352784</v>
      </c>
      <c r="E26" s="5">
        <f t="shared" si="1"/>
        <v>15814.347689352784</v>
      </c>
      <c r="F26" s="5">
        <f t="shared" si="2"/>
        <v>5465.1345205736834</v>
      </c>
      <c r="G26" s="5">
        <f t="shared" si="3"/>
        <v>19849.213168779101</v>
      </c>
      <c r="H26" s="22">
        <f t="shared" si="10"/>
        <v>11925.147601032748</v>
      </c>
      <c r="I26" s="5">
        <f t="shared" si="4"/>
        <v>31070.777061350916</v>
      </c>
      <c r="J26" s="26">
        <f t="shared" si="5"/>
        <v>0.12760548195747956</v>
      </c>
      <c r="L26" s="22">
        <f t="shared" si="11"/>
        <v>35615.511581924598</v>
      </c>
      <c r="M26" s="5">
        <f>scrimecost*Meta!O23</f>
        <v>477.43200000000002</v>
      </c>
      <c r="N26" s="5">
        <f>L26-Grade11!L26</f>
        <v>528.04258108760405</v>
      </c>
      <c r="O26" s="5">
        <f>Grade11!M26-M26</f>
        <v>9.5760000000000218</v>
      </c>
      <c r="P26" s="22">
        <f t="shared" si="12"/>
        <v>122.08607972631063</v>
      </c>
      <c r="Q26" s="22"/>
      <c r="R26" s="22"/>
      <c r="S26" s="22">
        <f t="shared" si="6"/>
        <v>416.53207837129816</v>
      </c>
      <c r="T26" s="22">
        <f t="shared" si="7"/>
        <v>488.84062430690835</v>
      </c>
    </row>
    <row r="27" spans="1:20" x14ac:dyDescent="0.2">
      <c r="A27" s="5">
        <v>36</v>
      </c>
      <c r="B27" s="1">
        <f t="shared" si="8"/>
        <v>1.559658717706504</v>
      </c>
      <c r="C27" s="5">
        <f t="shared" si="9"/>
        <v>26571.515814651011</v>
      </c>
      <c r="D27" s="5">
        <f t="shared" si="0"/>
        <v>25924.196381586604</v>
      </c>
      <c r="E27" s="5">
        <f t="shared" si="1"/>
        <v>16424.196381586604</v>
      </c>
      <c r="F27" s="5">
        <f t="shared" si="2"/>
        <v>5664.2501185880265</v>
      </c>
      <c r="G27" s="5">
        <f t="shared" si="3"/>
        <v>20259.946262998579</v>
      </c>
      <c r="H27" s="22">
        <f t="shared" si="10"/>
        <v>12223.276291058568</v>
      </c>
      <c r="I27" s="5">
        <f t="shared" si="4"/>
        <v>31762.049252884692</v>
      </c>
      <c r="J27" s="26">
        <f t="shared" si="5"/>
        <v>0.12994749342609199</v>
      </c>
      <c r="L27" s="22">
        <f t="shared" si="11"/>
        <v>36505.899371472711</v>
      </c>
      <c r="M27" s="5">
        <f>scrimecost*Meta!O24</f>
        <v>477.43200000000002</v>
      </c>
      <c r="N27" s="5">
        <f>L27-Grade11!L27</f>
        <v>541.24364561478433</v>
      </c>
      <c r="O27" s="5">
        <f>Grade11!M27-M27</f>
        <v>9.5760000000000218</v>
      </c>
      <c r="P27" s="22">
        <f t="shared" si="12"/>
        <v>124.27635130446841</v>
      </c>
      <c r="Q27" s="22"/>
      <c r="R27" s="22"/>
      <c r="S27" s="22">
        <f t="shared" si="6"/>
        <v>425.89916393632518</v>
      </c>
      <c r="T27" s="22">
        <f t="shared" si="7"/>
        <v>504.29862248098243</v>
      </c>
    </row>
    <row r="28" spans="1:20" x14ac:dyDescent="0.2">
      <c r="A28" s="5">
        <v>37</v>
      </c>
      <c r="B28" s="1">
        <f t="shared" si="8"/>
        <v>1.5986501856491666</v>
      </c>
      <c r="C28" s="5">
        <f t="shared" si="9"/>
        <v>27235.803710017288</v>
      </c>
      <c r="D28" s="5">
        <f t="shared" si="0"/>
        <v>26549.291291126272</v>
      </c>
      <c r="E28" s="5">
        <f t="shared" si="1"/>
        <v>17049.291291126272</v>
      </c>
      <c r="F28" s="5">
        <f t="shared" si="2"/>
        <v>5868.3436065527276</v>
      </c>
      <c r="G28" s="5">
        <f t="shared" si="3"/>
        <v>20680.947684573544</v>
      </c>
      <c r="H28" s="22">
        <f t="shared" si="10"/>
        <v>12528.858198335032</v>
      </c>
      <c r="I28" s="5">
        <f t="shared" si="4"/>
        <v>32470.603249206812</v>
      </c>
      <c r="J28" s="26">
        <f t="shared" si="5"/>
        <v>0.13223238266376267</v>
      </c>
      <c r="L28" s="22">
        <f t="shared" si="11"/>
        <v>37418.546855759538</v>
      </c>
      <c r="M28" s="5">
        <f>scrimecost*Meta!O25</f>
        <v>477.43200000000002</v>
      </c>
      <c r="N28" s="5">
        <f>L28-Grade11!L28</f>
        <v>554.77473675517103</v>
      </c>
      <c r="O28" s="5">
        <f>Grade11!M28-M28</f>
        <v>9.5760000000000218</v>
      </c>
      <c r="P28" s="22">
        <f t="shared" si="12"/>
        <v>126.52137967208014</v>
      </c>
      <c r="Q28" s="22"/>
      <c r="R28" s="22"/>
      <c r="S28" s="22">
        <f t="shared" si="6"/>
        <v>435.50042664049278</v>
      </c>
      <c r="T28" s="22">
        <f t="shared" si="7"/>
        <v>520.27353707934401</v>
      </c>
    </row>
    <row r="29" spans="1:20" x14ac:dyDescent="0.2">
      <c r="A29" s="5">
        <v>38</v>
      </c>
      <c r="B29" s="1">
        <f t="shared" si="8"/>
        <v>1.6386164402903955</v>
      </c>
      <c r="C29" s="5">
        <f t="shared" si="9"/>
        <v>27916.698802767714</v>
      </c>
      <c r="D29" s="5">
        <f t="shared" si="0"/>
        <v>27190.013573404423</v>
      </c>
      <c r="E29" s="5">
        <f t="shared" si="1"/>
        <v>17690.013573404423</v>
      </c>
      <c r="F29" s="5">
        <f t="shared" si="2"/>
        <v>6077.5394317165446</v>
      </c>
      <c r="G29" s="5">
        <f t="shared" si="3"/>
        <v>21112.474141687879</v>
      </c>
      <c r="H29" s="22">
        <f t="shared" si="10"/>
        <v>12842.079653293405</v>
      </c>
      <c r="I29" s="5">
        <f t="shared" si="4"/>
        <v>33196.871095436974</v>
      </c>
      <c r="J29" s="26">
        <f t="shared" si="5"/>
        <v>0.13446154289563647</v>
      </c>
      <c r="L29" s="22">
        <f t="shared" si="11"/>
        <v>38354.010527153521</v>
      </c>
      <c r="M29" s="5">
        <f>scrimecost*Meta!O26</f>
        <v>477.43200000000002</v>
      </c>
      <c r="N29" s="5">
        <f>L29-Grade11!L29</f>
        <v>568.64410517404758</v>
      </c>
      <c r="O29" s="5">
        <f>Grade11!M29-M29</f>
        <v>9.5760000000000218</v>
      </c>
      <c r="P29" s="22">
        <f t="shared" si="12"/>
        <v>128.82253374888214</v>
      </c>
      <c r="Q29" s="22"/>
      <c r="R29" s="22"/>
      <c r="S29" s="22">
        <f t="shared" si="6"/>
        <v>445.34172091225361</v>
      </c>
      <c r="T29" s="22">
        <f t="shared" si="7"/>
        <v>536.78292501276167</v>
      </c>
    </row>
    <row r="30" spans="1:20" x14ac:dyDescent="0.2">
      <c r="A30" s="5">
        <v>39</v>
      </c>
      <c r="B30" s="1">
        <f t="shared" si="8"/>
        <v>1.6795818512976552</v>
      </c>
      <c r="C30" s="5">
        <f t="shared" si="9"/>
        <v>28614.616272836905</v>
      </c>
      <c r="D30" s="5">
        <f t="shared" si="0"/>
        <v>27846.753912739532</v>
      </c>
      <c r="E30" s="5">
        <f t="shared" si="1"/>
        <v>18346.753912739532</v>
      </c>
      <c r="F30" s="5">
        <f t="shared" si="2"/>
        <v>6291.9651525094578</v>
      </c>
      <c r="G30" s="5">
        <f t="shared" si="3"/>
        <v>21554.788760230076</v>
      </c>
      <c r="H30" s="22">
        <f t="shared" si="10"/>
        <v>13163.131644625739</v>
      </c>
      <c r="I30" s="5">
        <f t="shared" si="4"/>
        <v>33941.295637822899</v>
      </c>
      <c r="J30" s="26">
        <f t="shared" si="5"/>
        <v>0.13663633336575726</v>
      </c>
      <c r="L30" s="22">
        <f t="shared" si="11"/>
        <v>39312.86079033235</v>
      </c>
      <c r="M30" s="5">
        <f>scrimecost*Meta!O27</f>
        <v>477.43200000000002</v>
      </c>
      <c r="N30" s="5">
        <f>L30-Grade11!L30</f>
        <v>582.86020780338731</v>
      </c>
      <c r="O30" s="5">
        <f>Grade11!M30-M30</f>
        <v>9.5760000000000218</v>
      </c>
      <c r="P30" s="22">
        <f t="shared" si="12"/>
        <v>131.18121667760417</v>
      </c>
      <c r="Q30" s="22"/>
      <c r="R30" s="22"/>
      <c r="S30" s="22">
        <f t="shared" si="6"/>
        <v>455.42904754080354</v>
      </c>
      <c r="T30" s="22">
        <f t="shared" si="7"/>
        <v>553.84494198155414</v>
      </c>
    </row>
    <row r="31" spans="1:20" x14ac:dyDescent="0.2">
      <c r="A31" s="5">
        <v>40</v>
      </c>
      <c r="B31" s="1">
        <f t="shared" si="8"/>
        <v>1.7215713975800966</v>
      </c>
      <c r="C31" s="5">
        <f t="shared" si="9"/>
        <v>29329.981679657827</v>
      </c>
      <c r="D31" s="5">
        <f t="shared" si="0"/>
        <v>28519.912760558018</v>
      </c>
      <c r="E31" s="5">
        <f t="shared" si="1"/>
        <v>19019.912760558018</v>
      </c>
      <c r="F31" s="5">
        <f t="shared" si="2"/>
        <v>6511.7515163221924</v>
      </c>
      <c r="G31" s="5">
        <f t="shared" si="3"/>
        <v>22008.161244235824</v>
      </c>
      <c r="H31" s="22">
        <f t="shared" si="10"/>
        <v>13492.209935741383</v>
      </c>
      <c r="I31" s="5">
        <f t="shared" si="4"/>
        <v>34704.330793768466</v>
      </c>
      <c r="J31" s="26">
        <f t="shared" si="5"/>
        <v>0.13875808016587507</v>
      </c>
      <c r="L31" s="22">
        <f t="shared" si="11"/>
        <v>40295.682310090662</v>
      </c>
      <c r="M31" s="5">
        <f>scrimecost*Meta!O28</f>
        <v>409.726</v>
      </c>
      <c r="N31" s="5">
        <f>L31-Grade11!L31</f>
        <v>597.43171299847745</v>
      </c>
      <c r="O31" s="5">
        <f>Grade11!M31-M31</f>
        <v>8.2179999999999609</v>
      </c>
      <c r="P31" s="22">
        <f t="shared" si="12"/>
        <v>133.59886667954424</v>
      </c>
      <c r="Q31" s="22"/>
      <c r="R31" s="22"/>
      <c r="S31" s="22">
        <f t="shared" si="6"/>
        <v>464.4784573350766</v>
      </c>
      <c r="T31" s="22">
        <f t="shared" si="7"/>
        <v>569.89546466625097</v>
      </c>
    </row>
    <row r="32" spans="1:20" x14ac:dyDescent="0.2">
      <c r="A32" s="5">
        <v>41</v>
      </c>
      <c r="B32" s="1">
        <f t="shared" si="8"/>
        <v>1.7646106825195991</v>
      </c>
      <c r="C32" s="5">
        <f t="shared" si="9"/>
        <v>30063.231221649272</v>
      </c>
      <c r="D32" s="5">
        <f t="shared" si="0"/>
        <v>29209.900579571968</v>
      </c>
      <c r="E32" s="5">
        <f t="shared" si="1"/>
        <v>19709.900579571968</v>
      </c>
      <c r="F32" s="5">
        <f t="shared" si="2"/>
        <v>6737.0325392302475</v>
      </c>
      <c r="G32" s="5">
        <f t="shared" si="3"/>
        <v>22472.86804034172</v>
      </c>
      <c r="H32" s="22">
        <f t="shared" si="10"/>
        <v>13829.515184134916</v>
      </c>
      <c r="I32" s="5">
        <f t="shared" si="4"/>
        <v>35486.441828612675</v>
      </c>
      <c r="J32" s="26">
        <f t="shared" si="5"/>
        <v>0.14082807704403882</v>
      </c>
      <c r="L32" s="22">
        <f t="shared" si="11"/>
        <v>41303.074367842921</v>
      </c>
      <c r="M32" s="5">
        <f>scrimecost*Meta!O29</f>
        <v>409.726</v>
      </c>
      <c r="N32" s="5">
        <f>L32-Grade11!L32</f>
        <v>612.36750582342938</v>
      </c>
      <c r="O32" s="5">
        <f>Grade11!M32-M32</f>
        <v>8.2179999999999609</v>
      </c>
      <c r="P32" s="22">
        <f t="shared" si="12"/>
        <v>136.07695793153286</v>
      </c>
      <c r="Q32" s="22"/>
      <c r="R32" s="22"/>
      <c r="S32" s="22">
        <f t="shared" si="6"/>
        <v>475.07645487419802</v>
      </c>
      <c r="T32" s="22">
        <f t="shared" si="7"/>
        <v>588.10556547781277</v>
      </c>
    </row>
    <row r="33" spans="1:20" x14ac:dyDescent="0.2">
      <c r="A33" s="5">
        <v>42</v>
      </c>
      <c r="B33" s="1">
        <f t="shared" si="8"/>
        <v>1.8087259495825889</v>
      </c>
      <c r="C33" s="5">
        <f t="shared" si="9"/>
        <v>30814.812002190502</v>
      </c>
      <c r="D33" s="5">
        <f t="shared" si="0"/>
        <v>29917.138094061265</v>
      </c>
      <c r="E33" s="5">
        <f t="shared" si="1"/>
        <v>20417.138094061265</v>
      </c>
      <c r="F33" s="5">
        <f t="shared" si="2"/>
        <v>6967.9455877110031</v>
      </c>
      <c r="G33" s="5">
        <f t="shared" si="3"/>
        <v>22949.192506350264</v>
      </c>
      <c r="H33" s="22">
        <f t="shared" si="10"/>
        <v>14175.25306373829</v>
      </c>
      <c r="I33" s="5">
        <f t="shared" si="4"/>
        <v>36288.105639327994</v>
      </c>
      <c r="J33" s="26">
        <f t="shared" si="5"/>
        <v>0.14284758619346685</v>
      </c>
      <c r="L33" s="22">
        <f t="shared" si="11"/>
        <v>42335.651227038994</v>
      </c>
      <c r="M33" s="5">
        <f>scrimecost*Meta!O30</f>
        <v>409.726</v>
      </c>
      <c r="N33" s="5">
        <f>L33-Grade11!L33</f>
        <v>627.67669346903131</v>
      </c>
      <c r="O33" s="5">
        <f>Grade11!M33-M33</f>
        <v>8.2179999999999609</v>
      </c>
      <c r="P33" s="22">
        <f t="shared" si="12"/>
        <v>138.61700146482116</v>
      </c>
      <c r="Q33" s="22"/>
      <c r="R33" s="22"/>
      <c r="S33" s="22">
        <f t="shared" si="6"/>
        <v>485.93940235181185</v>
      </c>
      <c r="T33" s="22">
        <f t="shared" si="7"/>
        <v>606.92643681920765</v>
      </c>
    </row>
    <row r="34" spans="1:20" x14ac:dyDescent="0.2">
      <c r="A34" s="5">
        <v>43</v>
      </c>
      <c r="B34" s="1">
        <f t="shared" si="8"/>
        <v>1.8539440983221533</v>
      </c>
      <c r="C34" s="5">
        <f t="shared" si="9"/>
        <v>31585.182302245263</v>
      </c>
      <c r="D34" s="5">
        <f t="shared" si="0"/>
        <v>30642.056546412794</v>
      </c>
      <c r="E34" s="5">
        <f t="shared" si="1"/>
        <v>21142.056546412794</v>
      </c>
      <c r="F34" s="5">
        <f t="shared" si="2"/>
        <v>7204.6314624037768</v>
      </c>
      <c r="G34" s="5">
        <f t="shared" si="3"/>
        <v>23437.425084009017</v>
      </c>
      <c r="H34" s="22">
        <f t="shared" si="10"/>
        <v>14529.634390331745</v>
      </c>
      <c r="I34" s="5">
        <f t="shared" si="4"/>
        <v>37109.811045311188</v>
      </c>
      <c r="J34" s="26">
        <f t="shared" si="5"/>
        <v>0.14481783902217713</v>
      </c>
      <c r="L34" s="22">
        <f t="shared" si="11"/>
        <v>43394.042507714956</v>
      </c>
      <c r="M34" s="5">
        <f>scrimecost*Meta!O31</f>
        <v>409.726</v>
      </c>
      <c r="N34" s="5">
        <f>L34-Grade11!L34</f>
        <v>643.36861080574454</v>
      </c>
      <c r="O34" s="5">
        <f>Grade11!M34-M34</f>
        <v>8.2179999999999609</v>
      </c>
      <c r="P34" s="22">
        <f t="shared" si="12"/>
        <v>141.22054608644166</v>
      </c>
      <c r="Q34" s="22"/>
      <c r="R34" s="22"/>
      <c r="S34" s="22">
        <f t="shared" si="6"/>
        <v>497.07392351635019</v>
      </c>
      <c r="T34" s="22">
        <f t="shared" si="7"/>
        <v>626.37883996605899</v>
      </c>
    </row>
    <row r="35" spans="1:20" x14ac:dyDescent="0.2">
      <c r="A35" s="5">
        <v>44</v>
      </c>
      <c r="B35" s="1">
        <f t="shared" si="8"/>
        <v>1.9002927007802071</v>
      </c>
      <c r="C35" s="5">
        <f t="shared" si="9"/>
        <v>32374.811859801386</v>
      </c>
      <c r="D35" s="5">
        <f t="shared" si="0"/>
        <v>31385.097960073108</v>
      </c>
      <c r="E35" s="5">
        <f t="shared" si="1"/>
        <v>21885.097960073108</v>
      </c>
      <c r="F35" s="5">
        <f t="shared" si="2"/>
        <v>7447.2344839638699</v>
      </c>
      <c r="G35" s="5">
        <f t="shared" si="3"/>
        <v>23937.86347610924</v>
      </c>
      <c r="H35" s="22">
        <f t="shared" si="10"/>
        <v>14892.875250090037</v>
      </c>
      <c r="I35" s="5">
        <f t="shared" si="4"/>
        <v>37952.059086443965</v>
      </c>
      <c r="J35" s="26">
        <f t="shared" si="5"/>
        <v>0.14674003690384568</v>
      </c>
      <c r="L35" s="22">
        <f t="shared" si="11"/>
        <v>44478.893570407832</v>
      </c>
      <c r="M35" s="5">
        <f>scrimecost*Meta!O32</f>
        <v>409.726</v>
      </c>
      <c r="N35" s="5">
        <f>L35-Grade11!L35</f>
        <v>659.45282607588888</v>
      </c>
      <c r="O35" s="5">
        <f>Grade11!M35-M35</f>
        <v>8.2179999999999609</v>
      </c>
      <c r="P35" s="22">
        <f t="shared" si="12"/>
        <v>143.88917932360269</v>
      </c>
      <c r="Q35" s="22"/>
      <c r="R35" s="22"/>
      <c r="S35" s="22">
        <f t="shared" si="6"/>
        <v>508.48680771000932</v>
      </c>
      <c r="T35" s="22">
        <f t="shared" si="7"/>
        <v>646.48424441991438</v>
      </c>
    </row>
    <row r="36" spans="1:20" x14ac:dyDescent="0.2">
      <c r="A36" s="5">
        <v>45</v>
      </c>
      <c r="B36" s="1">
        <f t="shared" si="8"/>
        <v>1.9478000182997122</v>
      </c>
      <c r="C36" s="5">
        <f t="shared" si="9"/>
        <v>33184.182156296418</v>
      </c>
      <c r="D36" s="5">
        <f t="shared" si="0"/>
        <v>32146.715409074932</v>
      </c>
      <c r="E36" s="5">
        <f t="shared" si="1"/>
        <v>22646.715409074932</v>
      </c>
      <c r="F36" s="5">
        <f t="shared" si="2"/>
        <v>7695.9025810629646</v>
      </c>
      <c r="G36" s="5">
        <f t="shared" si="3"/>
        <v>24450.812828011967</v>
      </c>
      <c r="H36" s="22">
        <f t="shared" si="10"/>
        <v>15265.197131342289</v>
      </c>
      <c r="I36" s="5">
        <f t="shared" si="4"/>
        <v>38815.363328605061</v>
      </c>
      <c r="J36" s="26">
        <f t="shared" si="5"/>
        <v>0.14861535191035158</v>
      </c>
      <c r="L36" s="22">
        <f t="shared" si="11"/>
        <v>45590.865909668035</v>
      </c>
      <c r="M36" s="5">
        <f>scrimecost*Meta!O33</f>
        <v>315.49599999999998</v>
      </c>
      <c r="N36" s="5">
        <f>L36-Grade11!L36</f>
        <v>675.93914672779647</v>
      </c>
      <c r="O36" s="5">
        <f>Grade11!M36-M36</f>
        <v>6.3280000000000314</v>
      </c>
      <c r="P36" s="22">
        <f t="shared" si="12"/>
        <v>146.62452839169276</v>
      </c>
      <c r="Q36" s="22"/>
      <c r="R36" s="22"/>
      <c r="S36" s="22">
        <f t="shared" si="6"/>
        <v>518.38951400851545</v>
      </c>
      <c r="T36" s="22">
        <f t="shared" si="7"/>
        <v>664.96168300683428</v>
      </c>
    </row>
    <row r="37" spans="1:20" x14ac:dyDescent="0.2">
      <c r="A37" s="5">
        <v>46</v>
      </c>
      <c r="B37" s="1">
        <f t="shared" ref="B37:B56" si="13">(1+experiencepremium)^(A37-startage)</f>
        <v>1.9964950187572048</v>
      </c>
      <c r="C37" s="5">
        <f t="shared" ref="C37:C56" si="14">pretaxincome*B37/expnorm</f>
        <v>34013.786710203829</v>
      </c>
      <c r="D37" s="5">
        <f t="shared" ref="D37:D56" si="15">IF(A37&lt;startage,1,0)*(C37*(1-initialunempprob))+IF(A37=startage,1,0)*(C37*(1-unempprob))+IF(A37&gt;startage,1,0)*(C37*(1-unempprob)+unempprob*300*52)</f>
        <v>32927.373294301804</v>
      </c>
      <c r="E37" s="5">
        <f t="shared" si="1"/>
        <v>23427.373294301804</v>
      </c>
      <c r="F37" s="5">
        <f t="shared" si="2"/>
        <v>7950.7873805895388</v>
      </c>
      <c r="G37" s="5">
        <f t="shared" si="3"/>
        <v>24976.585913712264</v>
      </c>
      <c r="H37" s="22">
        <f t="shared" ref="H37:H56" si="16">benefits*B37/expnorm</f>
        <v>15646.827059625843</v>
      </c>
      <c r="I37" s="5">
        <f t="shared" ref="I37:I56" si="17">G37+IF(A37&lt;startage,1,0)*(H37*(1-initialunempprob))+IF(A37&gt;=startage,1,0)*(H37*(1-unempprob))</f>
        <v>39700.250176820184</v>
      </c>
      <c r="J37" s="26">
        <f t="shared" si="5"/>
        <v>0.15044492752645494</v>
      </c>
      <c r="L37" s="22">
        <f t="shared" ref="L37:L56" si="18">(sincome+sbenefits)*(1-sunemp)*B37/expnorm</f>
        <v>46730.637557409726</v>
      </c>
      <c r="M37" s="5">
        <f>scrimecost*Meta!O34</f>
        <v>315.49599999999998</v>
      </c>
      <c r="N37" s="5">
        <f>L37-Grade11!L37</f>
        <v>692.83762539597956</v>
      </c>
      <c r="O37" s="5">
        <f>Grade11!M37-M37</f>
        <v>6.3280000000000314</v>
      </c>
      <c r="P37" s="22">
        <f t="shared" si="12"/>
        <v>149.42826118648506</v>
      </c>
      <c r="Q37" s="22"/>
      <c r="R37" s="22"/>
      <c r="S37" s="22">
        <f t="shared" si="6"/>
        <v>530.38017546447179</v>
      </c>
      <c r="T37" s="22">
        <f t="shared" si="7"/>
        <v>686.41987991661654</v>
      </c>
    </row>
    <row r="38" spans="1:20" x14ac:dyDescent="0.2">
      <c r="A38" s="5">
        <v>47</v>
      </c>
      <c r="B38" s="1">
        <f t="shared" si="13"/>
        <v>2.0464073942261352</v>
      </c>
      <c r="C38" s="5">
        <f t="shared" si="14"/>
        <v>34864.131377958925</v>
      </c>
      <c r="D38" s="5">
        <f t="shared" si="15"/>
        <v>33727.547626659354</v>
      </c>
      <c r="E38" s="5">
        <f t="shared" si="1"/>
        <v>24227.547626659354</v>
      </c>
      <c r="F38" s="5">
        <f t="shared" si="2"/>
        <v>8212.0443001042786</v>
      </c>
      <c r="G38" s="5">
        <f t="shared" si="3"/>
        <v>25515.503326555074</v>
      </c>
      <c r="H38" s="22">
        <f t="shared" si="16"/>
        <v>16037.997736116491</v>
      </c>
      <c r="I38" s="5">
        <f t="shared" si="17"/>
        <v>40607.259196240695</v>
      </c>
      <c r="J38" s="26">
        <f t="shared" si="5"/>
        <v>0.15222987934704357</v>
      </c>
      <c r="L38" s="22">
        <f t="shared" si="18"/>
        <v>47898.903496344974</v>
      </c>
      <c r="M38" s="5">
        <f>scrimecost*Meta!O35</f>
        <v>315.49599999999998</v>
      </c>
      <c r="N38" s="5">
        <f>L38-Grade11!L38</f>
        <v>710.15856603089196</v>
      </c>
      <c r="O38" s="5">
        <f>Grade11!M38-M38</f>
        <v>6.3280000000000314</v>
      </c>
      <c r="P38" s="22">
        <f t="shared" si="12"/>
        <v>152.3020873011472</v>
      </c>
      <c r="Q38" s="22"/>
      <c r="R38" s="22"/>
      <c r="S38" s="22">
        <f t="shared" si="6"/>
        <v>542.67060345684069</v>
      </c>
      <c r="T38" s="22">
        <f t="shared" si="7"/>
        <v>708.59979819872422</v>
      </c>
    </row>
    <row r="39" spans="1:20" x14ac:dyDescent="0.2">
      <c r="A39" s="5">
        <v>48</v>
      </c>
      <c r="B39" s="1">
        <f t="shared" si="13"/>
        <v>2.097567579081788</v>
      </c>
      <c r="C39" s="5">
        <f t="shared" si="14"/>
        <v>35735.7346624079</v>
      </c>
      <c r="D39" s="5">
        <f t="shared" si="15"/>
        <v>34547.72631732584</v>
      </c>
      <c r="E39" s="5">
        <f t="shared" si="1"/>
        <v>25047.72631732584</v>
      </c>
      <c r="F39" s="5">
        <f t="shared" si="2"/>
        <v>8479.832642606887</v>
      </c>
      <c r="G39" s="5">
        <f t="shared" si="3"/>
        <v>26067.893674718951</v>
      </c>
      <c r="H39" s="22">
        <f t="shared" si="16"/>
        <v>16438.947679519399</v>
      </c>
      <c r="I39" s="5">
        <f t="shared" si="17"/>
        <v>41536.943441146708</v>
      </c>
      <c r="J39" s="26">
        <f t="shared" si="5"/>
        <v>0.153971295757374</v>
      </c>
      <c r="L39" s="22">
        <f t="shared" si="18"/>
        <v>49096.376083753581</v>
      </c>
      <c r="M39" s="5">
        <f>scrimecost*Meta!O36</f>
        <v>315.49599999999998</v>
      </c>
      <c r="N39" s="5">
        <f>L39-Grade11!L39</f>
        <v>727.91253018163843</v>
      </c>
      <c r="O39" s="5">
        <f>Grade11!M39-M39</f>
        <v>6.3280000000000314</v>
      </c>
      <c r="P39" s="22">
        <f t="shared" si="12"/>
        <v>155.24775906867589</v>
      </c>
      <c r="Q39" s="22"/>
      <c r="R39" s="22"/>
      <c r="S39" s="22">
        <f t="shared" si="6"/>
        <v>555.26829214899738</v>
      </c>
      <c r="T39" s="22">
        <f t="shared" si="7"/>
        <v>731.52598883855921</v>
      </c>
    </row>
    <row r="40" spans="1:20" x14ac:dyDescent="0.2">
      <c r="A40" s="5">
        <v>49</v>
      </c>
      <c r="B40" s="1">
        <f t="shared" si="13"/>
        <v>2.1500067685588333</v>
      </c>
      <c r="C40" s="5">
        <f t="shared" si="14"/>
        <v>36629.128028968102</v>
      </c>
      <c r="D40" s="5">
        <f t="shared" si="15"/>
        <v>35388.409475258988</v>
      </c>
      <c r="E40" s="5">
        <f t="shared" si="1"/>
        <v>25888.409475258988</v>
      </c>
      <c r="F40" s="5">
        <f t="shared" si="2"/>
        <v>8754.3156936720588</v>
      </c>
      <c r="G40" s="5">
        <f t="shared" si="3"/>
        <v>26634.093781586929</v>
      </c>
      <c r="H40" s="22">
        <f t="shared" si="16"/>
        <v>16849.921371507389</v>
      </c>
      <c r="I40" s="5">
        <f t="shared" si="17"/>
        <v>42489.869792175385</v>
      </c>
      <c r="J40" s="26">
        <f t="shared" ref="J40:J56" si="19">(F40-(IF(A40&gt;startage,1,0)*(unempprob*300*52)))/(IF(A40&lt;startage,1,0)*((C40+H40)*(1-initialunempprob))+IF(A40&gt;=startage,1,0)*((C40+H40)*(1-unempprob)))</f>
        <v>0.15567023859672066</v>
      </c>
      <c r="L40" s="22">
        <f t="shared" si="18"/>
        <v>50323.785485847438</v>
      </c>
      <c r="M40" s="5">
        <f>scrimecost*Meta!O37</f>
        <v>315.49599999999998</v>
      </c>
      <c r="N40" s="5">
        <f>L40-Grade11!L40</f>
        <v>746.1103434362085</v>
      </c>
      <c r="O40" s="5">
        <f>Grade11!M40-M40</f>
        <v>6.3280000000000314</v>
      </c>
      <c r="P40" s="22">
        <f t="shared" si="12"/>
        <v>158.26707263039279</v>
      </c>
      <c r="Q40" s="22"/>
      <c r="R40" s="22"/>
      <c r="S40" s="22">
        <f t="shared" ref="S40:S69" si="20">IF(A40&lt;startage,1,0)*(N40-Q40-R40)+IF(A40&gt;=startage,1,0)*completionprob*(N40*spart+O40+P40)</f>
        <v>568.18092305848836</v>
      </c>
      <c r="T40" s="22">
        <f t="shared" ref="T40:T69" si="21">S40/sreturn^(A40-startage+1)</f>
        <v>755.22384048925278</v>
      </c>
    </row>
    <row r="41" spans="1:20" x14ac:dyDescent="0.2">
      <c r="A41" s="5">
        <v>50</v>
      </c>
      <c r="B41" s="1">
        <f t="shared" si="13"/>
        <v>2.2037569377728037</v>
      </c>
      <c r="C41" s="5">
        <f t="shared" si="14"/>
        <v>37544.856229692297</v>
      </c>
      <c r="D41" s="5">
        <f t="shared" si="15"/>
        <v>36250.109712140453</v>
      </c>
      <c r="E41" s="5">
        <f t="shared" si="1"/>
        <v>26750.109712140453</v>
      </c>
      <c r="F41" s="5">
        <f t="shared" si="2"/>
        <v>9035.6608210138584</v>
      </c>
      <c r="G41" s="5">
        <f t="shared" si="3"/>
        <v>27214.448891126594</v>
      </c>
      <c r="H41" s="22">
        <f t="shared" si="16"/>
        <v>17271.16940579507</v>
      </c>
      <c r="I41" s="5">
        <f t="shared" si="17"/>
        <v>43466.619301979757</v>
      </c>
      <c r="J41" s="26">
        <f t="shared" si="19"/>
        <v>0.15732774380583936</v>
      </c>
      <c r="L41" s="22">
        <f t="shared" si="18"/>
        <v>51581.880122993614</v>
      </c>
      <c r="M41" s="5">
        <f>scrimecost*Meta!O38</f>
        <v>191.60100000000003</v>
      </c>
      <c r="N41" s="5">
        <f>L41-Grade11!L41</f>
        <v>764.76310202210152</v>
      </c>
      <c r="O41" s="5">
        <f>Grade11!M41-M41</f>
        <v>3.8429999999999893</v>
      </c>
      <c r="P41" s="22">
        <f t="shared" si="12"/>
        <v>161.36186903115257</v>
      </c>
      <c r="Q41" s="22"/>
      <c r="R41" s="22"/>
      <c r="S41" s="22">
        <f t="shared" si="20"/>
        <v>579.05561974069383</v>
      </c>
      <c r="T41" s="22">
        <f t="shared" si="21"/>
        <v>776.55367887053853</v>
      </c>
    </row>
    <row r="42" spans="1:20" x14ac:dyDescent="0.2">
      <c r="A42" s="5">
        <v>51</v>
      </c>
      <c r="B42" s="1">
        <f t="shared" si="13"/>
        <v>2.2588508612171236</v>
      </c>
      <c r="C42" s="5">
        <f t="shared" si="14"/>
        <v>38483.477635434603</v>
      </c>
      <c r="D42" s="5">
        <f t="shared" si="15"/>
        <v>37133.352454943968</v>
      </c>
      <c r="E42" s="5">
        <f t="shared" si="1"/>
        <v>27633.352454943968</v>
      </c>
      <c r="F42" s="5">
        <f t="shared" si="2"/>
        <v>9324.0395765392059</v>
      </c>
      <c r="G42" s="5">
        <f t="shared" si="3"/>
        <v>27809.312878404762</v>
      </c>
      <c r="H42" s="22">
        <f t="shared" si="16"/>
        <v>17702.948640939947</v>
      </c>
      <c r="I42" s="5">
        <f t="shared" si="17"/>
        <v>44467.787549529254</v>
      </c>
      <c r="J42" s="26">
        <f t="shared" si="19"/>
        <v>0.15894482205863819</v>
      </c>
      <c r="L42" s="22">
        <f t="shared" si="18"/>
        <v>52871.427126068455</v>
      </c>
      <c r="M42" s="5">
        <f>scrimecost*Meta!O39</f>
        <v>191.60100000000003</v>
      </c>
      <c r="N42" s="5">
        <f>L42-Grade11!L42</f>
        <v>783.88217957265442</v>
      </c>
      <c r="O42" s="5">
        <f>Grade11!M42-M42</f>
        <v>3.8429999999999893</v>
      </c>
      <c r="P42" s="22">
        <f t="shared" si="12"/>
        <v>164.53403534193143</v>
      </c>
      <c r="Q42" s="22"/>
      <c r="R42" s="22"/>
      <c r="S42" s="22">
        <f t="shared" si="20"/>
        <v>592.62195258996132</v>
      </c>
      <c r="T42" s="22">
        <f t="shared" si="21"/>
        <v>801.84623316708178</v>
      </c>
    </row>
    <row r="43" spans="1:20" x14ac:dyDescent="0.2">
      <c r="A43" s="5">
        <v>52</v>
      </c>
      <c r="B43" s="1">
        <f t="shared" si="13"/>
        <v>2.3153221327475517</v>
      </c>
      <c r="C43" s="5">
        <f t="shared" si="14"/>
        <v>39445.564576320467</v>
      </c>
      <c r="D43" s="5">
        <f t="shared" si="15"/>
        <v>38038.676266317561</v>
      </c>
      <c r="E43" s="5">
        <f t="shared" si="1"/>
        <v>28538.676266317561</v>
      </c>
      <c r="F43" s="5">
        <f t="shared" si="2"/>
        <v>9619.6278009526832</v>
      </c>
      <c r="G43" s="5">
        <f t="shared" si="3"/>
        <v>28419.048465364878</v>
      </c>
      <c r="H43" s="22">
        <f t="shared" si="16"/>
        <v>18145.522356963444</v>
      </c>
      <c r="I43" s="5">
        <f t="shared" si="17"/>
        <v>45493.98500326748</v>
      </c>
      <c r="J43" s="26">
        <f t="shared" si="19"/>
        <v>0.16052245937844181</v>
      </c>
      <c r="L43" s="22">
        <f t="shared" si="18"/>
        <v>54193.212804220166</v>
      </c>
      <c r="M43" s="5">
        <f>scrimecost*Meta!O40</f>
        <v>191.60100000000003</v>
      </c>
      <c r="N43" s="5">
        <f>L43-Grade11!L43</f>
        <v>803.47923406198242</v>
      </c>
      <c r="O43" s="5">
        <f>Grade11!M43-M43</f>
        <v>3.8429999999999893</v>
      </c>
      <c r="P43" s="22">
        <f t="shared" si="12"/>
        <v>167.78550581047966</v>
      </c>
      <c r="Q43" s="22"/>
      <c r="R43" s="22"/>
      <c r="S43" s="22">
        <f t="shared" si="20"/>
        <v>606.52744376046678</v>
      </c>
      <c r="T43" s="22">
        <f t="shared" si="21"/>
        <v>827.99167877636194</v>
      </c>
    </row>
    <row r="44" spans="1:20" x14ac:dyDescent="0.2">
      <c r="A44" s="5">
        <v>53</v>
      </c>
      <c r="B44" s="1">
        <f t="shared" si="13"/>
        <v>2.3732051860662402</v>
      </c>
      <c r="C44" s="5">
        <f t="shared" si="14"/>
        <v>40431.703690728471</v>
      </c>
      <c r="D44" s="5">
        <f t="shared" si="15"/>
        <v>38966.633172975497</v>
      </c>
      <c r="E44" s="5">
        <f t="shared" si="1"/>
        <v>29466.633172975497</v>
      </c>
      <c r="F44" s="5">
        <f t="shared" si="2"/>
        <v>9922.6057309765001</v>
      </c>
      <c r="G44" s="5">
        <f t="shared" si="3"/>
        <v>29044.027441998995</v>
      </c>
      <c r="H44" s="22">
        <f t="shared" si="16"/>
        <v>18599.160415887527</v>
      </c>
      <c r="I44" s="5">
        <f t="shared" si="17"/>
        <v>46545.83739334916</v>
      </c>
      <c r="J44" s="26">
        <f t="shared" si="19"/>
        <v>0.16206161773922589</v>
      </c>
      <c r="L44" s="22">
        <f t="shared" si="18"/>
        <v>55548.043124325653</v>
      </c>
      <c r="M44" s="5">
        <f>scrimecost*Meta!O41</f>
        <v>191.60100000000003</v>
      </c>
      <c r="N44" s="5">
        <f>L44-Grade11!L44</f>
        <v>823.56621491350961</v>
      </c>
      <c r="O44" s="5">
        <f>Grade11!M44-M44</f>
        <v>3.8429999999999893</v>
      </c>
      <c r="P44" s="22">
        <f t="shared" si="12"/>
        <v>171.11826304074162</v>
      </c>
      <c r="Q44" s="22"/>
      <c r="R44" s="22"/>
      <c r="S44" s="22">
        <f t="shared" si="20"/>
        <v>620.78057221021606</v>
      </c>
      <c r="T44" s="22">
        <f t="shared" si="21"/>
        <v>855.01904873560056</v>
      </c>
    </row>
    <row r="45" spans="1:20" x14ac:dyDescent="0.2">
      <c r="A45" s="5">
        <v>54</v>
      </c>
      <c r="B45" s="1">
        <f t="shared" si="13"/>
        <v>2.4325353157178964</v>
      </c>
      <c r="C45" s="5">
        <f t="shared" si="14"/>
        <v>41442.496282996683</v>
      </c>
      <c r="D45" s="5">
        <f t="shared" si="15"/>
        <v>39917.789002299884</v>
      </c>
      <c r="E45" s="5">
        <f t="shared" si="1"/>
        <v>30417.789002299884</v>
      </c>
      <c r="F45" s="5">
        <f t="shared" si="2"/>
        <v>10233.158109250911</v>
      </c>
      <c r="G45" s="5">
        <f t="shared" si="3"/>
        <v>29684.630893048972</v>
      </c>
      <c r="H45" s="22">
        <f t="shared" si="16"/>
        <v>19064.139426284717</v>
      </c>
      <c r="I45" s="5">
        <f t="shared" si="17"/>
        <v>47623.986093182888</v>
      </c>
      <c r="J45" s="26">
        <f t="shared" si="19"/>
        <v>0.16356323565218595</v>
      </c>
      <c r="L45" s="22">
        <f t="shared" si="18"/>
        <v>56936.744202433809</v>
      </c>
      <c r="M45" s="5">
        <f>scrimecost*Meta!O42</f>
        <v>191.60100000000003</v>
      </c>
      <c r="N45" s="5">
        <f>L45-Grade11!L45</f>
        <v>844.15537028636754</v>
      </c>
      <c r="O45" s="5">
        <f>Grade11!M45-M45</f>
        <v>3.8429999999999893</v>
      </c>
      <c r="P45" s="22">
        <f t="shared" si="12"/>
        <v>174.53433920176019</v>
      </c>
      <c r="Q45" s="22"/>
      <c r="R45" s="22"/>
      <c r="S45" s="22">
        <f t="shared" si="20"/>
        <v>635.39002887123274</v>
      </c>
      <c r="T45" s="22">
        <f t="shared" si="21"/>
        <v>882.95836685460893</v>
      </c>
    </row>
    <row r="46" spans="1:20" x14ac:dyDescent="0.2">
      <c r="A46" s="5">
        <v>55</v>
      </c>
      <c r="B46" s="1">
        <f t="shared" si="13"/>
        <v>2.4933486986108435</v>
      </c>
      <c r="C46" s="5">
        <f t="shared" si="14"/>
        <v>42478.558690071601</v>
      </c>
      <c r="D46" s="5">
        <f t="shared" si="15"/>
        <v>40892.723727357377</v>
      </c>
      <c r="E46" s="5">
        <f t="shared" si="1"/>
        <v>31392.723727357377</v>
      </c>
      <c r="F46" s="5">
        <f t="shared" si="2"/>
        <v>10551.474296982184</v>
      </c>
      <c r="G46" s="5">
        <f t="shared" si="3"/>
        <v>30341.249430375196</v>
      </c>
      <c r="H46" s="22">
        <f t="shared" si="16"/>
        <v>19540.742911941834</v>
      </c>
      <c r="I46" s="5">
        <f t="shared" si="17"/>
        <v>48729.088510512462</v>
      </c>
      <c r="J46" s="26">
        <f t="shared" si="19"/>
        <v>0.16502822873800063</v>
      </c>
      <c r="L46" s="22">
        <f t="shared" si="18"/>
        <v>58360.162807494642</v>
      </c>
      <c r="M46" s="5">
        <f>scrimecost*Meta!O43</f>
        <v>95.626000000000005</v>
      </c>
      <c r="N46" s="5">
        <f>L46-Grade11!L46</f>
        <v>865.25925454353273</v>
      </c>
      <c r="O46" s="5">
        <f>Grade11!M46-M46</f>
        <v>1.9180000000000064</v>
      </c>
      <c r="P46" s="22">
        <f t="shared" si="12"/>
        <v>178.03581726680417</v>
      </c>
      <c r="Q46" s="22"/>
      <c r="R46" s="22"/>
      <c r="S46" s="22">
        <f t="shared" si="20"/>
        <v>648.53597194876681</v>
      </c>
      <c r="T46" s="22">
        <f t="shared" si="21"/>
        <v>909.27669154396256</v>
      </c>
    </row>
    <row r="47" spans="1:20" x14ac:dyDescent="0.2">
      <c r="A47" s="5">
        <v>56</v>
      </c>
      <c r="B47" s="1">
        <f t="shared" si="13"/>
        <v>2.555682416076114</v>
      </c>
      <c r="C47" s="5">
        <f t="shared" si="14"/>
        <v>43540.522657323381</v>
      </c>
      <c r="D47" s="5">
        <f t="shared" si="15"/>
        <v>41892.031820541306</v>
      </c>
      <c r="E47" s="5">
        <f t="shared" si="1"/>
        <v>32392.031820541306</v>
      </c>
      <c r="F47" s="5">
        <f t="shared" si="2"/>
        <v>10877.748389406737</v>
      </c>
      <c r="G47" s="5">
        <f t="shared" si="3"/>
        <v>31014.283431134569</v>
      </c>
      <c r="H47" s="22">
        <f t="shared" si="16"/>
        <v>20029.261484740375</v>
      </c>
      <c r="I47" s="5">
        <f t="shared" si="17"/>
        <v>49861.818488275261</v>
      </c>
      <c r="J47" s="26">
        <f t="shared" si="19"/>
        <v>0.16645749028513696</v>
      </c>
      <c r="L47" s="22">
        <f t="shared" si="18"/>
        <v>59819.166877682001</v>
      </c>
      <c r="M47" s="5">
        <f>scrimecost*Meta!O44</f>
        <v>95.626000000000005</v>
      </c>
      <c r="N47" s="5">
        <f>L47-Grade11!L47</f>
        <v>886.89073590710177</v>
      </c>
      <c r="O47" s="5">
        <f>Grade11!M47-M47</f>
        <v>1.9180000000000064</v>
      </c>
      <c r="P47" s="22">
        <f t="shared" si="12"/>
        <v>181.62483228347429</v>
      </c>
      <c r="Q47" s="22"/>
      <c r="R47" s="22"/>
      <c r="S47" s="22">
        <f t="shared" si="20"/>
        <v>663.88503235322526</v>
      </c>
      <c r="T47" s="22">
        <f t="shared" si="21"/>
        <v>939.11120770862965</v>
      </c>
    </row>
    <row r="48" spans="1:20" x14ac:dyDescent="0.2">
      <c r="A48" s="5">
        <v>57</v>
      </c>
      <c r="B48" s="1">
        <f t="shared" si="13"/>
        <v>2.6195744764780171</v>
      </c>
      <c r="C48" s="5">
        <f t="shared" si="14"/>
        <v>44629.035723756468</v>
      </c>
      <c r="D48" s="5">
        <f t="shared" si="15"/>
        <v>42916.322616054837</v>
      </c>
      <c r="E48" s="5">
        <f t="shared" si="1"/>
        <v>33416.322616054837</v>
      </c>
      <c r="F48" s="5">
        <f t="shared" si="2"/>
        <v>11212.179334141903</v>
      </c>
      <c r="G48" s="5">
        <f t="shared" si="3"/>
        <v>31704.143281912933</v>
      </c>
      <c r="H48" s="22">
        <f t="shared" si="16"/>
        <v>20529.993021858889</v>
      </c>
      <c r="I48" s="5">
        <f t="shared" si="17"/>
        <v>51022.866715482145</v>
      </c>
      <c r="J48" s="26">
        <f t="shared" si="19"/>
        <v>0.16785189179453816</v>
      </c>
      <c r="L48" s="22">
        <f t="shared" si="18"/>
        <v>61314.646049624054</v>
      </c>
      <c r="M48" s="5">
        <f>scrimecost*Meta!O45</f>
        <v>95.626000000000005</v>
      </c>
      <c r="N48" s="5">
        <f>L48-Grade11!L48</f>
        <v>909.06300430478586</v>
      </c>
      <c r="O48" s="5">
        <f>Grade11!M48-M48</f>
        <v>1.9180000000000064</v>
      </c>
      <c r="P48" s="22">
        <f t="shared" si="12"/>
        <v>185.3035726755611</v>
      </c>
      <c r="Q48" s="22"/>
      <c r="R48" s="22"/>
      <c r="S48" s="22">
        <f t="shared" si="20"/>
        <v>679.61781926780952</v>
      </c>
      <c r="T48" s="22">
        <f t="shared" si="21"/>
        <v>969.95382765897352</v>
      </c>
    </row>
    <row r="49" spans="1:20" x14ac:dyDescent="0.2">
      <c r="A49" s="5">
        <v>58</v>
      </c>
      <c r="B49" s="1">
        <f t="shared" si="13"/>
        <v>2.6850638383899672</v>
      </c>
      <c r="C49" s="5">
        <f t="shared" si="14"/>
        <v>45744.761616850381</v>
      </c>
      <c r="D49" s="5">
        <f t="shared" si="15"/>
        <v>43966.220681456216</v>
      </c>
      <c r="E49" s="5">
        <f t="shared" si="1"/>
        <v>34466.220681456216</v>
      </c>
      <c r="F49" s="5">
        <f t="shared" si="2"/>
        <v>11554.971052495453</v>
      </c>
      <c r="G49" s="5">
        <f t="shared" si="3"/>
        <v>32411.249628960762</v>
      </c>
      <c r="H49" s="22">
        <f t="shared" si="16"/>
        <v>21043.242847405356</v>
      </c>
      <c r="I49" s="5">
        <f t="shared" si="17"/>
        <v>52212.941148369202</v>
      </c>
      <c r="J49" s="26">
        <f t="shared" si="19"/>
        <v>0.16921228351102727</v>
      </c>
      <c r="L49" s="22">
        <f t="shared" si="18"/>
        <v>62847.51220086465</v>
      </c>
      <c r="M49" s="5">
        <f>scrimecost*Meta!O46</f>
        <v>95.626000000000005</v>
      </c>
      <c r="N49" s="5">
        <f>L49-Grade11!L49</f>
        <v>931.78957941240515</v>
      </c>
      <c r="O49" s="5">
        <f>Grade11!M49-M49</f>
        <v>1.9180000000000064</v>
      </c>
      <c r="P49" s="22">
        <f t="shared" si="12"/>
        <v>189.07428157745019</v>
      </c>
      <c r="Q49" s="22"/>
      <c r="R49" s="22"/>
      <c r="S49" s="22">
        <f t="shared" si="20"/>
        <v>695.74392585525459</v>
      </c>
      <c r="T49" s="22">
        <f t="shared" si="21"/>
        <v>1001.8388865502443</v>
      </c>
    </row>
    <row r="50" spans="1:20" x14ac:dyDescent="0.2">
      <c r="A50" s="5">
        <v>59</v>
      </c>
      <c r="B50" s="1">
        <f t="shared" si="13"/>
        <v>2.7521904343497163</v>
      </c>
      <c r="C50" s="5">
        <f t="shared" si="14"/>
        <v>46888.380657271635</v>
      </c>
      <c r="D50" s="5">
        <f t="shared" si="15"/>
        <v>45042.366198492615</v>
      </c>
      <c r="E50" s="5">
        <f t="shared" si="1"/>
        <v>35542.366198492615</v>
      </c>
      <c r="F50" s="5">
        <f t="shared" si="2"/>
        <v>12010.5691836571</v>
      </c>
      <c r="G50" s="5">
        <f t="shared" si="3"/>
        <v>33031.797014835516</v>
      </c>
      <c r="H50" s="22">
        <f t="shared" si="16"/>
        <v>21569.323918590489</v>
      </c>
      <c r="I50" s="5">
        <f t="shared" si="17"/>
        <v>53328.530822229164</v>
      </c>
      <c r="J50" s="26">
        <f t="shared" si="19"/>
        <v>0.17215760613989006</v>
      </c>
      <c r="L50" s="22">
        <f t="shared" si="18"/>
        <v>64418.700005886261</v>
      </c>
      <c r="M50" s="5">
        <f>scrimecost*Meta!O47</f>
        <v>95.626000000000005</v>
      </c>
      <c r="N50" s="5">
        <f>L50-Grade11!L50</f>
        <v>955.084318897716</v>
      </c>
      <c r="O50" s="5">
        <f>Grade11!M50-M50</f>
        <v>1.9180000000000064</v>
      </c>
      <c r="P50" s="22">
        <f t="shared" si="12"/>
        <v>194.08586102022829</v>
      </c>
      <c r="Q50" s="22"/>
      <c r="R50" s="22"/>
      <c r="S50" s="22">
        <f t="shared" si="20"/>
        <v>713.36245778481123</v>
      </c>
      <c r="T50" s="22">
        <f t="shared" si="21"/>
        <v>1036.3844042071862</v>
      </c>
    </row>
    <row r="51" spans="1:20" x14ac:dyDescent="0.2">
      <c r="A51" s="5">
        <v>60</v>
      </c>
      <c r="B51" s="1">
        <f t="shared" si="13"/>
        <v>2.8209951952084591</v>
      </c>
      <c r="C51" s="5">
        <f t="shared" si="14"/>
        <v>48060.590173703422</v>
      </c>
      <c r="D51" s="5">
        <f t="shared" si="15"/>
        <v>46145.415353454926</v>
      </c>
      <c r="E51" s="5">
        <f t="shared" si="1"/>
        <v>36645.415353454926</v>
      </c>
      <c r="F51" s="5">
        <f t="shared" si="2"/>
        <v>12481.019648248526</v>
      </c>
      <c r="G51" s="5">
        <f t="shared" si="3"/>
        <v>33664.3957052064</v>
      </c>
      <c r="H51" s="22">
        <f t="shared" si="16"/>
        <v>22108.557016555249</v>
      </c>
      <c r="I51" s="5">
        <f t="shared" si="17"/>
        <v>54468.547857784892</v>
      </c>
      <c r="J51" s="26">
        <f t="shared" si="19"/>
        <v>0.17508352876313601</v>
      </c>
      <c r="L51" s="22">
        <f t="shared" si="18"/>
        <v>66029.167506033409</v>
      </c>
      <c r="M51" s="5">
        <f>scrimecost*Meta!O48</f>
        <v>47.813000000000002</v>
      </c>
      <c r="N51" s="5">
        <f>L51-Grade11!L51</f>
        <v>978.96142687014071</v>
      </c>
      <c r="O51" s="5">
        <f>Grade11!M51-M51</f>
        <v>0.95900000000000318</v>
      </c>
      <c r="P51" s="22">
        <f t="shared" si="12"/>
        <v>199.26081613073396</v>
      </c>
      <c r="Q51" s="22"/>
      <c r="R51" s="22"/>
      <c r="S51" s="22">
        <f t="shared" si="20"/>
        <v>730.54658488517123</v>
      </c>
      <c r="T51" s="22">
        <f t="shared" si="21"/>
        <v>1070.830398942089</v>
      </c>
    </row>
    <row r="52" spans="1:20" x14ac:dyDescent="0.2">
      <c r="A52" s="5">
        <v>61</v>
      </c>
      <c r="B52" s="1">
        <f t="shared" si="13"/>
        <v>2.8915200750886707</v>
      </c>
      <c r="C52" s="5">
        <f t="shared" si="14"/>
        <v>49262.104928046014</v>
      </c>
      <c r="D52" s="5">
        <f t="shared" si="15"/>
        <v>47276.040737291303</v>
      </c>
      <c r="E52" s="5">
        <f t="shared" si="1"/>
        <v>37776.040737291303</v>
      </c>
      <c r="F52" s="5">
        <f t="shared" si="2"/>
        <v>12963.231374454739</v>
      </c>
      <c r="G52" s="5">
        <f t="shared" si="3"/>
        <v>34312.80936283656</v>
      </c>
      <c r="H52" s="22">
        <f t="shared" si="16"/>
        <v>22661.270941969135</v>
      </c>
      <c r="I52" s="5">
        <f t="shared" si="17"/>
        <v>55637.065319229514</v>
      </c>
      <c r="J52" s="26">
        <f t="shared" si="19"/>
        <v>0.17793808741996128</v>
      </c>
      <c r="L52" s="22">
        <f t="shared" si="18"/>
        <v>67679.896693684248</v>
      </c>
      <c r="M52" s="5">
        <f>scrimecost*Meta!O49</f>
        <v>47.813000000000002</v>
      </c>
      <c r="N52" s="5">
        <f>L52-Grade11!L52</f>
        <v>1003.4354625419219</v>
      </c>
      <c r="O52" s="5">
        <f>Grade11!M52-M52</f>
        <v>0.95900000000000318</v>
      </c>
      <c r="P52" s="22">
        <f t="shared" si="12"/>
        <v>204.56514511900227</v>
      </c>
      <c r="Q52" s="22"/>
      <c r="R52" s="22"/>
      <c r="S52" s="22">
        <f t="shared" si="20"/>
        <v>749.09414141306581</v>
      </c>
      <c r="T52" s="22">
        <f t="shared" si="21"/>
        <v>1107.8254418636443</v>
      </c>
    </row>
    <row r="53" spans="1:20" x14ac:dyDescent="0.2">
      <c r="A53" s="5">
        <v>62</v>
      </c>
      <c r="B53" s="1">
        <f t="shared" si="13"/>
        <v>2.9638080769658868</v>
      </c>
      <c r="C53" s="5">
        <f t="shared" si="14"/>
        <v>50493.657551247146</v>
      </c>
      <c r="D53" s="5">
        <f t="shared" si="15"/>
        <v>48434.93175572357</v>
      </c>
      <c r="E53" s="5">
        <f t="shared" si="1"/>
        <v>38934.93175572357</v>
      </c>
      <c r="F53" s="5">
        <f t="shared" si="2"/>
        <v>13457.498393816102</v>
      </c>
      <c r="G53" s="5">
        <f t="shared" si="3"/>
        <v>34977.433361907468</v>
      </c>
      <c r="H53" s="22">
        <f t="shared" si="16"/>
        <v>23227.802715518355</v>
      </c>
      <c r="I53" s="5">
        <f t="shared" si="17"/>
        <v>56834.795717210247</v>
      </c>
      <c r="J53" s="26">
        <f t="shared" si="19"/>
        <v>0.18072302269491283</v>
      </c>
      <c r="L53" s="22">
        <f t="shared" si="18"/>
        <v>69371.89411102634</v>
      </c>
      <c r="M53" s="5">
        <f>scrimecost*Meta!O50</f>
        <v>47.813000000000002</v>
      </c>
      <c r="N53" s="5">
        <f>L53-Grade11!L53</f>
        <v>1028.5213491054456</v>
      </c>
      <c r="O53" s="5">
        <f>Grade11!M53-M53</f>
        <v>0.95900000000000318</v>
      </c>
      <c r="P53" s="22">
        <f t="shared" si="12"/>
        <v>210.00208233197731</v>
      </c>
      <c r="Q53" s="22"/>
      <c r="R53" s="22"/>
      <c r="S53" s="22">
        <f t="shared" si="20"/>
        <v>768.10538685412894</v>
      </c>
      <c r="T53" s="22">
        <f t="shared" si="21"/>
        <v>1146.0878348640672</v>
      </c>
    </row>
    <row r="54" spans="1:20" x14ac:dyDescent="0.2">
      <c r="A54" s="5">
        <v>63</v>
      </c>
      <c r="B54" s="1">
        <f t="shared" si="13"/>
        <v>3.0379032788900342</v>
      </c>
      <c r="C54" s="5">
        <f t="shared" si="14"/>
        <v>51755.998990028333</v>
      </c>
      <c r="D54" s="5">
        <f t="shared" si="15"/>
        <v>49622.795049616667</v>
      </c>
      <c r="E54" s="5">
        <f t="shared" si="1"/>
        <v>40122.795049616667</v>
      </c>
      <c r="F54" s="5">
        <f t="shared" si="2"/>
        <v>13964.122088661508</v>
      </c>
      <c r="G54" s="5">
        <f t="shared" si="3"/>
        <v>35658.672960955155</v>
      </c>
      <c r="H54" s="22">
        <f t="shared" si="16"/>
        <v>23808.497783406314</v>
      </c>
      <c r="I54" s="5">
        <f t="shared" si="17"/>
        <v>58062.469375140499</v>
      </c>
      <c r="J54" s="26">
        <f t="shared" si="19"/>
        <v>0.1834400327192558</v>
      </c>
      <c r="L54" s="22">
        <f t="shared" si="18"/>
        <v>71106.19146380201</v>
      </c>
      <c r="M54" s="5">
        <f>scrimecost*Meta!O51</f>
        <v>47.813000000000002</v>
      </c>
      <c r="N54" s="5">
        <f>L54-Grade11!L54</f>
        <v>1054.2343828331068</v>
      </c>
      <c r="O54" s="5">
        <f>Grade11!M54-M54</f>
        <v>0.95900000000000318</v>
      </c>
      <c r="P54" s="22">
        <f t="shared" si="12"/>
        <v>215.5749429752768</v>
      </c>
      <c r="Q54" s="22"/>
      <c r="R54" s="22"/>
      <c r="S54" s="22">
        <f t="shared" si="20"/>
        <v>787.59191343124633</v>
      </c>
      <c r="T54" s="22">
        <f t="shared" si="21"/>
        <v>1185.6608989530712</v>
      </c>
    </row>
    <row r="55" spans="1:20" x14ac:dyDescent="0.2">
      <c r="A55" s="5">
        <v>64</v>
      </c>
      <c r="B55" s="1">
        <f t="shared" si="13"/>
        <v>3.1138508608622844</v>
      </c>
      <c r="C55" s="5">
        <f t="shared" si="14"/>
        <v>53049.898964779029</v>
      </c>
      <c r="D55" s="5">
        <f t="shared" si="15"/>
        <v>50840.354925857071</v>
      </c>
      <c r="E55" s="5">
        <f t="shared" si="1"/>
        <v>41340.354925857071</v>
      </c>
      <c r="F55" s="5">
        <f t="shared" si="2"/>
        <v>14483.41137587804</v>
      </c>
      <c r="G55" s="5">
        <f t="shared" si="3"/>
        <v>36356.943549979027</v>
      </c>
      <c r="H55" s="22">
        <f t="shared" si="16"/>
        <v>24403.710227991469</v>
      </c>
      <c r="I55" s="5">
        <f t="shared" si="17"/>
        <v>59320.834874519001</v>
      </c>
      <c r="J55" s="26">
        <f t="shared" si="19"/>
        <v>0.18609077420641965</v>
      </c>
      <c r="L55" s="22">
        <f t="shared" si="18"/>
        <v>72883.846250397037</v>
      </c>
      <c r="M55" s="5">
        <f>scrimecost*Meta!O52</f>
        <v>47.813000000000002</v>
      </c>
      <c r="N55" s="5">
        <f>L55-Grade11!L55</f>
        <v>1080.5902424038941</v>
      </c>
      <c r="O55" s="5">
        <f>Grade11!M55-M55</f>
        <v>0.95900000000000318</v>
      </c>
      <c r="P55" s="22">
        <f t="shared" si="12"/>
        <v>221.28712513465865</v>
      </c>
      <c r="Q55" s="22"/>
      <c r="R55" s="22"/>
      <c r="S55" s="22">
        <f t="shared" si="20"/>
        <v>807.56560317275512</v>
      </c>
      <c r="T55" s="22">
        <f t="shared" si="21"/>
        <v>1226.5894351084332</v>
      </c>
    </row>
    <row r="56" spans="1:20" x14ac:dyDescent="0.2">
      <c r="A56" s="5">
        <v>65</v>
      </c>
      <c r="B56" s="1">
        <f t="shared" si="13"/>
        <v>3.1916971323838421</v>
      </c>
      <c r="C56" s="5">
        <f t="shared" si="14"/>
        <v>54376.146438898511</v>
      </c>
      <c r="D56" s="5">
        <f t="shared" si="15"/>
        <v>52088.353799003504</v>
      </c>
      <c r="E56" s="5">
        <f t="shared" si="1"/>
        <v>42588.353799003504</v>
      </c>
      <c r="F56" s="5">
        <f t="shared" si="2"/>
        <v>15015.682895274995</v>
      </c>
      <c r="G56" s="5">
        <f t="shared" si="3"/>
        <v>37072.670903728511</v>
      </c>
      <c r="H56" s="22">
        <f t="shared" si="16"/>
        <v>25013.802983691257</v>
      </c>
      <c r="I56" s="5">
        <f t="shared" si="17"/>
        <v>60610.659511381986</v>
      </c>
      <c r="J56" s="26">
        <f t="shared" si="19"/>
        <v>0.18867686346218929</v>
      </c>
      <c r="L56" s="22">
        <f t="shared" si="18"/>
        <v>74705.942406656977</v>
      </c>
      <c r="M56" s="5">
        <f>scrimecost*Meta!O53</f>
        <v>13.262</v>
      </c>
      <c r="N56" s="5">
        <f>L56-Grade11!L56</f>
        <v>1107.6049984640267</v>
      </c>
      <c r="O56" s="5">
        <f>Grade11!M56-M56</f>
        <v>0.26600000000000001</v>
      </c>
      <c r="P56" s="22">
        <f t="shared" si="12"/>
        <v>227.14211184802514</v>
      </c>
      <c r="Q56" s="22"/>
      <c r="R56" s="22"/>
      <c r="S56" s="22">
        <f t="shared" si="20"/>
        <v>827.38028515784333</v>
      </c>
      <c r="T56" s="22">
        <f t="shared" si="21"/>
        <v>1267.9108927569489</v>
      </c>
    </row>
    <row r="57" spans="1:20" x14ac:dyDescent="0.2">
      <c r="A57" s="5">
        <v>66</v>
      </c>
      <c r="C57" s="5"/>
      <c r="H57" s="21"/>
      <c r="I57" s="5"/>
      <c r="M57" s="5">
        <f>scrimecost*Meta!O54</f>
        <v>13.262</v>
      </c>
      <c r="N57" s="5">
        <f>L57-Grade11!L57</f>
        <v>0</v>
      </c>
      <c r="O57" s="5">
        <f>Grade11!M57-M57</f>
        <v>0.26600000000000001</v>
      </c>
      <c r="Q57" s="22"/>
      <c r="R57" s="22"/>
      <c r="S57" s="22">
        <f t="shared" si="20"/>
        <v>0.25269999999999998</v>
      </c>
      <c r="T57" s="22">
        <f t="shared" si="21"/>
        <v>0.39070679481534637</v>
      </c>
    </row>
    <row r="58" spans="1:20" x14ac:dyDescent="0.2">
      <c r="A58" s="5">
        <v>67</v>
      </c>
      <c r="C58" s="5"/>
      <c r="H58" s="21"/>
      <c r="I58" s="5"/>
      <c r="M58" s="5">
        <f>scrimecost*Meta!O55</f>
        <v>13.262</v>
      </c>
      <c r="N58" s="5">
        <f>L58-Grade11!L58</f>
        <v>0</v>
      </c>
      <c r="O58" s="5">
        <f>Grade11!M58-M58</f>
        <v>0.26600000000000001</v>
      </c>
      <c r="Q58" s="22"/>
      <c r="R58" s="22"/>
      <c r="S58" s="22">
        <f t="shared" si="20"/>
        <v>0.25269999999999998</v>
      </c>
      <c r="T58" s="22">
        <f t="shared" si="21"/>
        <v>0.39419682476630324</v>
      </c>
    </row>
    <row r="59" spans="1:20" x14ac:dyDescent="0.2">
      <c r="A59" s="5">
        <v>68</v>
      </c>
      <c r="H59" s="21"/>
      <c r="I59" s="5"/>
      <c r="M59" s="5">
        <f>scrimecost*Meta!O56</f>
        <v>13.262</v>
      </c>
      <c r="N59" s="5">
        <f>L59-Grade11!L59</f>
        <v>0</v>
      </c>
      <c r="O59" s="5">
        <f>Grade11!M59-M59</f>
        <v>0.26600000000000001</v>
      </c>
      <c r="Q59" s="22"/>
      <c r="R59" s="22"/>
      <c r="S59" s="22">
        <f t="shared" si="20"/>
        <v>0.25269999999999998</v>
      </c>
      <c r="T59" s="22">
        <f t="shared" si="21"/>
        <v>0.39771802978055615</v>
      </c>
    </row>
    <row r="60" spans="1:20" x14ac:dyDescent="0.2">
      <c r="A60" s="5">
        <v>69</v>
      </c>
      <c r="H60" s="21"/>
      <c r="I60" s="5"/>
      <c r="M60" s="5">
        <f>scrimecost*Meta!O57</f>
        <v>13.262</v>
      </c>
      <c r="N60" s="5">
        <f>L60-Grade11!L60</f>
        <v>0</v>
      </c>
      <c r="O60" s="5">
        <f>Grade11!M60-M60</f>
        <v>0.26600000000000001</v>
      </c>
      <c r="Q60" s="22"/>
      <c r="R60" s="22"/>
      <c r="S60" s="22">
        <f t="shared" si="20"/>
        <v>0.25269999999999998</v>
      </c>
      <c r="T60" s="22">
        <f t="shared" si="21"/>
        <v>0.40127068833266999</v>
      </c>
    </row>
    <row r="61" spans="1:20" x14ac:dyDescent="0.2">
      <c r="A61" s="5">
        <v>70</v>
      </c>
      <c r="H61" s="21"/>
      <c r="I61" s="5"/>
      <c r="M61" s="5">
        <f>scrimecost*Meta!O58</f>
        <v>13.262</v>
      </c>
      <c r="N61" s="5">
        <f>L61-Grade11!L61</f>
        <v>0</v>
      </c>
      <c r="O61" s="5">
        <f>Grade11!M61-M61</f>
        <v>0.26600000000000001</v>
      </c>
      <c r="Q61" s="22"/>
      <c r="R61" s="22"/>
      <c r="S61" s="22">
        <f t="shared" si="20"/>
        <v>0.25269999999999998</v>
      </c>
      <c r="T61" s="22">
        <f t="shared" si="21"/>
        <v>0.40485508138471293</v>
      </c>
    </row>
    <row r="62" spans="1:20" x14ac:dyDescent="0.2">
      <c r="A62" s="5">
        <v>71</v>
      </c>
      <c r="H62" s="21"/>
      <c r="I62" s="5"/>
      <c r="M62" s="5">
        <f>scrimecost*Meta!O59</f>
        <v>13.262</v>
      </c>
      <c r="N62" s="5">
        <f>L62-Grade11!L62</f>
        <v>0</v>
      </c>
      <c r="O62" s="5">
        <f>Grade11!M62-M62</f>
        <v>0.26600000000000001</v>
      </c>
      <c r="Q62" s="22"/>
      <c r="R62" s="22"/>
      <c r="S62" s="22">
        <f t="shared" si="20"/>
        <v>0.25269999999999998</v>
      </c>
      <c r="T62" s="22">
        <f t="shared" si="21"/>
        <v>0.40847149240847697</v>
      </c>
    </row>
    <row r="63" spans="1:20" x14ac:dyDescent="0.2">
      <c r="A63" s="5">
        <v>72</v>
      </c>
      <c r="H63" s="21"/>
      <c r="M63" s="5">
        <f>scrimecost*Meta!O60</f>
        <v>13.262</v>
      </c>
      <c r="N63" s="5">
        <f>L63-Grade11!L63</f>
        <v>0</v>
      </c>
      <c r="O63" s="5">
        <f>Grade11!M63-M63</f>
        <v>0.26600000000000001</v>
      </c>
      <c r="Q63" s="22"/>
      <c r="R63" s="22"/>
      <c r="S63" s="22">
        <f t="shared" si="20"/>
        <v>0.25269999999999998</v>
      </c>
      <c r="T63" s="22">
        <f t="shared" si="21"/>
        <v>0.4121202074078959</v>
      </c>
    </row>
    <row r="64" spans="1:20" x14ac:dyDescent="0.2">
      <c r="A64" s="5">
        <v>73</v>
      </c>
      <c r="H64" s="21"/>
      <c r="M64" s="5">
        <f>scrimecost*Meta!O61</f>
        <v>13.262</v>
      </c>
      <c r="N64" s="5">
        <f>L64-Grade11!L64</f>
        <v>0</v>
      </c>
      <c r="O64" s="5">
        <f>Grade11!M64-M64</f>
        <v>0.26600000000000001</v>
      </c>
      <c r="Q64" s="22"/>
      <c r="R64" s="22"/>
      <c r="S64" s="22">
        <f t="shared" si="20"/>
        <v>0.25269999999999998</v>
      </c>
      <c r="T64" s="22">
        <f t="shared" si="21"/>
        <v>0.41580151494166395</v>
      </c>
    </row>
    <row r="65" spans="1:20" x14ac:dyDescent="0.2">
      <c r="A65" s="5">
        <v>74</v>
      </c>
      <c r="H65" s="21"/>
      <c r="M65" s="5">
        <f>scrimecost*Meta!O62</f>
        <v>13.262</v>
      </c>
      <c r="N65" s="5">
        <f>L65-Grade11!L65</f>
        <v>0</v>
      </c>
      <c r="O65" s="5">
        <f>Grade11!M65-M65</f>
        <v>0.26600000000000001</v>
      </c>
      <c r="Q65" s="22"/>
      <c r="R65" s="22"/>
      <c r="S65" s="22">
        <f t="shared" si="20"/>
        <v>0.25269999999999998</v>
      </c>
      <c r="T65" s="22">
        <f t="shared" si="21"/>
        <v>0.41951570614605677</v>
      </c>
    </row>
    <row r="66" spans="1:20" x14ac:dyDescent="0.2">
      <c r="A66" s="5">
        <v>75</v>
      </c>
      <c r="H66" s="21"/>
      <c r="M66" s="5">
        <f>scrimecost*Meta!O63</f>
        <v>13.262</v>
      </c>
      <c r="N66" s="5">
        <f>L66-Grade11!L66</f>
        <v>0</v>
      </c>
      <c r="O66" s="5">
        <f>Grade11!M66-M66</f>
        <v>0.26600000000000001</v>
      </c>
      <c r="Q66" s="22"/>
      <c r="R66" s="22"/>
      <c r="S66" s="22">
        <f t="shared" si="20"/>
        <v>0.25269999999999998</v>
      </c>
      <c r="T66" s="22">
        <f t="shared" si="21"/>
        <v>0.42326307475795538</v>
      </c>
    </row>
    <row r="67" spans="1:20" x14ac:dyDescent="0.2">
      <c r="A67" s="5">
        <v>76</v>
      </c>
      <c r="H67" s="21"/>
      <c r="M67" s="5">
        <f>scrimecost*Meta!O64</f>
        <v>13.262</v>
      </c>
      <c r="N67" s="5">
        <f>L67-Grade11!L67</f>
        <v>0</v>
      </c>
      <c r="O67" s="5">
        <f>Grade11!M67-M67</f>
        <v>0.26600000000000001</v>
      </c>
      <c r="Q67" s="22"/>
      <c r="R67" s="22"/>
      <c r="S67" s="22">
        <f t="shared" si="20"/>
        <v>0.25269999999999998</v>
      </c>
      <c r="T67" s="22">
        <f t="shared" si="21"/>
        <v>0.4270439171380771</v>
      </c>
    </row>
    <row r="68" spans="1:20" x14ac:dyDescent="0.2">
      <c r="A68" s="5">
        <v>77</v>
      </c>
      <c r="H68" s="21"/>
      <c r="M68" s="5">
        <f>scrimecost*Meta!O65</f>
        <v>13.262</v>
      </c>
      <c r="N68" s="5">
        <f>L68-Grade11!L68</f>
        <v>0</v>
      </c>
      <c r="O68" s="5">
        <f>Grade11!M68-M68</f>
        <v>0.26600000000000001</v>
      </c>
      <c r="Q68" s="22"/>
      <c r="R68" s="22"/>
      <c r="S68" s="22">
        <f t="shared" si="20"/>
        <v>0.25269999999999998</v>
      </c>
      <c r="T68" s="22">
        <f t="shared" si="21"/>
        <v>0.43085853229441246</v>
      </c>
    </row>
    <row r="69" spans="1:20" x14ac:dyDescent="0.2">
      <c r="A69" s="5">
        <v>78</v>
      </c>
      <c r="H69" s="21"/>
      <c r="M69" s="5">
        <f>scrimecost*Meta!O66</f>
        <v>13.262</v>
      </c>
      <c r="N69" s="5">
        <f>L69-Grade11!L69</f>
        <v>0</v>
      </c>
      <c r="O69" s="5">
        <f>Grade11!M69-M69</f>
        <v>0.26600000000000001</v>
      </c>
      <c r="Q69" s="22"/>
      <c r="R69" s="22"/>
      <c r="S69" s="22">
        <f t="shared" si="20"/>
        <v>0.25269999999999998</v>
      </c>
      <c r="T69" s="22">
        <f t="shared" si="21"/>
        <v>0.43470722190587296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-1.4174272866540605E-11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N10" sqref="N10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Meta!A7+6</f>
        <v>19</v>
      </c>
      <c r="C2" s="7">
        <f>Meta!B7</f>
        <v>33585</v>
      </c>
      <c r="D2" s="7">
        <f>Meta!C7</f>
        <v>15366</v>
      </c>
      <c r="E2" s="1">
        <f>Meta!D7</f>
        <v>5.7000000000000002E-2</v>
      </c>
      <c r="F2" s="1">
        <f>Meta!F7</f>
        <v>0.58799999999999997</v>
      </c>
      <c r="G2" s="1">
        <f>Meta!I7</f>
        <v>1.8652741552202943</v>
      </c>
      <c r="H2" s="1">
        <f>Meta!E7</f>
        <v>0.64800000000000002</v>
      </c>
      <c r="I2" s="13"/>
      <c r="J2" s="1">
        <f>Meta!X6</f>
        <v>0.58099999999999996</v>
      </c>
      <c r="K2" s="1">
        <f>Meta!D6</f>
        <v>5.8999999999999997E-2</v>
      </c>
      <c r="L2" s="29"/>
      <c r="N2" s="22">
        <f>Meta!T7</f>
        <v>32941</v>
      </c>
      <c r="O2" s="22">
        <f>Meta!U7</f>
        <v>15108</v>
      </c>
      <c r="P2" s="1">
        <f>Meta!V7</f>
        <v>5.8000000000000003E-2</v>
      </c>
      <c r="Q2" s="1">
        <f>Meta!X7</f>
        <v>0.58399999999999996</v>
      </c>
      <c r="R2" s="22">
        <f>Meta!W7</f>
        <v>346</v>
      </c>
      <c r="T2" s="12">
        <f>IRR(S5:S69)+1</f>
        <v>0.96693066865678878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B9" s="1">
        <v>1</v>
      </c>
      <c r="C9" s="5">
        <f>0.1*Grade12!C9</f>
        <v>1703.6750099871035</v>
      </c>
      <c r="D9" s="5">
        <f t="shared" ref="D9:D36" si="0">IF(A9&lt;startage,1,0)*(C9*(1-initialunempprob))+IF(A9=startage,1,0)*(C9*(1-unempprob))+IF(A9&gt;startage,1,0)*(C9*(1-unempprob)+unempprob*300*52)</f>
        <v>1603.1581843978645</v>
      </c>
      <c r="E9" s="5">
        <f t="shared" ref="E9:E56" si="1">IF(D9-9500&gt;0,1,0)*(D9-9500)</f>
        <v>0</v>
      </c>
      <c r="F9" s="5">
        <f t="shared" ref="F9:F56" si="2">IF(E9&lt;=8500,1,0)*(0.1*E9+0.1*E9+0.0765*D9)+IF(AND(E9&gt;8500,E9&lt;=34500),1,0)*(850+0.15*(E9-8500)+0.1*E9+0.0765*D9)+IF(AND(E9&gt;34500,E9&lt;=83600),1,0)*(4750+0.25*(E9-34500)+0.1*E9+0.0765*D9)+IF(AND(E9&gt;83600,E9&lt;=174400,D9&lt;=106800),1,0)*(17025+0.28*(E9-83600)+0.1*E9+0.0765*D9)+IF(AND(E9&gt;83600,E9&lt;=174400,D9&gt;106800),1,0)*(17025+0.28*(E9-83600)+0.1*E9+8170.2+0.0145*(D9-106800))+IF(AND(E9&gt;174400,E9&lt;=379150),1,0)*(42449+0.33*(E9-174400)+0.1*E9+8170.2+0.0145*(D9-106800))+IF(E9&gt;379150,1,0)*(110016.5+0.35*(E9-379150)+0.1*E9+8170.2+0.0145*(D9-106800))</f>
        <v>122.64160110643662</v>
      </c>
      <c r="G9" s="5">
        <f t="shared" ref="G9:G56" si="3">D9-F9</f>
        <v>1480.5165832914279</v>
      </c>
      <c r="H9" s="22">
        <f>0.1*Grade12!H9</f>
        <v>783.71480582835693</v>
      </c>
      <c r="I9" s="5">
        <f t="shared" ref="I9:I36" si="4">G9+IF(A9&lt;startage,1,0)*(H9*(1-initialunempprob))+IF(A9&gt;=startage,1,0)*(H9*(1-unempprob))</f>
        <v>2217.9922155759118</v>
      </c>
      <c r="J9" s="26">
        <f t="shared" ref="J9:J56" si="5">(F9-(IF(A9&gt;startage,1,0)*(unempprob*300*52)))/(IF(A9&lt;startage,1,0)*((C9+H9)*(1-initialunempprob))+IF(A9&gt;=startage,1,0)*((C9+H9)*(1-unempprob)))</f>
        <v>5.239674836462492E-2</v>
      </c>
      <c r="L9" s="22">
        <f>0.1*Grade12!L9</f>
        <v>2340.633816682348</v>
      </c>
      <c r="M9" s="5">
        <f>scrimecost*Meta!O6</f>
        <v>1170.518</v>
      </c>
      <c r="N9" s="5">
        <f>L9-Grade12!L9</f>
        <v>-21065.704350141132</v>
      </c>
      <c r="O9" s="5"/>
      <c r="P9" s="22"/>
      <c r="Q9" s="22">
        <f>0.05*feel*Grade12!G9</f>
        <v>188.98389249765972</v>
      </c>
      <c r="R9" s="22">
        <f>coltuition</f>
        <v>8279</v>
      </c>
      <c r="S9" s="22">
        <f t="shared" ref="S9:S40" si="6">IF(A9&lt;startage,1,0)*(N9-Q9-R9)+IF(A9&gt;=startage,1,0)*completionprob*(N9*spart+O9+P9)</f>
        <v>-29533.688242638793</v>
      </c>
      <c r="T9" s="22">
        <f t="shared" ref="T9:T40" si="7">S9/sreturn^(A9-startage+1)</f>
        <v>-29533.688242638793</v>
      </c>
    </row>
    <row r="10" spans="1:20" x14ac:dyDescent="0.2">
      <c r="A10" s="5">
        <v>19</v>
      </c>
      <c r="B10" s="1">
        <f t="shared" ref="B10:B36" si="8">(1+experiencepremium)^(A10-startage)</f>
        <v>1</v>
      </c>
      <c r="C10" s="5">
        <f t="shared" ref="C10:C36" si="9">pretaxincome*B10/expnorm</f>
        <v>18005.396100088845</v>
      </c>
      <c r="D10" s="5">
        <f t="shared" si="0"/>
        <v>16979.088522383779</v>
      </c>
      <c r="E10" s="5">
        <f t="shared" si="1"/>
        <v>7479.0885223837795</v>
      </c>
      <c r="F10" s="5">
        <f t="shared" si="2"/>
        <v>2794.7179764391149</v>
      </c>
      <c r="G10" s="5">
        <f t="shared" si="3"/>
        <v>14184.370545944665</v>
      </c>
      <c r="H10" s="22">
        <f t="shared" ref="H10:H36" si="10">benefits*B10/expnorm</f>
        <v>8237.9311143059458</v>
      </c>
      <c r="I10" s="5">
        <f t="shared" si="4"/>
        <v>21952.739586735173</v>
      </c>
      <c r="J10" s="26">
        <f t="shared" si="5"/>
        <v>0.11292949868910269</v>
      </c>
      <c r="L10" s="22">
        <f t="shared" ref="L10:L36" si="11">(sincome+sbenefits)*(1-sunemp)*B10/expnorm</f>
        <v>24265.686560512284</v>
      </c>
      <c r="M10" s="5">
        <f>scrimecost*Meta!O7</f>
        <v>1259.7860000000001</v>
      </c>
      <c r="N10" s="5">
        <f>L10-Grade12!L10</f>
        <v>274.18993951821903</v>
      </c>
      <c r="O10" s="5">
        <f>Grade12!M10-M10</f>
        <v>10.923000000000002</v>
      </c>
      <c r="P10" s="22">
        <f t="shared" ref="P10:P56" si="12">(spart-initialspart)*(L10*J10+nptrans)</f>
        <v>27.88293545587667</v>
      </c>
      <c r="Q10" s="22"/>
      <c r="R10" s="22"/>
      <c r="S10" s="22">
        <f t="shared" si="6"/>
        <v>128.90849336716676</v>
      </c>
      <c r="T10" s="22">
        <f t="shared" si="7"/>
        <v>133.31720416546506</v>
      </c>
    </row>
    <row r="11" spans="1:20" x14ac:dyDescent="0.2">
      <c r="A11" s="5">
        <v>20</v>
      </c>
      <c r="B11" s="1">
        <f t="shared" si="8"/>
        <v>1.0249999999999999</v>
      </c>
      <c r="C11" s="5">
        <f t="shared" si="9"/>
        <v>18455.531002591066</v>
      </c>
      <c r="D11" s="5">
        <f t="shared" si="0"/>
        <v>18292.765735443376</v>
      </c>
      <c r="E11" s="5">
        <f t="shared" si="1"/>
        <v>8792.7657354433759</v>
      </c>
      <c r="F11" s="5">
        <f t="shared" si="2"/>
        <v>3172.5880126222619</v>
      </c>
      <c r="G11" s="5">
        <f t="shared" si="3"/>
        <v>15120.177722821114</v>
      </c>
      <c r="H11" s="22">
        <f t="shared" si="10"/>
        <v>8443.8793921635934</v>
      </c>
      <c r="I11" s="5">
        <f t="shared" si="4"/>
        <v>23082.755989631383</v>
      </c>
      <c r="J11" s="26">
        <f t="shared" si="5"/>
        <v>9.0017150908683452E-2</v>
      </c>
      <c r="L11" s="22">
        <f t="shared" si="11"/>
        <v>24872.328724525087</v>
      </c>
      <c r="M11" s="5">
        <f>scrimecost*Meta!O8</f>
        <v>1204.4259999999999</v>
      </c>
      <c r="N11" s="5">
        <f>L11-Grade12!L11</f>
        <v>281.04468800616814</v>
      </c>
      <c r="O11" s="5">
        <f>Grade12!M11-M11</f>
        <v>10.442999999999984</v>
      </c>
      <c r="P11" s="22">
        <f t="shared" si="12"/>
        <v>26.378808504737894</v>
      </c>
      <c r="Q11" s="22"/>
      <c r="R11" s="22"/>
      <c r="S11" s="22">
        <f t="shared" si="6"/>
        <v>130.21683528262037</v>
      </c>
      <c r="T11" s="22">
        <f t="shared" si="7"/>
        <v>139.27605789025156</v>
      </c>
    </row>
    <row r="12" spans="1:20" x14ac:dyDescent="0.2">
      <c r="A12" s="5">
        <v>21</v>
      </c>
      <c r="B12" s="1">
        <f t="shared" si="8"/>
        <v>1.0506249999999999</v>
      </c>
      <c r="C12" s="5">
        <f t="shared" si="9"/>
        <v>18916.919277655841</v>
      </c>
      <c r="D12" s="5">
        <f t="shared" si="0"/>
        <v>18727.854878829457</v>
      </c>
      <c r="E12" s="5">
        <f t="shared" si="1"/>
        <v>9227.8548788294574</v>
      </c>
      <c r="F12" s="5">
        <f t="shared" si="2"/>
        <v>3314.6446179378181</v>
      </c>
      <c r="G12" s="5">
        <f t="shared" si="3"/>
        <v>15413.210260891639</v>
      </c>
      <c r="H12" s="22">
        <f t="shared" si="10"/>
        <v>8654.9763769676829</v>
      </c>
      <c r="I12" s="5">
        <f t="shared" si="4"/>
        <v>23574.852984372163</v>
      </c>
      <c r="J12" s="26">
        <f t="shared" si="5"/>
        <v>9.3285263693379084E-2</v>
      </c>
      <c r="L12" s="22">
        <f t="shared" si="11"/>
        <v>25494.136942638215</v>
      </c>
      <c r="M12" s="5">
        <f>scrimecost*Meta!O9</f>
        <v>1078.482</v>
      </c>
      <c r="N12" s="5">
        <f>L12-Grade12!L12</f>
        <v>288.07080520632371</v>
      </c>
      <c r="O12" s="5">
        <f>Grade12!M12-M12</f>
        <v>9.3510000000001128</v>
      </c>
      <c r="P12" s="22">
        <f t="shared" si="12"/>
        <v>26.796681861987391</v>
      </c>
      <c r="Q12" s="22"/>
      <c r="R12" s="22"/>
      <c r="S12" s="22">
        <f t="shared" si="6"/>
        <v>132.43890880240738</v>
      </c>
      <c r="T12" s="22">
        <f t="shared" si="7"/>
        <v>146.49728909664617</v>
      </c>
    </row>
    <row r="13" spans="1:20" x14ac:dyDescent="0.2">
      <c r="A13" s="5">
        <v>22</v>
      </c>
      <c r="B13" s="1">
        <f t="shared" si="8"/>
        <v>1.0768906249999999</v>
      </c>
      <c r="C13" s="5">
        <f t="shared" si="9"/>
        <v>19389.842259597237</v>
      </c>
      <c r="D13" s="5">
        <f t="shared" si="0"/>
        <v>19173.821250800193</v>
      </c>
      <c r="E13" s="5">
        <f t="shared" si="1"/>
        <v>9673.8212508001925</v>
      </c>
      <c r="F13" s="5">
        <f t="shared" si="2"/>
        <v>3460.2526383862628</v>
      </c>
      <c r="G13" s="5">
        <f t="shared" si="3"/>
        <v>15713.56861241393</v>
      </c>
      <c r="H13" s="22">
        <f t="shared" si="10"/>
        <v>8871.3507863918749</v>
      </c>
      <c r="I13" s="5">
        <f t="shared" si="4"/>
        <v>24079.252403981467</v>
      </c>
      <c r="J13" s="26">
        <f t="shared" si="5"/>
        <v>9.6473666410155243E-2</v>
      </c>
      <c r="L13" s="22">
        <f t="shared" si="11"/>
        <v>26131.490366204169</v>
      </c>
      <c r="M13" s="5">
        <f>scrimecost*Meta!O10</f>
        <v>993.36599999999999</v>
      </c>
      <c r="N13" s="5">
        <f>L13-Grade12!L13</f>
        <v>295.27257533648299</v>
      </c>
      <c r="O13" s="5">
        <f>Grade12!M13-M13</f>
        <v>8.6130000000000564</v>
      </c>
      <c r="P13" s="22">
        <f t="shared" si="12"/>
        <v>27.225002053168122</v>
      </c>
      <c r="Q13" s="22"/>
      <c r="R13" s="22"/>
      <c r="S13" s="22">
        <f t="shared" si="6"/>
        <v>134.96361656018888</v>
      </c>
      <c r="T13" s="22">
        <f t="shared" si="7"/>
        <v>154.39575890384231</v>
      </c>
    </row>
    <row r="14" spans="1:20" x14ac:dyDescent="0.2">
      <c r="A14" s="5">
        <v>23</v>
      </c>
      <c r="B14" s="1">
        <f t="shared" si="8"/>
        <v>1.1038128906249998</v>
      </c>
      <c r="C14" s="5">
        <f t="shared" si="9"/>
        <v>19874.588316087164</v>
      </c>
      <c r="D14" s="5">
        <f t="shared" si="0"/>
        <v>19630.936782070195</v>
      </c>
      <c r="E14" s="5">
        <f t="shared" si="1"/>
        <v>10130.936782070195</v>
      </c>
      <c r="F14" s="5">
        <f t="shared" si="2"/>
        <v>3609.5008593459188</v>
      </c>
      <c r="G14" s="5">
        <f t="shared" si="3"/>
        <v>16021.435922724277</v>
      </c>
      <c r="H14" s="22">
        <f t="shared" si="10"/>
        <v>9093.1345560516711</v>
      </c>
      <c r="I14" s="5">
        <f t="shared" si="4"/>
        <v>24596.261809081003</v>
      </c>
      <c r="J14" s="26">
        <f t="shared" si="5"/>
        <v>9.9584303207010089E-2</v>
      </c>
      <c r="L14" s="22">
        <f t="shared" si="11"/>
        <v>26784.777625359271</v>
      </c>
      <c r="M14" s="5">
        <f>scrimecost*Meta!O11</f>
        <v>929.702</v>
      </c>
      <c r="N14" s="5">
        <f>L14-Grade12!L14</f>
        <v>302.65438971989715</v>
      </c>
      <c r="O14" s="5">
        <f>Grade12!M14-M14</f>
        <v>8.0609999999999218</v>
      </c>
      <c r="P14" s="22">
        <f t="shared" si="12"/>
        <v>27.664030249128377</v>
      </c>
      <c r="Q14" s="22"/>
      <c r="R14" s="22"/>
      <c r="S14" s="22">
        <f t="shared" si="6"/>
        <v>137.68392561191527</v>
      </c>
      <c r="T14" s="22">
        <f t="shared" si="7"/>
        <v>162.89455365074264</v>
      </c>
    </row>
    <row r="15" spans="1:20" x14ac:dyDescent="0.2">
      <c r="A15" s="5">
        <v>24</v>
      </c>
      <c r="B15" s="1">
        <f t="shared" si="8"/>
        <v>1.1314082128906247</v>
      </c>
      <c r="C15" s="5">
        <f t="shared" si="9"/>
        <v>20371.453023989343</v>
      </c>
      <c r="D15" s="5">
        <f t="shared" si="0"/>
        <v>20099.480201621951</v>
      </c>
      <c r="E15" s="5">
        <f t="shared" si="1"/>
        <v>10599.480201621951</v>
      </c>
      <c r="F15" s="5">
        <f t="shared" si="2"/>
        <v>3762.480285829567</v>
      </c>
      <c r="G15" s="5">
        <f t="shared" si="3"/>
        <v>16336.999915792385</v>
      </c>
      <c r="H15" s="22">
        <f t="shared" si="10"/>
        <v>9320.4629199529609</v>
      </c>
      <c r="I15" s="5">
        <f t="shared" si="4"/>
        <v>25126.196449308027</v>
      </c>
      <c r="J15" s="26">
        <f t="shared" si="5"/>
        <v>0.10261907081369777</v>
      </c>
      <c r="L15" s="22">
        <f t="shared" si="11"/>
        <v>27454.397065993249</v>
      </c>
      <c r="M15" s="5">
        <f>scrimecost*Meta!O12</f>
        <v>890.25800000000004</v>
      </c>
      <c r="N15" s="5">
        <f>L15-Grade12!L15</f>
        <v>310.22074946289285</v>
      </c>
      <c r="O15" s="5">
        <f>Grade12!M15-M15</f>
        <v>7.7189999999999372</v>
      </c>
      <c r="P15" s="22">
        <f t="shared" si="12"/>
        <v>28.114034149987639</v>
      </c>
      <c r="Q15" s="22"/>
      <c r="R15" s="22"/>
      <c r="S15" s="22">
        <f t="shared" si="6"/>
        <v>140.61726478993342</v>
      </c>
      <c r="T15" s="22">
        <f t="shared" si="7"/>
        <v>172.05473728908092</v>
      </c>
    </row>
    <row r="16" spans="1:20" x14ac:dyDescent="0.2">
      <c r="A16" s="5">
        <v>25</v>
      </c>
      <c r="B16" s="1">
        <f t="shared" si="8"/>
        <v>1.1596934182128902</v>
      </c>
      <c r="C16" s="5">
        <f t="shared" si="9"/>
        <v>20880.739349589072</v>
      </c>
      <c r="D16" s="5">
        <f t="shared" si="0"/>
        <v>20579.737206662496</v>
      </c>
      <c r="E16" s="5">
        <f t="shared" si="1"/>
        <v>11079.737206662496</v>
      </c>
      <c r="F16" s="5">
        <f t="shared" si="2"/>
        <v>3919.2841979753048</v>
      </c>
      <c r="G16" s="5">
        <f t="shared" si="3"/>
        <v>16660.453008687189</v>
      </c>
      <c r="H16" s="22">
        <f t="shared" si="10"/>
        <v>9553.4744929517856</v>
      </c>
      <c r="I16" s="5">
        <f t="shared" si="4"/>
        <v>25669.379455540722</v>
      </c>
      <c r="J16" s="26">
        <f t="shared" si="5"/>
        <v>0.10557981969827104</v>
      </c>
      <c r="L16" s="22">
        <f t="shared" si="11"/>
        <v>28140.756992643081</v>
      </c>
      <c r="M16" s="5">
        <f>scrimecost*Meta!O13</f>
        <v>753.58799999999997</v>
      </c>
      <c r="N16" s="5">
        <f>L16-Grade12!L16</f>
        <v>317.97626819946527</v>
      </c>
      <c r="O16" s="5">
        <f>Grade12!M16-M16</f>
        <v>6.5339999999999918</v>
      </c>
      <c r="P16" s="22">
        <f t="shared" si="12"/>
        <v>28.575288148368376</v>
      </c>
      <c r="Q16" s="22"/>
      <c r="R16" s="22"/>
      <c r="S16" s="22">
        <f t="shared" si="6"/>
        <v>143.08321384740273</v>
      </c>
      <c r="T16" s="22">
        <f t="shared" si="7"/>
        <v>181.05950972074291</v>
      </c>
    </row>
    <row r="17" spans="1:20" x14ac:dyDescent="0.2">
      <c r="A17" s="5">
        <v>26</v>
      </c>
      <c r="B17" s="1">
        <f t="shared" si="8"/>
        <v>1.1886857536682125</v>
      </c>
      <c r="C17" s="5">
        <f t="shared" si="9"/>
        <v>21402.757833328804</v>
      </c>
      <c r="D17" s="5">
        <f t="shared" si="0"/>
        <v>21072.000636829063</v>
      </c>
      <c r="E17" s="5">
        <f t="shared" si="1"/>
        <v>11572.000636829063</v>
      </c>
      <c r="F17" s="5">
        <f t="shared" si="2"/>
        <v>4080.008207924689</v>
      </c>
      <c r="G17" s="5">
        <f t="shared" si="3"/>
        <v>16991.992428904374</v>
      </c>
      <c r="H17" s="22">
        <f t="shared" si="10"/>
        <v>9792.3113552755804</v>
      </c>
      <c r="I17" s="5">
        <f t="shared" si="4"/>
        <v>26226.142036929246</v>
      </c>
      <c r="J17" s="26">
        <f t="shared" si="5"/>
        <v>0.10846835519541574</v>
      </c>
      <c r="L17" s="22">
        <f t="shared" si="11"/>
        <v>28844.275917459156</v>
      </c>
      <c r="M17" s="5">
        <f>scrimecost*Meta!O14</f>
        <v>753.58799999999997</v>
      </c>
      <c r="N17" s="5">
        <f>L17-Grade12!L17</f>
        <v>325.92567490445072</v>
      </c>
      <c r="O17" s="5">
        <f>Grade12!M17-M17</f>
        <v>6.5339999999999918</v>
      </c>
      <c r="P17" s="22">
        <f t="shared" si="12"/>
        <v>29.048073496708636</v>
      </c>
      <c r="Q17" s="22"/>
      <c r="R17" s="22"/>
      <c r="S17" s="22">
        <f t="shared" si="6"/>
        <v>146.39788863130829</v>
      </c>
      <c r="T17" s="22">
        <f t="shared" si="7"/>
        <v>191.58968867406136</v>
      </c>
    </row>
    <row r="18" spans="1:20" x14ac:dyDescent="0.2">
      <c r="A18" s="5">
        <v>27</v>
      </c>
      <c r="B18" s="1">
        <f t="shared" si="8"/>
        <v>1.2184028975099177</v>
      </c>
      <c r="C18" s="5">
        <f t="shared" si="9"/>
        <v>21937.82677916202</v>
      </c>
      <c r="D18" s="5">
        <f t="shared" si="0"/>
        <v>21576.570652749786</v>
      </c>
      <c r="E18" s="5">
        <f t="shared" si="1"/>
        <v>12076.570652749786</v>
      </c>
      <c r="F18" s="5">
        <f t="shared" si="2"/>
        <v>4244.7503181228049</v>
      </c>
      <c r="G18" s="5">
        <f t="shared" si="3"/>
        <v>17331.82033462698</v>
      </c>
      <c r="H18" s="22">
        <f t="shared" si="10"/>
        <v>10037.119139157468</v>
      </c>
      <c r="I18" s="5">
        <f t="shared" si="4"/>
        <v>26796.823682852475</v>
      </c>
      <c r="J18" s="26">
        <f t="shared" si="5"/>
        <v>0.11128643860726423</v>
      </c>
      <c r="L18" s="22">
        <f t="shared" si="11"/>
        <v>29565.382815395635</v>
      </c>
      <c r="M18" s="5">
        <f>scrimecost*Meta!O15</f>
        <v>753.58799999999997</v>
      </c>
      <c r="N18" s="5">
        <f>L18-Grade12!L18</f>
        <v>334.07381677706508</v>
      </c>
      <c r="O18" s="5">
        <f>Grade12!M18-M18</f>
        <v>6.5339999999999918</v>
      </c>
      <c r="P18" s="22">
        <f t="shared" si="12"/>
        <v>29.532678478757397</v>
      </c>
      <c r="Q18" s="22"/>
      <c r="R18" s="22"/>
      <c r="S18" s="22">
        <f t="shared" si="6"/>
        <v>149.79543028481308</v>
      </c>
      <c r="T18" s="22">
        <f t="shared" si="7"/>
        <v>202.7405162412374</v>
      </c>
    </row>
    <row r="19" spans="1:20" x14ac:dyDescent="0.2">
      <c r="A19" s="5">
        <v>28</v>
      </c>
      <c r="B19" s="1">
        <f t="shared" si="8"/>
        <v>1.2488629699476654</v>
      </c>
      <c r="C19" s="5">
        <f t="shared" si="9"/>
        <v>22486.272448641066</v>
      </c>
      <c r="D19" s="5">
        <f t="shared" si="0"/>
        <v>22093.754919068524</v>
      </c>
      <c r="E19" s="5">
        <f t="shared" si="1"/>
        <v>12593.754919068524</v>
      </c>
      <c r="F19" s="5">
        <f t="shared" si="2"/>
        <v>4413.6109810758735</v>
      </c>
      <c r="G19" s="5">
        <f t="shared" si="3"/>
        <v>17680.143937992652</v>
      </c>
      <c r="H19" s="22">
        <f t="shared" si="10"/>
        <v>10288.047117636404</v>
      </c>
      <c r="I19" s="5">
        <f t="shared" si="4"/>
        <v>27381.772369923783</v>
      </c>
      <c r="J19" s="26">
        <f t="shared" si="5"/>
        <v>0.11403578827736029</v>
      </c>
      <c r="L19" s="22">
        <f t="shared" si="11"/>
        <v>30304.517385780517</v>
      </c>
      <c r="M19" s="5">
        <f>scrimecost*Meta!O16</f>
        <v>753.58799999999997</v>
      </c>
      <c r="N19" s="5">
        <f>L19-Grade12!L19</f>
        <v>342.42566219648506</v>
      </c>
      <c r="O19" s="5">
        <f>Grade12!M19-M19</f>
        <v>6.5339999999999918</v>
      </c>
      <c r="P19" s="22">
        <f t="shared" si="12"/>
        <v>30.029398585357381</v>
      </c>
      <c r="Q19" s="22"/>
      <c r="R19" s="22"/>
      <c r="S19" s="22">
        <f t="shared" si="6"/>
        <v>153.27791047965181</v>
      </c>
      <c r="T19" s="22">
        <f t="shared" si="7"/>
        <v>214.54886400274216</v>
      </c>
    </row>
    <row r="20" spans="1:20" x14ac:dyDescent="0.2">
      <c r="A20" s="5">
        <v>29</v>
      </c>
      <c r="B20" s="1">
        <f t="shared" si="8"/>
        <v>1.2800845441963571</v>
      </c>
      <c r="C20" s="5">
        <f t="shared" si="9"/>
        <v>23048.429259857094</v>
      </c>
      <c r="D20" s="5">
        <f t="shared" si="0"/>
        <v>22623.868792045239</v>
      </c>
      <c r="E20" s="5">
        <f t="shared" si="1"/>
        <v>13123.868792045239</v>
      </c>
      <c r="F20" s="5">
        <f t="shared" si="2"/>
        <v>4586.6931606027701</v>
      </c>
      <c r="G20" s="5">
        <f t="shared" si="3"/>
        <v>18037.175631442471</v>
      </c>
      <c r="H20" s="22">
        <f t="shared" si="10"/>
        <v>10545.248295577314</v>
      </c>
      <c r="I20" s="5">
        <f t="shared" si="4"/>
        <v>27981.344774171877</v>
      </c>
      <c r="J20" s="26">
        <f t="shared" si="5"/>
        <v>0.11671808063842963</v>
      </c>
      <c r="L20" s="22">
        <f t="shared" si="11"/>
        <v>31062.130320425036</v>
      </c>
      <c r="M20" s="5">
        <f>scrimecost*Meta!O17</f>
        <v>753.58799999999997</v>
      </c>
      <c r="N20" s="5">
        <f>L20-Grade12!L20</f>
        <v>350.98630375140419</v>
      </c>
      <c r="O20" s="5">
        <f>Grade12!M20-M20</f>
        <v>6.5339999999999918</v>
      </c>
      <c r="P20" s="22">
        <f t="shared" si="12"/>
        <v>30.538536694622366</v>
      </c>
      <c r="Q20" s="22"/>
      <c r="R20" s="22"/>
      <c r="S20" s="22">
        <f t="shared" si="6"/>
        <v>156.84745267936668</v>
      </c>
      <c r="T20" s="22">
        <f t="shared" si="7"/>
        <v>227.05380413637931</v>
      </c>
    </row>
    <row r="21" spans="1:20" x14ac:dyDescent="0.2">
      <c r="A21" s="5">
        <v>30</v>
      </c>
      <c r="B21" s="1">
        <f t="shared" si="8"/>
        <v>1.312086657801266</v>
      </c>
      <c r="C21" s="5">
        <f t="shared" si="9"/>
        <v>23624.639991353521</v>
      </c>
      <c r="D21" s="5">
        <f t="shared" si="0"/>
        <v>23167.235511846371</v>
      </c>
      <c r="E21" s="5">
        <f t="shared" si="1"/>
        <v>13667.235511846371</v>
      </c>
      <c r="F21" s="5">
        <f t="shared" si="2"/>
        <v>4764.1023946178402</v>
      </c>
      <c r="G21" s="5">
        <f t="shared" si="3"/>
        <v>18403.133117228532</v>
      </c>
      <c r="H21" s="22">
        <f t="shared" si="10"/>
        <v>10808.879502966747</v>
      </c>
      <c r="I21" s="5">
        <f t="shared" si="4"/>
        <v>28595.906488526176</v>
      </c>
      <c r="J21" s="26">
        <f t="shared" si="5"/>
        <v>0.11933495123459488</v>
      </c>
      <c r="L21" s="22">
        <f t="shared" si="11"/>
        <v>31838.683578435659</v>
      </c>
      <c r="M21" s="5">
        <f>scrimecost*Meta!O18</f>
        <v>594.428</v>
      </c>
      <c r="N21" s="5">
        <f>L21-Grade12!L21</f>
        <v>359.76096134518957</v>
      </c>
      <c r="O21" s="5">
        <f>Grade12!M21-M21</f>
        <v>5.1539999999999964</v>
      </c>
      <c r="P21" s="22">
        <f t="shared" si="12"/>
        <v>31.060403256618976</v>
      </c>
      <c r="Q21" s="22"/>
      <c r="R21" s="22"/>
      <c r="S21" s="22">
        <f t="shared" si="6"/>
        <v>159.61199343407185</v>
      </c>
      <c r="T21" s="22">
        <f t="shared" si="7"/>
        <v>238.95795847227538</v>
      </c>
    </row>
    <row r="22" spans="1:20" x14ac:dyDescent="0.2">
      <c r="A22" s="5">
        <v>31</v>
      </c>
      <c r="B22" s="1">
        <f t="shared" si="8"/>
        <v>1.3448888242462975</v>
      </c>
      <c r="C22" s="5">
        <f t="shared" si="9"/>
        <v>24215.255991137357</v>
      </c>
      <c r="D22" s="5">
        <f t="shared" si="0"/>
        <v>23724.186399642527</v>
      </c>
      <c r="E22" s="5">
        <f t="shared" si="1"/>
        <v>14224.186399642527</v>
      </c>
      <c r="F22" s="5">
        <f t="shared" si="2"/>
        <v>4945.9468594832852</v>
      </c>
      <c r="G22" s="5">
        <f t="shared" si="3"/>
        <v>18778.239540159244</v>
      </c>
      <c r="H22" s="22">
        <f t="shared" si="10"/>
        <v>11079.101490540914</v>
      </c>
      <c r="I22" s="5">
        <f t="shared" si="4"/>
        <v>29225.832245739322</v>
      </c>
      <c r="J22" s="26">
        <f t="shared" si="5"/>
        <v>0.12188799571865849</v>
      </c>
      <c r="L22" s="22">
        <f t="shared" si="11"/>
        <v>32634.650667896549</v>
      </c>
      <c r="M22" s="5">
        <f>scrimecost*Meta!O19</f>
        <v>594.428</v>
      </c>
      <c r="N22" s="5">
        <f>L22-Grade12!L22</f>
        <v>368.75498537881867</v>
      </c>
      <c r="O22" s="5">
        <f>Grade12!M22-M22</f>
        <v>5.1539999999999964</v>
      </c>
      <c r="P22" s="22">
        <f t="shared" si="12"/>
        <v>31.595316482665496</v>
      </c>
      <c r="Q22" s="22"/>
      <c r="R22" s="22"/>
      <c r="S22" s="22">
        <f t="shared" si="6"/>
        <v>163.36224370764432</v>
      </c>
      <c r="T22" s="22">
        <f t="shared" si="7"/>
        <v>252.93698181922247</v>
      </c>
    </row>
    <row r="23" spans="1:20" x14ac:dyDescent="0.2">
      <c r="A23" s="5">
        <v>32</v>
      </c>
      <c r="B23" s="1">
        <f t="shared" si="8"/>
        <v>1.3785110448524549</v>
      </c>
      <c r="C23" s="5">
        <f t="shared" si="9"/>
        <v>24820.637390915792</v>
      </c>
      <c r="D23" s="5">
        <f t="shared" si="0"/>
        <v>24295.06105963359</v>
      </c>
      <c r="E23" s="5">
        <f t="shared" si="1"/>
        <v>14795.06105963359</v>
      </c>
      <c r="F23" s="5">
        <f t="shared" si="2"/>
        <v>5132.3374359703666</v>
      </c>
      <c r="G23" s="5">
        <f t="shared" si="3"/>
        <v>19162.723623663223</v>
      </c>
      <c r="H23" s="22">
        <f t="shared" si="10"/>
        <v>11356.079027804439</v>
      </c>
      <c r="I23" s="5">
        <f t="shared" si="4"/>
        <v>29871.506146882806</v>
      </c>
      <c r="J23" s="26">
        <f t="shared" si="5"/>
        <v>0.12437877082506199</v>
      </c>
      <c r="L23" s="22">
        <f t="shared" si="11"/>
        <v>33450.516934593958</v>
      </c>
      <c r="M23" s="5">
        <f>scrimecost*Meta!O20</f>
        <v>594.428</v>
      </c>
      <c r="N23" s="5">
        <f>L23-Grade12!L23</f>
        <v>377.97386001328414</v>
      </c>
      <c r="O23" s="5">
        <f>Grade12!M23-M23</f>
        <v>5.1539999999999964</v>
      </c>
      <c r="P23" s="22">
        <f t="shared" si="12"/>
        <v>32.143602539363179</v>
      </c>
      <c r="Q23" s="22"/>
      <c r="R23" s="22"/>
      <c r="S23" s="22">
        <f t="shared" si="6"/>
        <v>167.20625023805448</v>
      </c>
      <c r="T23" s="22">
        <f t="shared" si="7"/>
        <v>267.74280854661163</v>
      </c>
    </row>
    <row r="24" spans="1:20" x14ac:dyDescent="0.2">
      <c r="A24" s="5">
        <v>33</v>
      </c>
      <c r="B24" s="1">
        <f t="shared" si="8"/>
        <v>1.4129738209737661</v>
      </c>
      <c r="C24" s="5">
        <f t="shared" si="9"/>
        <v>25441.15332568868</v>
      </c>
      <c r="D24" s="5">
        <f t="shared" si="0"/>
        <v>24880.207586124423</v>
      </c>
      <c r="E24" s="5">
        <f t="shared" si="1"/>
        <v>15380.207586124423</v>
      </c>
      <c r="F24" s="5">
        <f t="shared" si="2"/>
        <v>5323.3877768696238</v>
      </c>
      <c r="G24" s="5">
        <f t="shared" si="3"/>
        <v>19556.819809254797</v>
      </c>
      <c r="H24" s="22">
        <f t="shared" si="10"/>
        <v>11639.981003499546</v>
      </c>
      <c r="I24" s="5">
        <f t="shared" si="4"/>
        <v>30533.321895554869</v>
      </c>
      <c r="J24" s="26">
        <f t="shared" si="5"/>
        <v>0.12680879531911421</v>
      </c>
      <c r="L24" s="22">
        <f t="shared" si="11"/>
        <v>34286.779857958805</v>
      </c>
      <c r="M24" s="5">
        <f>scrimecost*Meta!O21</f>
        <v>594.428</v>
      </c>
      <c r="N24" s="5">
        <f>L24-Grade12!L24</f>
        <v>387.42320651361661</v>
      </c>
      <c r="O24" s="5">
        <f>Grade12!M24-M24</f>
        <v>5.1539999999999964</v>
      </c>
      <c r="P24" s="22">
        <f t="shared" si="12"/>
        <v>32.705595747478306</v>
      </c>
      <c r="Q24" s="22"/>
      <c r="R24" s="22"/>
      <c r="S24" s="22">
        <f t="shared" si="6"/>
        <v>171.14635693172687</v>
      </c>
      <c r="T24" s="22">
        <f t="shared" si="7"/>
        <v>283.42465786445922</v>
      </c>
    </row>
    <row r="25" spans="1:20" x14ac:dyDescent="0.2">
      <c r="A25" s="5">
        <v>34</v>
      </c>
      <c r="B25" s="1">
        <f t="shared" si="8"/>
        <v>1.4482981664981105</v>
      </c>
      <c r="C25" s="5">
        <f t="shared" si="9"/>
        <v>26077.182158830903</v>
      </c>
      <c r="D25" s="5">
        <f t="shared" si="0"/>
        <v>25479.982775777542</v>
      </c>
      <c r="E25" s="5">
        <f t="shared" si="1"/>
        <v>15979.982775777542</v>
      </c>
      <c r="F25" s="5">
        <f t="shared" si="2"/>
        <v>5519.2143762913674</v>
      </c>
      <c r="G25" s="5">
        <f t="shared" si="3"/>
        <v>19960.768399486173</v>
      </c>
      <c r="H25" s="22">
        <f t="shared" si="10"/>
        <v>11930.980528587039</v>
      </c>
      <c r="I25" s="5">
        <f t="shared" si="4"/>
        <v>31211.683037943752</v>
      </c>
      <c r="J25" s="26">
        <f t="shared" si="5"/>
        <v>0.12917955092306765</v>
      </c>
      <c r="L25" s="22">
        <f t="shared" si="11"/>
        <v>35143.949354407778</v>
      </c>
      <c r="M25" s="5">
        <f>scrimecost*Meta!O22</f>
        <v>594.428</v>
      </c>
      <c r="N25" s="5">
        <f>L25-Grade12!L25</f>
        <v>397.10878667645738</v>
      </c>
      <c r="O25" s="5">
        <f>Grade12!M25-M25</f>
        <v>5.1539999999999964</v>
      </c>
      <c r="P25" s="22">
        <f t="shared" si="12"/>
        <v>33.281638785796318</v>
      </c>
      <c r="Q25" s="22"/>
      <c r="R25" s="22"/>
      <c r="S25" s="22">
        <f t="shared" si="6"/>
        <v>175.18496629274114</v>
      </c>
      <c r="T25" s="22">
        <f t="shared" si="7"/>
        <v>300.03468999023755</v>
      </c>
    </row>
    <row r="26" spans="1:20" x14ac:dyDescent="0.2">
      <c r="A26" s="5">
        <v>35</v>
      </c>
      <c r="B26" s="1">
        <f t="shared" si="8"/>
        <v>1.4845056206605631</v>
      </c>
      <c r="C26" s="5">
        <f t="shared" si="9"/>
        <v>26729.111712801674</v>
      </c>
      <c r="D26" s="5">
        <f t="shared" si="0"/>
        <v>26094.752345171979</v>
      </c>
      <c r="E26" s="5">
        <f t="shared" si="1"/>
        <v>16594.752345171979</v>
      </c>
      <c r="F26" s="5">
        <f t="shared" si="2"/>
        <v>5719.936640698651</v>
      </c>
      <c r="G26" s="5">
        <f t="shared" si="3"/>
        <v>20374.815704473327</v>
      </c>
      <c r="H26" s="22">
        <f t="shared" si="10"/>
        <v>12229.255041801713</v>
      </c>
      <c r="I26" s="5">
        <f t="shared" si="4"/>
        <v>31907.00320889234</v>
      </c>
      <c r="J26" s="26">
        <f t="shared" si="5"/>
        <v>0.13149248321960758</v>
      </c>
      <c r="L26" s="22">
        <f t="shared" si="11"/>
        <v>36022.548088267977</v>
      </c>
      <c r="M26" s="5">
        <f>scrimecost*Meta!O23</f>
        <v>473.32800000000003</v>
      </c>
      <c r="N26" s="5">
        <f>L26-Grade12!L26</f>
        <v>407.03650634337828</v>
      </c>
      <c r="O26" s="5">
        <f>Grade12!M26-M26</f>
        <v>4.103999999999985</v>
      </c>
      <c r="P26" s="22">
        <f t="shared" si="12"/>
        <v>33.872082900072279</v>
      </c>
      <c r="Q26" s="22"/>
      <c r="R26" s="22"/>
      <c r="S26" s="22">
        <f t="shared" si="6"/>
        <v>178.64414088778415</v>
      </c>
      <c r="T26" s="22">
        <f t="shared" si="7"/>
        <v>316.42302532216166</v>
      </c>
    </row>
    <row r="27" spans="1:20" x14ac:dyDescent="0.2">
      <c r="A27" s="5">
        <v>36</v>
      </c>
      <c r="B27" s="1">
        <f t="shared" si="8"/>
        <v>1.521618261177077</v>
      </c>
      <c r="C27" s="5">
        <f t="shared" si="9"/>
        <v>27397.339505621712</v>
      </c>
      <c r="D27" s="5">
        <f t="shared" si="0"/>
        <v>26724.891153801273</v>
      </c>
      <c r="E27" s="5">
        <f t="shared" si="1"/>
        <v>17224.891153801273</v>
      </c>
      <c r="F27" s="5">
        <f t="shared" si="2"/>
        <v>5925.6769617161153</v>
      </c>
      <c r="G27" s="5">
        <f t="shared" si="3"/>
        <v>20799.214192085157</v>
      </c>
      <c r="H27" s="22">
        <f t="shared" si="10"/>
        <v>12534.986417846752</v>
      </c>
      <c r="I27" s="5">
        <f t="shared" si="4"/>
        <v>32619.706384114645</v>
      </c>
      <c r="J27" s="26">
        <f t="shared" si="5"/>
        <v>0.13374900253330499</v>
      </c>
      <c r="L27" s="22">
        <f t="shared" si="11"/>
        <v>36923.111790474664</v>
      </c>
      <c r="M27" s="5">
        <f>scrimecost*Meta!O24</f>
        <v>473.32800000000003</v>
      </c>
      <c r="N27" s="5">
        <f>L27-Grade12!L27</f>
        <v>417.21241900195309</v>
      </c>
      <c r="O27" s="5">
        <f>Grade12!M27-M27</f>
        <v>4.103999999999985</v>
      </c>
      <c r="P27" s="22">
        <f t="shared" si="12"/>
        <v>34.477288117205127</v>
      </c>
      <c r="Q27" s="22"/>
      <c r="R27" s="22"/>
      <c r="S27" s="22">
        <f t="shared" si="6"/>
        <v>182.88720484769601</v>
      </c>
      <c r="T27" s="22">
        <f t="shared" si="7"/>
        <v>335.01734213420355</v>
      </c>
    </row>
    <row r="28" spans="1:20" x14ac:dyDescent="0.2">
      <c r="A28" s="5">
        <v>37</v>
      </c>
      <c r="B28" s="1">
        <f t="shared" si="8"/>
        <v>1.559658717706504</v>
      </c>
      <c r="C28" s="5">
        <f t="shared" si="9"/>
        <v>28082.272993262257</v>
      </c>
      <c r="D28" s="5">
        <f t="shared" si="0"/>
        <v>27370.783432646309</v>
      </c>
      <c r="E28" s="5">
        <f t="shared" si="1"/>
        <v>17870.783432646309</v>
      </c>
      <c r="F28" s="5">
        <f t="shared" si="2"/>
        <v>6136.5607907590202</v>
      </c>
      <c r="G28" s="5">
        <f t="shared" si="3"/>
        <v>21234.222641887289</v>
      </c>
      <c r="H28" s="22">
        <f t="shared" si="10"/>
        <v>12848.361078292923</v>
      </c>
      <c r="I28" s="5">
        <f t="shared" si="4"/>
        <v>33350.227138717513</v>
      </c>
      <c r="J28" s="26">
        <f t="shared" si="5"/>
        <v>0.13595048479057084</v>
      </c>
      <c r="L28" s="22">
        <f t="shared" si="11"/>
        <v>37846.189585236534</v>
      </c>
      <c r="M28" s="5">
        <f>scrimecost*Meta!O25</f>
        <v>473.32800000000003</v>
      </c>
      <c r="N28" s="5">
        <f>L28-Grade12!L28</f>
        <v>427.64272947699646</v>
      </c>
      <c r="O28" s="5">
        <f>Grade12!M28-M28</f>
        <v>4.103999999999985</v>
      </c>
      <c r="P28" s="22">
        <f t="shared" si="12"/>
        <v>35.097623464766308</v>
      </c>
      <c r="Q28" s="22"/>
      <c r="R28" s="22"/>
      <c r="S28" s="22">
        <f t="shared" si="6"/>
        <v>187.23634540660726</v>
      </c>
      <c r="T28" s="22">
        <f t="shared" si="7"/>
        <v>354.71437340211241</v>
      </c>
    </row>
    <row r="29" spans="1:20" x14ac:dyDescent="0.2">
      <c r="A29" s="5">
        <v>38</v>
      </c>
      <c r="B29" s="1">
        <f t="shared" si="8"/>
        <v>1.5986501856491666</v>
      </c>
      <c r="C29" s="5">
        <f t="shared" si="9"/>
        <v>28784.329818093811</v>
      </c>
      <c r="D29" s="5">
        <f t="shared" si="0"/>
        <v>28032.823018462463</v>
      </c>
      <c r="E29" s="5">
        <f t="shared" si="1"/>
        <v>18532.823018462463</v>
      </c>
      <c r="F29" s="5">
        <f t="shared" si="2"/>
        <v>6352.716715527994</v>
      </c>
      <c r="G29" s="5">
        <f t="shared" si="3"/>
        <v>21680.10630293447</v>
      </c>
      <c r="H29" s="22">
        <f t="shared" si="10"/>
        <v>13169.570105250245</v>
      </c>
      <c r="I29" s="5">
        <f t="shared" si="4"/>
        <v>34099.010912185448</v>
      </c>
      <c r="J29" s="26">
        <f t="shared" si="5"/>
        <v>0.13809827235863503</v>
      </c>
      <c r="L29" s="22">
        <f t="shared" si="11"/>
        <v>38792.344324867452</v>
      </c>
      <c r="M29" s="5">
        <f>scrimecost*Meta!O26</f>
        <v>473.32800000000003</v>
      </c>
      <c r="N29" s="5">
        <f>L29-Grade12!L29</f>
        <v>438.33379771393084</v>
      </c>
      <c r="O29" s="5">
        <f>Grade12!M29-M29</f>
        <v>4.103999999999985</v>
      </c>
      <c r="P29" s="22">
        <f t="shared" si="12"/>
        <v>35.73346719601652</v>
      </c>
      <c r="Q29" s="22"/>
      <c r="R29" s="22"/>
      <c r="S29" s="22">
        <f t="shared" si="6"/>
        <v>191.69421447949696</v>
      </c>
      <c r="T29" s="22">
        <f t="shared" si="7"/>
        <v>375.57986510822616</v>
      </c>
    </row>
    <row r="30" spans="1:20" x14ac:dyDescent="0.2">
      <c r="A30" s="5">
        <v>39</v>
      </c>
      <c r="B30" s="1">
        <f t="shared" si="8"/>
        <v>1.6386164402903955</v>
      </c>
      <c r="C30" s="5">
        <f t="shared" si="9"/>
        <v>29503.938063546153</v>
      </c>
      <c r="D30" s="5">
        <f t="shared" si="0"/>
        <v>28711.413593924022</v>
      </c>
      <c r="E30" s="5">
        <f t="shared" si="1"/>
        <v>19211.413593924022</v>
      </c>
      <c r="F30" s="5">
        <f t="shared" si="2"/>
        <v>6574.276538416193</v>
      </c>
      <c r="G30" s="5">
        <f t="shared" si="3"/>
        <v>22137.137055507828</v>
      </c>
      <c r="H30" s="22">
        <f t="shared" si="10"/>
        <v>13498.809357881501</v>
      </c>
      <c r="I30" s="5">
        <f t="shared" si="4"/>
        <v>34866.514279990079</v>
      </c>
      <c r="J30" s="26">
        <f t="shared" si="5"/>
        <v>0.14019367486406353</v>
      </c>
      <c r="L30" s="22">
        <f t="shared" si="11"/>
        <v>39762.152932989127</v>
      </c>
      <c r="M30" s="5">
        <f>scrimecost*Meta!O27</f>
        <v>473.32800000000003</v>
      </c>
      <c r="N30" s="5">
        <f>L30-Grade12!L30</f>
        <v>449.29214265677729</v>
      </c>
      <c r="O30" s="5">
        <f>Grade12!M30-M30</f>
        <v>4.103999999999985</v>
      </c>
      <c r="P30" s="22">
        <f t="shared" si="12"/>
        <v>36.385207020547981</v>
      </c>
      <c r="Q30" s="22"/>
      <c r="R30" s="22"/>
      <c r="S30" s="22">
        <f t="shared" si="6"/>
        <v>196.26353027920462</v>
      </c>
      <c r="T30" s="22">
        <f t="shared" si="7"/>
        <v>397.68349528698968</v>
      </c>
    </row>
    <row r="31" spans="1:20" x14ac:dyDescent="0.2">
      <c r="A31" s="5">
        <v>40</v>
      </c>
      <c r="B31" s="1">
        <f t="shared" si="8"/>
        <v>1.6795818512976552</v>
      </c>
      <c r="C31" s="5">
        <f t="shared" si="9"/>
        <v>30241.536515134805</v>
      </c>
      <c r="D31" s="5">
        <f t="shared" si="0"/>
        <v>29406.968933772121</v>
      </c>
      <c r="E31" s="5">
        <f t="shared" si="1"/>
        <v>19906.968933772121</v>
      </c>
      <c r="F31" s="5">
        <f t="shared" si="2"/>
        <v>6801.3753568765969</v>
      </c>
      <c r="G31" s="5">
        <f t="shared" si="3"/>
        <v>22605.593576895524</v>
      </c>
      <c r="H31" s="22">
        <f t="shared" si="10"/>
        <v>13836.279591828536</v>
      </c>
      <c r="I31" s="5">
        <f t="shared" si="4"/>
        <v>35653.205231989836</v>
      </c>
      <c r="J31" s="26">
        <f t="shared" si="5"/>
        <v>0.14223796999131083</v>
      </c>
      <c r="L31" s="22">
        <f t="shared" si="11"/>
        <v>40756.206756313855</v>
      </c>
      <c r="M31" s="5">
        <f>scrimecost*Meta!O28</f>
        <v>406.20399999999995</v>
      </c>
      <c r="N31" s="5">
        <f>L31-Grade12!L31</f>
        <v>460.52444622319308</v>
      </c>
      <c r="O31" s="5">
        <f>Grade12!M31-M31</f>
        <v>3.5220000000000482</v>
      </c>
      <c r="P31" s="22">
        <f t="shared" si="12"/>
        <v>37.053240340692717</v>
      </c>
      <c r="Q31" s="22"/>
      <c r="R31" s="22"/>
      <c r="S31" s="22">
        <f t="shared" si="6"/>
        <v>200.56994297390429</v>
      </c>
      <c r="T31" s="22">
        <f t="shared" si="7"/>
        <v>420.30879389465719</v>
      </c>
    </row>
    <row r="32" spans="1:20" x14ac:dyDescent="0.2">
      <c r="A32" s="5">
        <v>41</v>
      </c>
      <c r="B32" s="1">
        <f t="shared" si="8"/>
        <v>1.7215713975800966</v>
      </c>
      <c r="C32" s="5">
        <f t="shared" si="9"/>
        <v>30997.574928013171</v>
      </c>
      <c r="D32" s="5">
        <f t="shared" si="0"/>
        <v>30119.913157116418</v>
      </c>
      <c r="E32" s="5">
        <f t="shared" si="1"/>
        <v>20619.913157116418</v>
      </c>
      <c r="F32" s="5">
        <f t="shared" si="2"/>
        <v>7034.1516457985108</v>
      </c>
      <c r="G32" s="5">
        <f t="shared" si="3"/>
        <v>23085.761511317905</v>
      </c>
      <c r="H32" s="22">
        <f t="shared" si="10"/>
        <v>14182.18658162425</v>
      </c>
      <c r="I32" s="5">
        <f t="shared" si="4"/>
        <v>36459.563457789569</v>
      </c>
      <c r="J32" s="26">
        <f t="shared" si="5"/>
        <v>0.14423240426179601</v>
      </c>
      <c r="L32" s="22">
        <f t="shared" si="11"/>
        <v>41775.111925221696</v>
      </c>
      <c r="M32" s="5">
        <f>scrimecost*Meta!O29</f>
        <v>406.20399999999995</v>
      </c>
      <c r="N32" s="5">
        <f>L32-Grade12!L32</f>
        <v>472.03755737877509</v>
      </c>
      <c r="O32" s="5">
        <f>Grade12!M32-M32</f>
        <v>3.5220000000000482</v>
      </c>
      <c r="P32" s="22">
        <f t="shared" si="12"/>
        <v>37.737974493841087</v>
      </c>
      <c r="Q32" s="22"/>
      <c r="R32" s="22"/>
      <c r="S32" s="22">
        <f t="shared" si="6"/>
        <v>205.37058038597365</v>
      </c>
      <c r="T32" s="22">
        <f t="shared" si="7"/>
        <v>445.08762632332946</v>
      </c>
    </row>
    <row r="33" spans="1:20" x14ac:dyDescent="0.2">
      <c r="A33" s="5">
        <v>42</v>
      </c>
      <c r="B33" s="1">
        <f t="shared" si="8"/>
        <v>1.7646106825195991</v>
      </c>
      <c r="C33" s="5">
        <f t="shared" si="9"/>
        <v>31772.514301213501</v>
      </c>
      <c r="D33" s="5">
        <f t="shared" si="0"/>
        <v>30850.680986044332</v>
      </c>
      <c r="E33" s="5">
        <f t="shared" si="1"/>
        <v>21350.680986044332</v>
      </c>
      <c r="F33" s="5">
        <f t="shared" si="2"/>
        <v>7272.7473419434737</v>
      </c>
      <c r="G33" s="5">
        <f t="shared" si="3"/>
        <v>23577.933644100856</v>
      </c>
      <c r="H33" s="22">
        <f t="shared" si="10"/>
        <v>14536.741246164856</v>
      </c>
      <c r="I33" s="5">
        <f t="shared" si="4"/>
        <v>37286.080639234315</v>
      </c>
      <c r="J33" s="26">
        <f t="shared" si="5"/>
        <v>0.1461781937939767</v>
      </c>
      <c r="L33" s="22">
        <f t="shared" si="11"/>
        <v>42819.489723352242</v>
      </c>
      <c r="M33" s="5">
        <f>scrimecost*Meta!O30</f>
        <v>406.20399999999995</v>
      </c>
      <c r="N33" s="5">
        <f>L33-Grade12!L33</f>
        <v>483.83849631324847</v>
      </c>
      <c r="O33" s="5">
        <f>Grade12!M33-M33</f>
        <v>3.5220000000000482</v>
      </c>
      <c r="P33" s="22">
        <f t="shared" si="12"/>
        <v>38.43982700081817</v>
      </c>
      <c r="Q33" s="22"/>
      <c r="R33" s="22"/>
      <c r="S33" s="22">
        <f t="shared" si="6"/>
        <v>210.29123373334545</v>
      </c>
      <c r="T33" s="22">
        <f t="shared" si="7"/>
        <v>471.33872654786541</v>
      </c>
    </row>
    <row r="34" spans="1:20" x14ac:dyDescent="0.2">
      <c r="A34" s="5">
        <v>43</v>
      </c>
      <c r="B34" s="1">
        <f t="shared" si="8"/>
        <v>1.8087259495825889</v>
      </c>
      <c r="C34" s="5">
        <f t="shared" si="9"/>
        <v>32566.827158743836</v>
      </c>
      <c r="D34" s="5">
        <f t="shared" si="0"/>
        <v>31599.718010695437</v>
      </c>
      <c r="E34" s="5">
        <f t="shared" si="1"/>
        <v>22099.718010695437</v>
      </c>
      <c r="F34" s="5">
        <f t="shared" si="2"/>
        <v>7517.3079304920593</v>
      </c>
      <c r="G34" s="5">
        <f t="shared" si="3"/>
        <v>24082.410080203379</v>
      </c>
      <c r="H34" s="22">
        <f t="shared" si="10"/>
        <v>14900.159777318977</v>
      </c>
      <c r="I34" s="5">
        <f t="shared" si="4"/>
        <v>38133.260750215173</v>
      </c>
      <c r="J34" s="26">
        <f t="shared" si="5"/>
        <v>0.14807652504488464</v>
      </c>
      <c r="L34" s="22">
        <f t="shared" si="11"/>
        <v>43889.976966436043</v>
      </c>
      <c r="M34" s="5">
        <f>scrimecost*Meta!O31</f>
        <v>406.20399999999995</v>
      </c>
      <c r="N34" s="5">
        <f>L34-Grade12!L34</f>
        <v>495.93445872108714</v>
      </c>
      <c r="O34" s="5">
        <f>Grade12!M34-M34</f>
        <v>3.5220000000000482</v>
      </c>
      <c r="P34" s="22">
        <f t="shared" si="12"/>
        <v>39.159225820469672</v>
      </c>
      <c r="Q34" s="22"/>
      <c r="R34" s="22"/>
      <c r="S34" s="22">
        <f t="shared" si="6"/>
        <v>215.33490341440282</v>
      </c>
      <c r="T34" s="22">
        <f t="shared" si="7"/>
        <v>499.14997059163159</v>
      </c>
    </row>
    <row r="35" spans="1:20" x14ac:dyDescent="0.2">
      <c r="A35" s="5">
        <v>44</v>
      </c>
      <c r="B35" s="1">
        <f t="shared" si="8"/>
        <v>1.8539440983221533</v>
      </c>
      <c r="C35" s="5">
        <f t="shared" si="9"/>
        <v>33380.997837712428</v>
      </c>
      <c r="D35" s="5">
        <f t="shared" si="0"/>
        <v>32367.480960962817</v>
      </c>
      <c r="E35" s="5">
        <f t="shared" si="1"/>
        <v>22867.480960962817</v>
      </c>
      <c r="F35" s="5">
        <f t="shared" si="2"/>
        <v>7767.9825337543598</v>
      </c>
      <c r="G35" s="5">
        <f t="shared" si="3"/>
        <v>24599.498427208458</v>
      </c>
      <c r="H35" s="22">
        <f t="shared" si="10"/>
        <v>15272.66377175195</v>
      </c>
      <c r="I35" s="5">
        <f t="shared" si="4"/>
        <v>39001.620363970549</v>
      </c>
      <c r="J35" s="26">
        <f t="shared" si="5"/>
        <v>0.14992855553357537</v>
      </c>
      <c r="L35" s="22">
        <f t="shared" si="11"/>
        <v>44987.226390596938</v>
      </c>
      <c r="M35" s="5">
        <f>scrimecost*Meta!O32</f>
        <v>406.20399999999995</v>
      </c>
      <c r="N35" s="5">
        <f>L35-Grade12!L35</f>
        <v>508.33282018910541</v>
      </c>
      <c r="O35" s="5">
        <f>Grade12!M35-M35</f>
        <v>3.5220000000000482</v>
      </c>
      <c r="P35" s="22">
        <f t="shared" si="12"/>
        <v>39.896609610612458</v>
      </c>
      <c r="Q35" s="22"/>
      <c r="R35" s="22"/>
      <c r="S35" s="22">
        <f t="shared" si="6"/>
        <v>220.50466483748045</v>
      </c>
      <c r="T35" s="22">
        <f t="shared" si="7"/>
        <v>528.61449338156729</v>
      </c>
    </row>
    <row r="36" spans="1:20" x14ac:dyDescent="0.2">
      <c r="A36" s="5">
        <v>45</v>
      </c>
      <c r="B36" s="1">
        <f t="shared" si="8"/>
        <v>1.9002927007802071</v>
      </c>
      <c r="C36" s="5">
        <f t="shared" si="9"/>
        <v>34215.522783655237</v>
      </c>
      <c r="D36" s="5">
        <f t="shared" si="0"/>
        <v>33154.437984986886</v>
      </c>
      <c r="E36" s="5">
        <f t="shared" si="1"/>
        <v>23654.437984986886</v>
      </c>
      <c r="F36" s="5">
        <f t="shared" si="2"/>
        <v>8024.9240020982179</v>
      </c>
      <c r="G36" s="5">
        <f t="shared" si="3"/>
        <v>25129.513982888668</v>
      </c>
      <c r="H36" s="22">
        <f t="shared" si="10"/>
        <v>15654.480366045746</v>
      </c>
      <c r="I36" s="5">
        <f t="shared" si="4"/>
        <v>39891.688968069808</v>
      </c>
      <c r="J36" s="26">
        <f t="shared" si="5"/>
        <v>0.15173541454693212</v>
      </c>
      <c r="L36" s="22">
        <f t="shared" si="11"/>
        <v>46111.907050361864</v>
      </c>
      <c r="M36" s="5">
        <f>scrimecost*Meta!O33</f>
        <v>312.78399999999999</v>
      </c>
      <c r="N36" s="5">
        <f>L36-Grade12!L36</f>
        <v>521.04114069382922</v>
      </c>
      <c r="O36" s="5">
        <f>Grade12!M36-M36</f>
        <v>2.7119999999999891</v>
      </c>
      <c r="P36" s="22">
        <f t="shared" si="12"/>
        <v>40.652427995508816</v>
      </c>
      <c r="Q36" s="22"/>
      <c r="R36" s="22"/>
      <c r="S36" s="22">
        <f t="shared" si="6"/>
        <v>225.27879029613686</v>
      </c>
      <c r="T36" s="22">
        <f t="shared" si="7"/>
        <v>558.52967833728383</v>
      </c>
    </row>
    <row r="37" spans="1:20" x14ac:dyDescent="0.2">
      <c r="A37" s="5">
        <v>46</v>
      </c>
      <c r="B37" s="1">
        <f t="shared" ref="B37:B56" si="13">(1+experiencepremium)^(A37-startage)</f>
        <v>1.9478000182997122</v>
      </c>
      <c r="C37" s="5">
        <f t="shared" ref="C37:C56" si="14">pretaxincome*B37/expnorm</f>
        <v>35070.910853246613</v>
      </c>
      <c r="D37" s="5">
        <f t="shared" ref="D37:D56" si="15">IF(A37&lt;startage,1,0)*(C37*(1-initialunempprob))+IF(A37=startage,1,0)*(C37*(1-unempprob))+IF(A37&gt;startage,1,0)*(C37*(1-unempprob)+unempprob*300*52)</f>
        <v>33961.068934611554</v>
      </c>
      <c r="E37" s="5">
        <f t="shared" si="1"/>
        <v>24461.068934611554</v>
      </c>
      <c r="F37" s="5">
        <f t="shared" si="2"/>
        <v>8288.2890071506718</v>
      </c>
      <c r="G37" s="5">
        <f t="shared" si="3"/>
        <v>25672.779927460884</v>
      </c>
      <c r="H37" s="22">
        <f t="shared" ref="H37:H56" si="16">benefits*B37/expnorm</f>
        <v>16045.842375196888</v>
      </c>
      <c r="I37" s="5">
        <f t="shared" ref="I37:I56" si="17">G37+IF(A37&lt;startage,1,0)*(H37*(1-initialunempprob))+IF(A37&gt;=startage,1,0)*(H37*(1-unempprob))</f>
        <v>40804.009287271547</v>
      </c>
      <c r="J37" s="26">
        <f t="shared" si="5"/>
        <v>0.15349820382825582</v>
      </c>
      <c r="L37" s="22">
        <f t="shared" ref="L37:L56" si="18">(sincome+sbenefits)*(1-sunemp)*B37/expnorm</f>
        <v>47264.704726620897</v>
      </c>
      <c r="M37" s="5">
        <f>scrimecost*Meta!O34</f>
        <v>312.78399999999999</v>
      </c>
      <c r="N37" s="5">
        <f>L37-Grade12!L37</f>
        <v>534.06716921117186</v>
      </c>
      <c r="O37" s="5">
        <f>Grade12!M37-M37</f>
        <v>2.7119999999999891</v>
      </c>
      <c r="P37" s="22">
        <f t="shared" si="12"/>
        <v>41.427141840027581</v>
      </c>
      <c r="Q37" s="22"/>
      <c r="R37" s="22"/>
      <c r="S37" s="22">
        <f t="shared" si="6"/>
        <v>230.71027089126005</v>
      </c>
      <c r="T37" s="22">
        <f t="shared" si="7"/>
        <v>591.5582881383184</v>
      </c>
    </row>
    <row r="38" spans="1:20" x14ac:dyDescent="0.2">
      <c r="A38" s="5">
        <v>47</v>
      </c>
      <c r="B38" s="1">
        <f t="shared" si="13"/>
        <v>1.9964950187572048</v>
      </c>
      <c r="C38" s="5">
        <f t="shared" si="14"/>
        <v>35947.683624577774</v>
      </c>
      <c r="D38" s="5">
        <f t="shared" si="15"/>
        <v>34787.865657976836</v>
      </c>
      <c r="E38" s="5">
        <f t="shared" si="1"/>
        <v>25287.865657976836</v>
      </c>
      <c r="F38" s="5">
        <f t="shared" si="2"/>
        <v>8558.2381373294374</v>
      </c>
      <c r="G38" s="5">
        <f t="shared" si="3"/>
        <v>26229.627520647398</v>
      </c>
      <c r="H38" s="22">
        <f t="shared" si="16"/>
        <v>16446.988434576811</v>
      </c>
      <c r="I38" s="5">
        <f t="shared" si="17"/>
        <v>41739.137614453328</v>
      </c>
      <c r="J38" s="26">
        <f t="shared" si="5"/>
        <v>0.15521799824905941</v>
      </c>
      <c r="L38" s="22">
        <f t="shared" si="18"/>
        <v>48446.322344786422</v>
      </c>
      <c r="M38" s="5">
        <f>scrimecost*Meta!O35</f>
        <v>312.78399999999999</v>
      </c>
      <c r="N38" s="5">
        <f>L38-Grade12!L38</f>
        <v>547.41884844144806</v>
      </c>
      <c r="O38" s="5">
        <f>Grade12!M38-M38</f>
        <v>2.7119999999999891</v>
      </c>
      <c r="P38" s="22">
        <f t="shared" si="12"/>
        <v>42.221223530659316</v>
      </c>
      <c r="Q38" s="22"/>
      <c r="R38" s="22"/>
      <c r="S38" s="22">
        <f t="shared" si="6"/>
        <v>236.27753850126129</v>
      </c>
      <c r="T38" s="22">
        <f t="shared" si="7"/>
        <v>626.55286036659027</v>
      </c>
    </row>
    <row r="39" spans="1:20" x14ac:dyDescent="0.2">
      <c r="A39" s="5">
        <v>48</v>
      </c>
      <c r="B39" s="1">
        <f t="shared" si="13"/>
        <v>2.0464073942261352</v>
      </c>
      <c r="C39" s="5">
        <f t="shared" si="14"/>
        <v>36846.375715192225</v>
      </c>
      <c r="D39" s="5">
        <f t="shared" si="15"/>
        <v>35635.332299426263</v>
      </c>
      <c r="E39" s="5">
        <f t="shared" si="1"/>
        <v>26135.332299426263</v>
      </c>
      <c r="F39" s="5">
        <f t="shared" si="2"/>
        <v>8834.9359957626748</v>
      </c>
      <c r="G39" s="5">
        <f t="shared" si="3"/>
        <v>26800.396303663591</v>
      </c>
      <c r="H39" s="22">
        <f t="shared" si="16"/>
        <v>16858.163145441231</v>
      </c>
      <c r="I39" s="5">
        <f t="shared" si="17"/>
        <v>42697.644149814674</v>
      </c>
      <c r="J39" s="26">
        <f t="shared" si="5"/>
        <v>0.15689584646447755</v>
      </c>
      <c r="L39" s="22">
        <f t="shared" si="18"/>
        <v>49657.480403406087</v>
      </c>
      <c r="M39" s="5">
        <f>scrimecost*Meta!O36</f>
        <v>312.78399999999999</v>
      </c>
      <c r="N39" s="5">
        <f>L39-Grade12!L39</f>
        <v>561.10431965250609</v>
      </c>
      <c r="O39" s="5">
        <f>Grade12!M39-M39</f>
        <v>2.7119999999999891</v>
      </c>
      <c r="P39" s="22">
        <f t="shared" si="12"/>
        <v>43.035157263556847</v>
      </c>
      <c r="Q39" s="22"/>
      <c r="R39" s="22"/>
      <c r="S39" s="22">
        <f t="shared" si="6"/>
        <v>241.98398780152201</v>
      </c>
      <c r="T39" s="22">
        <f t="shared" si="7"/>
        <v>663.63086023925655</v>
      </c>
    </row>
    <row r="40" spans="1:20" x14ac:dyDescent="0.2">
      <c r="A40" s="5">
        <v>49</v>
      </c>
      <c r="B40" s="1">
        <f t="shared" si="13"/>
        <v>2.097567579081788</v>
      </c>
      <c r="C40" s="5">
        <f t="shared" si="14"/>
        <v>37767.535108072021</v>
      </c>
      <c r="D40" s="5">
        <f t="shared" si="15"/>
        <v>36503.985606911912</v>
      </c>
      <c r="E40" s="5">
        <f t="shared" si="1"/>
        <v>27003.985606911912</v>
      </c>
      <c r="F40" s="5">
        <f t="shared" si="2"/>
        <v>9118.5513006567398</v>
      </c>
      <c r="G40" s="5">
        <f t="shared" si="3"/>
        <v>27385.434306255171</v>
      </c>
      <c r="H40" s="22">
        <f t="shared" si="16"/>
        <v>17279.617224077258</v>
      </c>
      <c r="I40" s="5">
        <f t="shared" si="17"/>
        <v>43680.113348560022</v>
      </c>
      <c r="J40" s="26">
        <f t="shared" si="5"/>
        <v>0.15853277155269038</v>
      </c>
      <c r="L40" s="22">
        <f t="shared" si="18"/>
        <v>50898.917413491225</v>
      </c>
      <c r="M40" s="5">
        <f>scrimecost*Meta!O37</f>
        <v>312.78399999999999</v>
      </c>
      <c r="N40" s="5">
        <f>L40-Grade12!L40</f>
        <v>575.13192764378618</v>
      </c>
      <c r="O40" s="5">
        <f>Grade12!M40-M40</f>
        <v>2.7119999999999891</v>
      </c>
      <c r="P40" s="22">
        <f t="shared" si="12"/>
        <v>43.869439339776811</v>
      </c>
      <c r="Q40" s="22"/>
      <c r="R40" s="22"/>
      <c r="S40" s="22">
        <f t="shared" si="6"/>
        <v>247.83309833426867</v>
      </c>
      <c r="T40" s="22">
        <f t="shared" si="7"/>
        <v>702.91678682044892</v>
      </c>
    </row>
    <row r="41" spans="1:20" x14ac:dyDescent="0.2">
      <c r="A41" s="5">
        <v>50</v>
      </c>
      <c r="B41" s="1">
        <f t="shared" si="13"/>
        <v>2.1500067685588333</v>
      </c>
      <c r="C41" s="5">
        <f t="shared" si="14"/>
        <v>38711.723485773837</v>
      </c>
      <c r="D41" s="5">
        <f t="shared" si="15"/>
        <v>37394.355247084721</v>
      </c>
      <c r="E41" s="5">
        <f t="shared" si="1"/>
        <v>27894.355247084721</v>
      </c>
      <c r="F41" s="5">
        <f t="shared" si="2"/>
        <v>9409.2569881731615</v>
      </c>
      <c r="G41" s="5">
        <f t="shared" si="3"/>
        <v>27985.098258911559</v>
      </c>
      <c r="H41" s="22">
        <f t="shared" si="16"/>
        <v>17711.607654679192</v>
      </c>
      <c r="I41" s="5">
        <f t="shared" si="17"/>
        <v>44687.144277274041</v>
      </c>
      <c r="J41" s="26">
        <f t="shared" si="5"/>
        <v>0.16012977163875172</v>
      </c>
      <c r="L41" s="22">
        <f t="shared" si="18"/>
        <v>52171.390348828521</v>
      </c>
      <c r="M41" s="5">
        <f>scrimecost*Meta!O38</f>
        <v>189.95400000000001</v>
      </c>
      <c r="N41" s="5">
        <f>L41-Grade12!L41</f>
        <v>589.51022583490703</v>
      </c>
      <c r="O41" s="5">
        <f>Grade12!M41-M41</f>
        <v>1.6470000000000198</v>
      </c>
      <c r="P41" s="22">
        <f t="shared" si="12"/>
        <v>44.724578467902298</v>
      </c>
      <c r="Q41" s="22"/>
      <c r="R41" s="22"/>
      <c r="S41" s="22">
        <f t="shared" ref="S41:S69" si="19">IF(A41&lt;startage,1,0)*(N41-Q41-R41)+IF(A41&gt;=startage,1,0)*completionprob*(N41*spart+O41+P41)</f>
        <v>253.1383166303562</v>
      </c>
      <c r="T41" s="22">
        <f t="shared" ref="T41:T69" si="20">S41/sreturn^(A41-startage+1)</f>
        <v>742.51829934286673</v>
      </c>
    </row>
    <row r="42" spans="1:20" x14ac:dyDescent="0.2">
      <c r="A42" s="5">
        <v>51</v>
      </c>
      <c r="B42" s="1">
        <f t="shared" si="13"/>
        <v>2.2037569377728037</v>
      </c>
      <c r="C42" s="5">
        <f t="shared" si="14"/>
        <v>39679.516572918175</v>
      </c>
      <c r="D42" s="5">
        <f t="shared" si="15"/>
        <v>38306.984128261836</v>
      </c>
      <c r="E42" s="5">
        <f t="shared" si="1"/>
        <v>28806.984128261836</v>
      </c>
      <c r="F42" s="5">
        <f t="shared" si="2"/>
        <v>9707.2303178774891</v>
      </c>
      <c r="G42" s="5">
        <f t="shared" si="3"/>
        <v>28599.753810384347</v>
      </c>
      <c r="H42" s="22">
        <f t="shared" si="16"/>
        <v>18154.397846046173</v>
      </c>
      <c r="I42" s="5">
        <f t="shared" si="17"/>
        <v>45719.35097920589</v>
      </c>
      <c r="J42" s="26">
        <f t="shared" si="5"/>
        <v>0.16168782050320174</v>
      </c>
      <c r="L42" s="22">
        <f t="shared" si="18"/>
        <v>53475.675107549221</v>
      </c>
      <c r="M42" s="5">
        <f>scrimecost*Meta!O39</f>
        <v>189.95400000000001</v>
      </c>
      <c r="N42" s="5">
        <f>L42-Grade12!L42</f>
        <v>604.24798148076661</v>
      </c>
      <c r="O42" s="5">
        <f>Grade12!M42-M42</f>
        <v>1.6470000000000198</v>
      </c>
      <c r="P42" s="22">
        <f t="shared" si="12"/>
        <v>45.601096074230895</v>
      </c>
      <c r="Q42" s="22"/>
      <c r="R42" s="22"/>
      <c r="S42" s="22">
        <f t="shared" si="19"/>
        <v>259.28353838383111</v>
      </c>
      <c r="T42" s="22">
        <f t="shared" si="20"/>
        <v>786.55461427192517</v>
      </c>
    </row>
    <row r="43" spans="1:20" x14ac:dyDescent="0.2">
      <c r="A43" s="5">
        <v>52</v>
      </c>
      <c r="B43" s="1">
        <f t="shared" si="13"/>
        <v>2.2588508612171236</v>
      </c>
      <c r="C43" s="5">
        <f t="shared" si="14"/>
        <v>40671.504487241131</v>
      </c>
      <c r="D43" s="5">
        <f t="shared" si="15"/>
        <v>39242.428731468382</v>
      </c>
      <c r="E43" s="5">
        <f t="shared" si="1"/>
        <v>29742.428731468382</v>
      </c>
      <c r="F43" s="5">
        <f t="shared" si="2"/>
        <v>10012.652980824427</v>
      </c>
      <c r="G43" s="5">
        <f t="shared" si="3"/>
        <v>29229.775750643956</v>
      </c>
      <c r="H43" s="22">
        <f t="shared" si="16"/>
        <v>18608.257792197321</v>
      </c>
      <c r="I43" s="5">
        <f t="shared" si="17"/>
        <v>46777.362848686025</v>
      </c>
      <c r="J43" s="26">
        <f t="shared" si="5"/>
        <v>0.16320786817583594</v>
      </c>
      <c r="L43" s="22">
        <f t="shared" si="18"/>
        <v>54812.566985237951</v>
      </c>
      <c r="M43" s="5">
        <f>scrimecost*Meta!O40</f>
        <v>189.95400000000001</v>
      </c>
      <c r="N43" s="5">
        <f>L43-Grade12!L43</f>
        <v>619.35418101778487</v>
      </c>
      <c r="O43" s="5">
        <f>Grade12!M43-M43</f>
        <v>1.6470000000000198</v>
      </c>
      <c r="P43" s="22">
        <f t="shared" si="12"/>
        <v>46.499526620717717</v>
      </c>
      <c r="Q43" s="22"/>
      <c r="R43" s="22"/>
      <c r="S43" s="22">
        <f t="shared" si="19"/>
        <v>265.58239068114744</v>
      </c>
      <c r="T43" s="22">
        <f t="shared" si="20"/>
        <v>833.21653364101849</v>
      </c>
    </row>
    <row r="44" spans="1:20" x14ac:dyDescent="0.2">
      <c r="A44" s="5">
        <v>53</v>
      </c>
      <c r="B44" s="1">
        <f t="shared" si="13"/>
        <v>2.3153221327475517</v>
      </c>
      <c r="C44" s="5">
        <f t="shared" si="14"/>
        <v>41688.292099422157</v>
      </c>
      <c r="D44" s="5">
        <f t="shared" si="15"/>
        <v>40201.259449755089</v>
      </c>
      <c r="E44" s="5">
        <f t="shared" si="1"/>
        <v>30701.259449755089</v>
      </c>
      <c r="F44" s="5">
        <f t="shared" si="2"/>
        <v>10325.711210345036</v>
      </c>
      <c r="G44" s="5">
        <f t="shared" si="3"/>
        <v>29875.548239410055</v>
      </c>
      <c r="H44" s="22">
        <f t="shared" si="16"/>
        <v>19073.464237002259</v>
      </c>
      <c r="I44" s="5">
        <f t="shared" si="17"/>
        <v>47861.825014903181</v>
      </c>
      <c r="J44" s="26">
        <f t="shared" si="5"/>
        <v>0.16469084151499125</v>
      </c>
      <c r="L44" s="22">
        <f t="shared" si="18"/>
        <v>56182.881159868899</v>
      </c>
      <c r="M44" s="5">
        <f>scrimecost*Meta!O41</f>
        <v>189.95400000000001</v>
      </c>
      <c r="N44" s="5">
        <f>L44-Grade12!L44</f>
        <v>634.8380355432455</v>
      </c>
      <c r="O44" s="5">
        <f>Grade12!M44-M44</f>
        <v>1.6470000000000198</v>
      </c>
      <c r="P44" s="22">
        <f t="shared" si="12"/>
        <v>47.420417930866712</v>
      </c>
      <c r="Q44" s="22"/>
      <c r="R44" s="22"/>
      <c r="S44" s="22">
        <f t="shared" si="19"/>
        <v>272.0387142859031</v>
      </c>
      <c r="T44" s="22">
        <f t="shared" si="20"/>
        <v>882.661088799136</v>
      </c>
    </row>
    <row r="45" spans="1:20" x14ac:dyDescent="0.2">
      <c r="A45" s="5">
        <v>54</v>
      </c>
      <c r="B45" s="1">
        <f t="shared" si="13"/>
        <v>2.3732051860662402</v>
      </c>
      <c r="C45" s="5">
        <f t="shared" si="14"/>
        <v>42730.499401907706</v>
      </c>
      <c r="D45" s="5">
        <f t="shared" si="15"/>
        <v>41184.060935998961</v>
      </c>
      <c r="E45" s="5">
        <f t="shared" si="1"/>
        <v>31684.060935998961</v>
      </c>
      <c r="F45" s="5">
        <f t="shared" si="2"/>
        <v>10646.595895603661</v>
      </c>
      <c r="G45" s="5">
        <f t="shared" si="3"/>
        <v>30537.465040395298</v>
      </c>
      <c r="H45" s="22">
        <f t="shared" si="16"/>
        <v>19550.30084292731</v>
      </c>
      <c r="I45" s="5">
        <f t="shared" si="17"/>
        <v>48973.398735275754</v>
      </c>
      <c r="J45" s="26">
        <f t="shared" si="5"/>
        <v>0.16613764477270374</v>
      </c>
      <c r="L45" s="22">
        <f t="shared" si="18"/>
        <v>57587.453188865613</v>
      </c>
      <c r="M45" s="5">
        <f>scrimecost*Meta!O42</f>
        <v>189.95400000000001</v>
      </c>
      <c r="N45" s="5">
        <f>L45-Grade12!L45</f>
        <v>650.70898643180408</v>
      </c>
      <c r="O45" s="5">
        <f>Grade12!M45-M45</f>
        <v>1.6470000000000198</v>
      </c>
      <c r="P45" s="22">
        <f t="shared" si="12"/>
        <v>48.364331523769422</v>
      </c>
      <c r="Q45" s="22"/>
      <c r="R45" s="22"/>
      <c r="S45" s="22">
        <f t="shared" si="19"/>
        <v>278.65644598076301</v>
      </c>
      <c r="T45" s="22">
        <f t="shared" si="20"/>
        <v>935.05471942727172</v>
      </c>
    </row>
    <row r="46" spans="1:20" x14ac:dyDescent="0.2">
      <c r="A46" s="5">
        <v>55</v>
      </c>
      <c r="B46" s="1">
        <f t="shared" si="13"/>
        <v>2.4325353157178964</v>
      </c>
      <c r="C46" s="5">
        <f t="shared" si="14"/>
        <v>43798.761886955399</v>
      </c>
      <c r="D46" s="5">
        <f t="shared" si="15"/>
        <v>42191.432459398937</v>
      </c>
      <c r="E46" s="5">
        <f t="shared" si="1"/>
        <v>32691.432459398937</v>
      </c>
      <c r="F46" s="5">
        <f t="shared" si="2"/>
        <v>10975.502697993754</v>
      </c>
      <c r="G46" s="5">
        <f t="shared" si="3"/>
        <v>31215.929761405183</v>
      </c>
      <c r="H46" s="22">
        <f t="shared" si="16"/>
        <v>20039.058364000495</v>
      </c>
      <c r="I46" s="5">
        <f t="shared" si="17"/>
        <v>50112.761798657652</v>
      </c>
      <c r="J46" s="26">
        <f t="shared" si="5"/>
        <v>0.16754916014608182</v>
      </c>
      <c r="L46" s="22">
        <f t="shared" si="18"/>
        <v>59027.139518587261</v>
      </c>
      <c r="M46" s="5">
        <f>scrimecost*Meta!O43</f>
        <v>94.804000000000002</v>
      </c>
      <c r="N46" s="5">
        <f>L46-Grade12!L46</f>
        <v>666.97671109261864</v>
      </c>
      <c r="O46" s="5">
        <f>Grade12!M46-M46</f>
        <v>0.82200000000000273</v>
      </c>
      <c r="P46" s="22">
        <f t="shared" si="12"/>
        <v>49.331842956494718</v>
      </c>
      <c r="Q46" s="22"/>
      <c r="R46" s="22"/>
      <c r="S46" s="22">
        <f t="shared" si="19"/>
        <v>284.90502096801043</v>
      </c>
      <c r="T46" s="22">
        <f t="shared" si="20"/>
        <v>988.71859159313817</v>
      </c>
    </row>
    <row r="47" spans="1:20" x14ac:dyDescent="0.2">
      <c r="A47" s="5">
        <v>56</v>
      </c>
      <c r="B47" s="1">
        <f t="shared" si="13"/>
        <v>2.4933486986108435</v>
      </c>
      <c r="C47" s="5">
        <f t="shared" si="14"/>
        <v>44893.730934129278</v>
      </c>
      <c r="D47" s="5">
        <f t="shared" si="15"/>
        <v>43223.988270883907</v>
      </c>
      <c r="E47" s="5">
        <f t="shared" si="1"/>
        <v>33723.988270883907</v>
      </c>
      <c r="F47" s="5">
        <f t="shared" si="2"/>
        <v>11312.632170443596</v>
      </c>
      <c r="G47" s="5">
        <f t="shared" si="3"/>
        <v>31911.356100440309</v>
      </c>
      <c r="H47" s="22">
        <f t="shared" si="16"/>
        <v>20540.034823100505</v>
      </c>
      <c r="I47" s="5">
        <f t="shared" si="17"/>
        <v>51280.608938624086</v>
      </c>
      <c r="J47" s="26">
        <f t="shared" si="5"/>
        <v>0.16892624831523112</v>
      </c>
      <c r="L47" s="22">
        <f t="shared" si="18"/>
        <v>60502.818006551934</v>
      </c>
      <c r="M47" s="5">
        <f>scrimecost*Meta!O44</f>
        <v>94.804000000000002</v>
      </c>
      <c r="N47" s="5">
        <f>L47-Grade12!L47</f>
        <v>683.65112886993302</v>
      </c>
      <c r="O47" s="5">
        <f>Grade12!M47-M47</f>
        <v>0.82200000000000273</v>
      </c>
      <c r="P47" s="22">
        <f t="shared" si="12"/>
        <v>50.323542175038135</v>
      </c>
      <c r="Q47" s="22"/>
      <c r="R47" s="22"/>
      <c r="S47" s="22">
        <f t="shared" si="19"/>
        <v>291.8577753299312</v>
      </c>
      <c r="T47" s="22">
        <f t="shared" si="20"/>
        <v>1047.486730692777</v>
      </c>
    </row>
    <row r="48" spans="1:20" x14ac:dyDescent="0.2">
      <c r="A48" s="5">
        <v>57</v>
      </c>
      <c r="B48" s="1">
        <f t="shared" si="13"/>
        <v>2.555682416076114</v>
      </c>
      <c r="C48" s="5">
        <f t="shared" si="14"/>
        <v>46016.074207482496</v>
      </c>
      <c r="D48" s="5">
        <f t="shared" si="15"/>
        <v>44282.357977655985</v>
      </c>
      <c r="E48" s="5">
        <f t="shared" si="1"/>
        <v>34782.357977655985</v>
      </c>
      <c r="F48" s="5">
        <f t="shared" si="2"/>
        <v>11686.425677470279</v>
      </c>
      <c r="G48" s="5">
        <f t="shared" si="3"/>
        <v>32595.932300185705</v>
      </c>
      <c r="H48" s="22">
        <f t="shared" si="16"/>
        <v>21053.535693678012</v>
      </c>
      <c r="I48" s="5">
        <f t="shared" si="17"/>
        <v>52449.416459324071</v>
      </c>
      <c r="J48" s="26">
        <f t="shared" si="5"/>
        <v>0.17071618844392192</v>
      </c>
      <c r="L48" s="22">
        <f t="shared" si="18"/>
        <v>62015.388456715715</v>
      </c>
      <c r="M48" s="5">
        <f>scrimecost*Meta!O45</f>
        <v>94.804000000000002</v>
      </c>
      <c r="N48" s="5">
        <f>L48-Grade12!L48</f>
        <v>700.74240709166043</v>
      </c>
      <c r="O48" s="5">
        <f>Grade12!M48-M48</f>
        <v>0.82200000000000273</v>
      </c>
      <c r="P48" s="22">
        <f t="shared" si="12"/>
        <v>51.423092226599138</v>
      </c>
      <c r="Q48" s="22"/>
      <c r="R48" s="22"/>
      <c r="S48" s="22">
        <f t="shared" si="19"/>
        <v>299.03817036334749</v>
      </c>
      <c r="T48" s="22">
        <f t="shared" si="20"/>
        <v>1109.9631328130902</v>
      </c>
    </row>
    <row r="49" spans="1:20" x14ac:dyDescent="0.2">
      <c r="A49" s="5">
        <v>58</v>
      </c>
      <c r="B49" s="1">
        <f t="shared" si="13"/>
        <v>2.6195744764780171</v>
      </c>
      <c r="C49" s="5">
        <f t="shared" si="14"/>
        <v>47166.476062669564</v>
      </c>
      <c r="D49" s="5">
        <f t="shared" si="15"/>
        <v>45367.186927097391</v>
      </c>
      <c r="E49" s="5">
        <f t="shared" si="1"/>
        <v>35867.186927097391</v>
      </c>
      <c r="F49" s="5">
        <f t="shared" si="2"/>
        <v>12149.105224407038</v>
      </c>
      <c r="G49" s="5">
        <f t="shared" si="3"/>
        <v>33218.081702690353</v>
      </c>
      <c r="H49" s="22">
        <f t="shared" si="16"/>
        <v>21579.874086019965</v>
      </c>
      <c r="I49" s="5">
        <f t="shared" si="17"/>
        <v>53567.902965807181</v>
      </c>
      <c r="J49" s="26">
        <f t="shared" si="5"/>
        <v>0.17368943264854547</v>
      </c>
      <c r="L49" s="22">
        <f t="shared" si="18"/>
        <v>63565.773168133615</v>
      </c>
      <c r="M49" s="5">
        <f>scrimecost*Meta!O46</f>
        <v>94.804000000000002</v>
      </c>
      <c r="N49" s="5">
        <f>L49-Grade12!L49</f>
        <v>718.26096726896503</v>
      </c>
      <c r="O49" s="5">
        <f>Grade12!M49-M49</f>
        <v>0.82200000000000273</v>
      </c>
      <c r="P49" s="22">
        <f t="shared" si="12"/>
        <v>52.784109232317832</v>
      </c>
      <c r="Q49" s="22"/>
      <c r="R49" s="22"/>
      <c r="S49" s="22">
        <f t="shared" si="19"/>
        <v>306.5496931480709</v>
      </c>
      <c r="T49" s="22">
        <f t="shared" si="20"/>
        <v>1176.7588623131601</v>
      </c>
    </row>
    <row r="50" spans="1:20" x14ac:dyDescent="0.2">
      <c r="A50" s="5">
        <v>59</v>
      </c>
      <c r="B50" s="1">
        <f t="shared" si="13"/>
        <v>2.6850638383899672</v>
      </c>
      <c r="C50" s="5">
        <f t="shared" si="14"/>
        <v>48345.637964236295</v>
      </c>
      <c r="D50" s="5">
        <f t="shared" si="15"/>
        <v>46479.136600274818</v>
      </c>
      <c r="E50" s="5">
        <f t="shared" si="1"/>
        <v>36979.136600274818</v>
      </c>
      <c r="F50" s="5">
        <f t="shared" si="2"/>
        <v>12623.351760017209</v>
      </c>
      <c r="G50" s="5">
        <f t="shared" si="3"/>
        <v>33855.784840257606</v>
      </c>
      <c r="H50" s="22">
        <f t="shared" si="16"/>
        <v>22119.370938170465</v>
      </c>
      <c r="I50" s="5">
        <f t="shared" si="17"/>
        <v>54714.351634952356</v>
      </c>
      <c r="J50" s="26">
        <f t="shared" si="5"/>
        <v>0.17659015870183667</v>
      </c>
      <c r="L50" s="22">
        <f t="shared" si="18"/>
        <v>65154.917497336952</v>
      </c>
      <c r="M50" s="5">
        <f>scrimecost*Meta!O47</f>
        <v>94.804000000000002</v>
      </c>
      <c r="N50" s="5">
        <f>L50-Grade12!L50</f>
        <v>736.21749145069043</v>
      </c>
      <c r="O50" s="5">
        <f>Grade12!M50-M50</f>
        <v>0.82200000000000273</v>
      </c>
      <c r="P50" s="22">
        <f t="shared" si="12"/>
        <v>54.179151663179468</v>
      </c>
      <c r="Q50" s="22"/>
      <c r="R50" s="22"/>
      <c r="S50" s="22">
        <f t="shared" si="19"/>
        <v>314.24900400240796</v>
      </c>
      <c r="T50" s="22">
        <f t="shared" si="20"/>
        <v>1247.5707003964305</v>
      </c>
    </row>
    <row r="51" spans="1:20" x14ac:dyDescent="0.2">
      <c r="A51" s="5">
        <v>60</v>
      </c>
      <c r="B51" s="1">
        <f t="shared" si="13"/>
        <v>2.7521904343497163</v>
      </c>
      <c r="C51" s="5">
        <f t="shared" si="14"/>
        <v>49554.278913342205</v>
      </c>
      <c r="D51" s="5">
        <f t="shared" si="15"/>
        <v>47618.885015281696</v>
      </c>
      <c r="E51" s="5">
        <f t="shared" si="1"/>
        <v>38118.885015281696</v>
      </c>
      <c r="F51" s="5">
        <f t="shared" si="2"/>
        <v>13109.454459017645</v>
      </c>
      <c r="G51" s="5">
        <f t="shared" si="3"/>
        <v>34509.430556264051</v>
      </c>
      <c r="H51" s="22">
        <f t="shared" si="16"/>
        <v>22672.355211624723</v>
      </c>
      <c r="I51" s="5">
        <f t="shared" si="17"/>
        <v>55889.461520826168</v>
      </c>
      <c r="J51" s="26">
        <f t="shared" si="5"/>
        <v>0.17942013533919404</v>
      </c>
      <c r="L51" s="22">
        <f t="shared" si="18"/>
        <v>66783.790434770373</v>
      </c>
      <c r="M51" s="5">
        <f>scrimecost*Meta!O48</f>
        <v>47.402000000000001</v>
      </c>
      <c r="N51" s="5">
        <f>L51-Grade12!L51</f>
        <v>754.62292873696424</v>
      </c>
      <c r="O51" s="5">
        <f>Grade12!M51-M51</f>
        <v>0.41100000000000136</v>
      </c>
      <c r="P51" s="22">
        <f t="shared" si="12"/>
        <v>55.609070154812663</v>
      </c>
      <c r="Q51" s="22"/>
      <c r="R51" s="22"/>
      <c r="S51" s="22">
        <f t="shared" si="19"/>
        <v>321.87446962810549</v>
      </c>
      <c r="T51" s="22">
        <f t="shared" si="20"/>
        <v>1321.5465106574177</v>
      </c>
    </row>
    <row r="52" spans="1:20" x14ac:dyDescent="0.2">
      <c r="A52" s="5">
        <v>61</v>
      </c>
      <c r="B52" s="1">
        <f t="shared" si="13"/>
        <v>2.8209951952084591</v>
      </c>
      <c r="C52" s="5">
        <f t="shared" si="14"/>
        <v>50793.135886175762</v>
      </c>
      <c r="D52" s="5">
        <f t="shared" si="15"/>
        <v>48787.127140663739</v>
      </c>
      <c r="E52" s="5">
        <f t="shared" si="1"/>
        <v>39287.127140663739</v>
      </c>
      <c r="F52" s="5">
        <f t="shared" si="2"/>
        <v>13607.709725493085</v>
      </c>
      <c r="G52" s="5">
        <f t="shared" si="3"/>
        <v>35179.417415170654</v>
      </c>
      <c r="H52" s="22">
        <f t="shared" si="16"/>
        <v>23239.16409191534</v>
      </c>
      <c r="I52" s="5">
        <f t="shared" si="17"/>
        <v>57093.949153846814</v>
      </c>
      <c r="J52" s="26">
        <f t="shared" si="5"/>
        <v>0.18218108815612802</v>
      </c>
      <c r="L52" s="22">
        <f t="shared" si="18"/>
        <v>68453.385195639625</v>
      </c>
      <c r="M52" s="5">
        <f>scrimecost*Meta!O49</f>
        <v>47.402000000000001</v>
      </c>
      <c r="N52" s="5">
        <f>L52-Grade12!L52</f>
        <v>773.48850195537671</v>
      </c>
      <c r="O52" s="5">
        <f>Grade12!M52-M52</f>
        <v>0.41100000000000136</v>
      </c>
      <c r="P52" s="22">
        <f t="shared" si="12"/>
        <v>57.074736608736686</v>
      </c>
      <c r="Q52" s="22"/>
      <c r="R52" s="22"/>
      <c r="S52" s="22">
        <f t="shared" si="19"/>
        <v>329.96355809443844</v>
      </c>
      <c r="T52" s="22">
        <f t="shared" si="20"/>
        <v>1401.0917132764694</v>
      </c>
    </row>
    <row r="53" spans="1:20" x14ac:dyDescent="0.2">
      <c r="A53" s="5">
        <v>62</v>
      </c>
      <c r="B53" s="1">
        <f t="shared" si="13"/>
        <v>2.8915200750886707</v>
      </c>
      <c r="C53" s="5">
        <f t="shared" si="14"/>
        <v>52062.964283330155</v>
      </c>
      <c r="D53" s="5">
        <f t="shared" si="15"/>
        <v>49984.575319180331</v>
      </c>
      <c r="E53" s="5">
        <f t="shared" si="1"/>
        <v>40484.575319180331</v>
      </c>
      <c r="F53" s="5">
        <f t="shared" si="2"/>
        <v>14118.421373630412</v>
      </c>
      <c r="G53" s="5">
        <f t="shared" si="3"/>
        <v>35866.153945549915</v>
      </c>
      <c r="H53" s="22">
        <f t="shared" si="16"/>
        <v>23820.143194213226</v>
      </c>
      <c r="I53" s="5">
        <f t="shared" si="17"/>
        <v>58328.54897769299</v>
      </c>
      <c r="J53" s="26">
        <f t="shared" si="5"/>
        <v>0.18487470066045383</v>
      </c>
      <c r="L53" s="22">
        <f t="shared" si="18"/>
        <v>70164.719825530628</v>
      </c>
      <c r="M53" s="5">
        <f>scrimecost*Meta!O50</f>
        <v>47.402000000000001</v>
      </c>
      <c r="N53" s="5">
        <f>L53-Grade12!L53</f>
        <v>792.82571450428804</v>
      </c>
      <c r="O53" s="5">
        <f>Grade12!M53-M53</f>
        <v>0.41100000000000136</v>
      </c>
      <c r="P53" s="22">
        <f t="shared" si="12"/>
        <v>58.577044724008815</v>
      </c>
      <c r="Q53" s="22"/>
      <c r="R53" s="22"/>
      <c r="S53" s="22">
        <f t="shared" si="19"/>
        <v>338.2548737724444</v>
      </c>
      <c r="T53" s="22">
        <f t="shared" si="20"/>
        <v>1485.4201607691341</v>
      </c>
    </row>
    <row r="54" spans="1:20" x14ac:dyDescent="0.2">
      <c r="A54" s="5">
        <v>63</v>
      </c>
      <c r="B54" s="1">
        <f t="shared" si="13"/>
        <v>2.9638080769658868</v>
      </c>
      <c r="C54" s="5">
        <f t="shared" si="14"/>
        <v>53364.538390413392</v>
      </c>
      <c r="D54" s="5">
        <f t="shared" si="15"/>
        <v>51211.959702159824</v>
      </c>
      <c r="E54" s="5">
        <f t="shared" si="1"/>
        <v>41711.959702159824</v>
      </c>
      <c r="F54" s="5">
        <f t="shared" si="2"/>
        <v>14641.900812971164</v>
      </c>
      <c r="G54" s="5">
        <f t="shared" si="3"/>
        <v>36570.058889188658</v>
      </c>
      <c r="H54" s="22">
        <f t="shared" si="16"/>
        <v>24415.646774068551</v>
      </c>
      <c r="I54" s="5">
        <f t="shared" si="17"/>
        <v>59594.013797135296</v>
      </c>
      <c r="J54" s="26">
        <f t="shared" si="5"/>
        <v>0.1875026152988204</v>
      </c>
      <c r="L54" s="22">
        <f t="shared" si="18"/>
        <v>71918.837821168869</v>
      </c>
      <c r="M54" s="5">
        <f>scrimecost*Meta!O51</f>
        <v>47.402000000000001</v>
      </c>
      <c r="N54" s="5">
        <f>L54-Grade12!L54</f>
        <v>812.64635736685887</v>
      </c>
      <c r="O54" s="5">
        <f>Grade12!M54-M54</f>
        <v>0.41100000000000136</v>
      </c>
      <c r="P54" s="22">
        <f t="shared" si="12"/>
        <v>60.116910542162692</v>
      </c>
      <c r="Q54" s="22"/>
      <c r="R54" s="22"/>
      <c r="S54" s="22">
        <f t="shared" si="19"/>
        <v>346.7534723423766</v>
      </c>
      <c r="T54" s="22">
        <f t="shared" si="20"/>
        <v>1574.8193221638367</v>
      </c>
    </row>
    <row r="55" spans="1:20" x14ac:dyDescent="0.2">
      <c r="A55" s="5">
        <v>64</v>
      </c>
      <c r="B55" s="1">
        <f t="shared" si="13"/>
        <v>3.0379032788900342</v>
      </c>
      <c r="C55" s="5">
        <f t="shared" si="14"/>
        <v>54698.651850173737</v>
      </c>
      <c r="D55" s="5">
        <f t="shared" si="15"/>
        <v>52470.02869471383</v>
      </c>
      <c r="E55" s="5">
        <f t="shared" si="1"/>
        <v>42970.02869471383</v>
      </c>
      <c r="F55" s="5">
        <f t="shared" si="2"/>
        <v>15178.467238295447</v>
      </c>
      <c r="G55" s="5">
        <f t="shared" si="3"/>
        <v>37291.561456418385</v>
      </c>
      <c r="H55" s="22">
        <f t="shared" si="16"/>
        <v>25026.037943420266</v>
      </c>
      <c r="I55" s="5">
        <f t="shared" si="17"/>
        <v>60891.115237063699</v>
      </c>
      <c r="J55" s="26">
        <f t="shared" si="5"/>
        <v>0.19006643445820251</v>
      </c>
      <c r="L55" s="22">
        <f t="shared" si="18"/>
        <v>73716.808766698101</v>
      </c>
      <c r="M55" s="5">
        <f>scrimecost*Meta!O52</f>
        <v>47.402000000000001</v>
      </c>
      <c r="N55" s="5">
        <f>L55-Grade12!L55</f>
        <v>832.96251630106417</v>
      </c>
      <c r="O55" s="5">
        <f>Grade12!M55-M55</f>
        <v>0.41100000000000136</v>
      </c>
      <c r="P55" s="22">
        <f t="shared" si="12"/>
        <v>61.695273005770474</v>
      </c>
      <c r="Q55" s="22"/>
      <c r="R55" s="22"/>
      <c r="S55" s="22">
        <f t="shared" si="19"/>
        <v>355.46453587658362</v>
      </c>
      <c r="T55" s="22">
        <f t="shared" si="20"/>
        <v>1669.5939377067034</v>
      </c>
    </row>
    <row r="56" spans="1:20" x14ac:dyDescent="0.2">
      <c r="A56" s="5">
        <v>65</v>
      </c>
      <c r="B56" s="1">
        <f t="shared" si="13"/>
        <v>3.1138508608622844</v>
      </c>
      <c r="C56" s="5">
        <f t="shared" si="14"/>
        <v>56066.11814642806</v>
      </c>
      <c r="D56" s="5">
        <f t="shared" si="15"/>
        <v>53759.549412081651</v>
      </c>
      <c r="E56" s="5">
        <f t="shared" si="1"/>
        <v>44259.549412081651</v>
      </c>
      <c r="F56" s="5">
        <f t="shared" si="2"/>
        <v>15728.447824252824</v>
      </c>
      <c r="G56" s="5">
        <f t="shared" si="3"/>
        <v>38031.101587828831</v>
      </c>
      <c r="H56" s="22">
        <f t="shared" si="16"/>
        <v>25651.688892005765</v>
      </c>
      <c r="I56" s="5">
        <f t="shared" si="17"/>
        <v>62220.644212990264</v>
      </c>
      <c r="J56" s="26">
        <f t="shared" si="5"/>
        <v>0.19256772144296552</v>
      </c>
      <c r="L56" s="22">
        <f t="shared" si="18"/>
        <v>75559.728985865528</v>
      </c>
      <c r="M56" s="5">
        <f>scrimecost*Meta!O53</f>
        <v>13.148</v>
      </c>
      <c r="N56" s="5">
        <f>L56-Grade12!L56</f>
        <v>853.78657920855039</v>
      </c>
      <c r="O56" s="5">
        <f>Grade12!M56-M56</f>
        <v>0.11400000000000077</v>
      </c>
      <c r="P56" s="22">
        <f t="shared" si="12"/>
        <v>63.313094530968414</v>
      </c>
      <c r="Q56" s="22"/>
      <c r="R56" s="22"/>
      <c r="S56" s="22">
        <f t="shared" si="19"/>
        <v>364.20091999911762</v>
      </c>
      <c r="T56" s="22">
        <f t="shared" si="20"/>
        <v>1769.1321874597306</v>
      </c>
    </row>
    <row r="57" spans="1:20" x14ac:dyDescent="0.2">
      <c r="A57" s="5">
        <v>66</v>
      </c>
      <c r="C57" s="5"/>
      <c r="H57" s="21"/>
      <c r="I57" s="5"/>
      <c r="M57" s="5">
        <f>scrimecost*Meta!O54</f>
        <v>13.148</v>
      </c>
      <c r="N57" s="5">
        <f>L57-Grade12!L57</f>
        <v>0</v>
      </c>
      <c r="O57" s="5">
        <f>Grade12!M57-M57</f>
        <v>0.11400000000000077</v>
      </c>
      <c r="Q57" s="22"/>
      <c r="R57" s="22"/>
      <c r="S57" s="22">
        <f t="shared" si="19"/>
        <v>7.3872000000000493E-2</v>
      </c>
      <c r="T57" s="22">
        <f t="shared" si="20"/>
        <v>0.37111094892768554</v>
      </c>
    </row>
    <row r="58" spans="1:20" x14ac:dyDescent="0.2">
      <c r="A58" s="5">
        <v>67</v>
      </c>
      <c r="C58" s="5"/>
      <c r="H58" s="21"/>
      <c r="I58" s="5"/>
      <c r="M58" s="5">
        <f>scrimecost*Meta!O55</f>
        <v>13.148</v>
      </c>
      <c r="N58" s="5">
        <f>L58-Grade12!L58</f>
        <v>0</v>
      </c>
      <c r="O58" s="5">
        <f>Grade12!M58-M58</f>
        <v>0.11400000000000077</v>
      </c>
      <c r="Q58" s="22"/>
      <c r="R58" s="22"/>
      <c r="S58" s="22">
        <f t="shared" si="19"/>
        <v>7.3872000000000493E-2</v>
      </c>
      <c r="T58" s="22">
        <f t="shared" si="20"/>
        <v>0.38380305947190002</v>
      </c>
    </row>
    <row r="59" spans="1:20" x14ac:dyDescent="0.2">
      <c r="A59" s="5">
        <v>68</v>
      </c>
      <c r="H59" s="21"/>
      <c r="I59" s="5"/>
      <c r="M59" s="5">
        <f>scrimecost*Meta!O56</f>
        <v>13.148</v>
      </c>
      <c r="N59" s="5">
        <f>L59-Grade12!L59</f>
        <v>0</v>
      </c>
      <c r="O59" s="5">
        <f>Grade12!M59-M59</f>
        <v>0.11400000000000077</v>
      </c>
      <c r="Q59" s="22"/>
      <c r="R59" s="22"/>
      <c r="S59" s="22">
        <f t="shared" si="19"/>
        <v>7.3872000000000493E-2</v>
      </c>
      <c r="T59" s="22">
        <f t="shared" si="20"/>
        <v>0.39692924416707132</v>
      </c>
    </row>
    <row r="60" spans="1:20" x14ac:dyDescent="0.2">
      <c r="A60" s="5">
        <v>69</v>
      </c>
      <c r="H60" s="21"/>
      <c r="I60" s="5"/>
      <c r="M60" s="5">
        <f>scrimecost*Meta!O57</f>
        <v>13.148</v>
      </c>
      <c r="N60" s="5">
        <f>L60-Grade12!L60</f>
        <v>0</v>
      </c>
      <c r="O60" s="5">
        <f>Grade12!M60-M60</f>
        <v>0.11400000000000077</v>
      </c>
      <c r="Q60" s="22"/>
      <c r="R60" s="22"/>
      <c r="S60" s="22">
        <f t="shared" si="19"/>
        <v>7.3872000000000493E-2</v>
      </c>
      <c r="T60" s="22">
        <f t="shared" si="20"/>
        <v>0.41050434848494916</v>
      </c>
    </row>
    <row r="61" spans="1:20" x14ac:dyDescent="0.2">
      <c r="A61" s="5">
        <v>70</v>
      </c>
      <c r="H61" s="21"/>
      <c r="I61" s="5"/>
      <c r="M61" s="5">
        <f>scrimecost*Meta!O58</f>
        <v>13.148</v>
      </c>
      <c r="N61" s="5">
        <f>L61-Grade12!L61</f>
        <v>0</v>
      </c>
      <c r="O61" s="5">
        <f>Grade12!M61-M61</f>
        <v>0.11400000000000077</v>
      </c>
      <c r="Q61" s="22"/>
      <c r="R61" s="22"/>
      <c r="S61" s="22">
        <f t="shared" si="19"/>
        <v>7.3872000000000493E-2</v>
      </c>
      <c r="T61" s="22">
        <f t="shared" si="20"/>
        <v>0.42454372561706105</v>
      </c>
    </row>
    <row r="62" spans="1:20" x14ac:dyDescent="0.2">
      <c r="A62" s="5">
        <v>71</v>
      </c>
      <c r="H62" s="21"/>
      <c r="I62" s="5"/>
      <c r="M62" s="5">
        <f>scrimecost*Meta!O59</f>
        <v>13.148</v>
      </c>
      <c r="N62" s="5">
        <f>L62-Grade12!L62</f>
        <v>0</v>
      </c>
      <c r="O62" s="5">
        <f>Grade12!M62-M62</f>
        <v>0.11400000000000077</v>
      </c>
      <c r="Q62" s="22"/>
      <c r="R62" s="22"/>
      <c r="S62" s="22">
        <f t="shared" si="19"/>
        <v>7.3872000000000493E-2</v>
      </c>
      <c r="T62" s="22">
        <f t="shared" si="20"/>
        <v>0.43906325383888767</v>
      </c>
    </row>
    <row r="63" spans="1:20" x14ac:dyDescent="0.2">
      <c r="A63" s="5">
        <v>72</v>
      </c>
      <c r="H63" s="21"/>
      <c r="M63" s="5">
        <f>scrimecost*Meta!O60</f>
        <v>13.148</v>
      </c>
      <c r="N63" s="5">
        <f>L63-Grade12!L63</f>
        <v>0</v>
      </c>
      <c r="O63" s="5">
        <f>Grade12!M63-M63</f>
        <v>0.11400000000000077</v>
      </c>
      <c r="Q63" s="22"/>
      <c r="R63" s="22"/>
      <c r="S63" s="22">
        <f t="shared" si="19"/>
        <v>7.3872000000000493E-2</v>
      </c>
      <c r="T63" s="22">
        <f t="shared" si="20"/>
        <v>0.45407935446789816</v>
      </c>
    </row>
    <row r="64" spans="1:20" x14ac:dyDescent="0.2">
      <c r="A64" s="5">
        <v>73</v>
      </c>
      <c r="H64" s="21"/>
      <c r="M64" s="5">
        <f>scrimecost*Meta!O61</f>
        <v>13.148</v>
      </c>
      <c r="N64" s="5">
        <f>L64-Grade12!L64</f>
        <v>0</v>
      </c>
      <c r="O64" s="5">
        <f>Grade12!M64-M64</f>
        <v>0.11400000000000077</v>
      </c>
      <c r="Q64" s="22"/>
      <c r="R64" s="22"/>
      <c r="S64" s="22">
        <f t="shared" si="19"/>
        <v>7.3872000000000493E-2</v>
      </c>
      <c r="T64" s="22">
        <f t="shared" si="20"/>
        <v>0.46960901043575565</v>
      </c>
    </row>
    <row r="65" spans="1:20" x14ac:dyDescent="0.2">
      <c r="A65" s="5">
        <v>74</v>
      </c>
      <c r="H65" s="21"/>
      <c r="M65" s="5">
        <f>scrimecost*Meta!O62</f>
        <v>13.148</v>
      </c>
      <c r="N65" s="5">
        <f>L65-Grade12!L65</f>
        <v>0</v>
      </c>
      <c r="O65" s="5">
        <f>Grade12!M65-M65</f>
        <v>0.11400000000000077</v>
      </c>
      <c r="Q65" s="22"/>
      <c r="R65" s="22"/>
      <c r="S65" s="22">
        <f t="shared" si="19"/>
        <v>7.3872000000000493E-2</v>
      </c>
      <c r="T65" s="22">
        <f t="shared" si="20"/>
        <v>0.48566978549569917</v>
      </c>
    </row>
    <row r="66" spans="1:20" x14ac:dyDescent="0.2">
      <c r="A66" s="5">
        <v>75</v>
      </c>
      <c r="H66" s="21"/>
      <c r="M66" s="5">
        <f>scrimecost*Meta!O63</f>
        <v>13.148</v>
      </c>
      <c r="N66" s="5">
        <f>L66-Grade12!L66</f>
        <v>0</v>
      </c>
      <c r="O66" s="5">
        <f>Grade12!M66-M66</f>
        <v>0.11400000000000077</v>
      </c>
      <c r="Q66" s="22"/>
      <c r="R66" s="22"/>
      <c r="S66" s="22">
        <f t="shared" si="19"/>
        <v>7.3872000000000493E-2</v>
      </c>
      <c r="T66" s="22">
        <f t="shared" si="20"/>
        <v>0.50227984408682291</v>
      </c>
    </row>
    <row r="67" spans="1:20" x14ac:dyDescent="0.2">
      <c r="A67" s="5">
        <v>76</v>
      </c>
      <c r="H67" s="21"/>
      <c r="M67" s="5">
        <f>scrimecost*Meta!O64</f>
        <v>13.148</v>
      </c>
      <c r="N67" s="5">
        <f>L67-Grade12!L67</f>
        <v>0</v>
      </c>
      <c r="O67" s="5">
        <f>Grade12!M67-M67</f>
        <v>0.11400000000000077</v>
      </c>
      <c r="Q67" s="22"/>
      <c r="R67" s="22"/>
      <c r="S67" s="22">
        <f t="shared" si="19"/>
        <v>7.3872000000000493E-2</v>
      </c>
      <c r="T67" s="22">
        <f t="shared" si="20"/>
        <v>0.51945797187771969</v>
      </c>
    </row>
    <row r="68" spans="1:20" x14ac:dyDescent="0.2">
      <c r="A68" s="5">
        <v>77</v>
      </c>
      <c r="H68" s="21"/>
      <c r="M68" s="5">
        <f>scrimecost*Meta!O65</f>
        <v>13.148</v>
      </c>
      <c r="N68" s="5">
        <f>L68-Grade12!L68</f>
        <v>0</v>
      </c>
      <c r="O68" s="5">
        <f>Grade12!M68-M68</f>
        <v>0.11400000000000077</v>
      </c>
      <c r="Q68" s="22"/>
      <c r="R68" s="22"/>
      <c r="S68" s="22">
        <f t="shared" si="19"/>
        <v>7.3872000000000493E-2</v>
      </c>
      <c r="T68" s="22">
        <f t="shared" si="20"/>
        <v>0.53722359701272526</v>
      </c>
    </row>
    <row r="69" spans="1:20" x14ac:dyDescent="0.2">
      <c r="A69" s="5">
        <v>78</v>
      </c>
      <c r="H69" s="21"/>
      <c r="M69" s="5">
        <f>scrimecost*Meta!O66</f>
        <v>13.148</v>
      </c>
      <c r="N69" s="5">
        <f>L69-Grade12!L69</f>
        <v>0</v>
      </c>
      <c r="O69" s="5">
        <f>Grade12!M69-M69</f>
        <v>0.11400000000000077</v>
      </c>
      <c r="Q69" s="22"/>
      <c r="R69" s="22"/>
      <c r="S69" s="22">
        <f t="shared" si="19"/>
        <v>7.3872000000000493E-2</v>
      </c>
      <c r="T69" s="22">
        <f t="shared" si="20"/>
        <v>0.55559681208478906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-7.4049988363356078E-11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O12" sqref="O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Meta!A8+6</f>
        <v>20</v>
      </c>
      <c r="C2" s="7">
        <f>Meta!B8</f>
        <v>34977</v>
      </c>
      <c r="D2" s="7">
        <f>Meta!C8</f>
        <v>15917</v>
      </c>
      <c r="E2" s="1">
        <f>Meta!D8</f>
        <v>5.6000000000000001E-2</v>
      </c>
      <c r="F2" s="1">
        <f>Meta!F8</f>
        <v>0.59399999999999997</v>
      </c>
      <c r="G2" s="1">
        <f>Meta!I8</f>
        <v>1.8381311833585117</v>
      </c>
      <c r="H2" s="1">
        <f>Meta!E8</f>
        <v>0.64800000000000002</v>
      </c>
      <c r="I2" s="13"/>
      <c r="J2" s="1">
        <f>Meta!X7</f>
        <v>0.58399999999999996</v>
      </c>
      <c r="K2" s="1">
        <f>Meta!D7</f>
        <v>5.7000000000000002E-2</v>
      </c>
      <c r="L2" s="29"/>
      <c r="N2" s="22">
        <f>Meta!T8</f>
        <v>33648</v>
      </c>
      <c r="O2" s="22">
        <f>Meta!U8</f>
        <v>15386</v>
      </c>
      <c r="P2" s="1">
        <f>Meta!V8</f>
        <v>5.8000000000000003E-2</v>
      </c>
      <c r="Q2" s="1">
        <f>Meta!X8</f>
        <v>0.58799999999999997</v>
      </c>
      <c r="R2" s="22">
        <f>Meta!W8</f>
        <v>344</v>
      </c>
      <c r="T2" s="12">
        <f>IRR(S5:S69)+1</f>
        <v>0.96406420424503314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B10" s="1">
        <v>1</v>
      </c>
      <c r="C10" s="5">
        <f>0.1*Grade13!C10</f>
        <v>1800.5396100088847</v>
      </c>
      <c r="D10" s="5">
        <f t="shared" ref="D10:D36" si="0">IF(A10&lt;startage,1,0)*(C10*(1-initialunempprob))+IF(A10=startage,1,0)*(C10*(1-unempprob))+IF(A10&gt;startage,1,0)*(C10*(1-unempprob)+unempprob*300*52)</f>
        <v>1697.9088522383781</v>
      </c>
      <c r="E10" s="5">
        <f t="shared" ref="E10:E56" si="1">IF(D10-9500&gt;0,1,0)*(D10-9500)</f>
        <v>0</v>
      </c>
      <c r="F10" s="5">
        <f t="shared" ref="F10:F56" si="2">IF(E10&lt;=8500,1,0)*(0.1*E10+0.1*E10+0.0765*D10)+IF(AND(E10&gt;8500,E10&lt;=34500),1,0)*(850+0.15*(E10-8500)+0.1*E10+0.0765*D10)+IF(AND(E10&gt;34500,E10&lt;=83600),1,0)*(4750+0.25*(E10-34500)+0.1*E10+0.0765*D10)+IF(AND(E10&gt;83600,E10&lt;=174400,D10&lt;=106800),1,0)*(17025+0.28*(E10-83600)+0.1*E10+0.0765*D10)+IF(AND(E10&gt;83600,E10&lt;=174400,D10&gt;106800),1,0)*(17025+0.28*(E10-83600)+0.1*E10+8170.2+0.0145*(D10-106800))+IF(AND(E10&gt;174400,E10&lt;=379150),1,0)*(42449+0.33*(E10-174400)+0.1*E10+8170.2+0.0145*(D10-106800))+IF(E10&gt;379150,1,0)*(110016.5+0.35*(E10-379150)+0.1*E10+8170.2+0.0145*(D10-106800))</f>
        <v>129.89002719623593</v>
      </c>
      <c r="G10" s="5">
        <f t="shared" ref="G10:G56" si="3">D10-F10</f>
        <v>1568.0188250421422</v>
      </c>
      <c r="H10" s="22">
        <f>0.1*Grade13!H10</f>
        <v>823.79311143059465</v>
      </c>
      <c r="I10" s="5">
        <f t="shared" ref="I10:I36" si="4">G10+IF(A10&lt;startage,1,0)*(H10*(1-initialunempprob))+IF(A10&gt;=startage,1,0)*(H10*(1-unempprob))</f>
        <v>2344.8557291211928</v>
      </c>
      <c r="J10" s="26">
        <f t="shared" ref="J10:J56" si="5">(F10-(IF(A10&gt;startage,1,0)*(unempprob*300*52)))/(IF(A10&lt;startage,1,0)*((C10+H10)*(1-initialunempprob))+IF(A10&gt;=startage,1,0)*((C10+H10)*(1-unempprob)))</f>
        <v>5.2486210700496416E-2</v>
      </c>
      <c r="L10" s="22">
        <f>0.1*Grade13!L10</f>
        <v>2426.5686560512286</v>
      </c>
      <c r="M10" s="5">
        <f>scrimecost*Meta!O7</f>
        <v>1252.5039999999999</v>
      </c>
      <c r="N10" s="5">
        <f>L10-Grade13!L10</f>
        <v>-21839.117904461054</v>
      </c>
      <c r="O10" s="5"/>
      <c r="P10" s="22"/>
      <c r="Q10" s="22">
        <f>0.05*feel*Grade13!G10</f>
        <v>198.58118764322532</v>
      </c>
      <c r="R10" s="22">
        <f>coltuition</f>
        <v>8279</v>
      </c>
      <c r="S10" s="22">
        <f t="shared" ref="S10:S41" si="6">IF(A10&lt;startage,1,0)*(N10-Q10-R10)+IF(A10&gt;=startage,1,0)*completionprob*(N10*spart+O10+P10)</f>
        <v>-30316.699092104278</v>
      </c>
      <c r="T10" s="22">
        <f t="shared" ref="T10:T41" si="7">S10/sreturn^(A10-startage+1)</f>
        <v>-30316.699092104278</v>
      </c>
    </row>
    <row r="11" spans="1:20" x14ac:dyDescent="0.2">
      <c r="A11" s="5">
        <v>20</v>
      </c>
      <c r="B11" s="1">
        <f t="shared" ref="B11:B36" si="8">(1+experiencepremium)^(A11-startage)</f>
        <v>1</v>
      </c>
      <c r="C11" s="5">
        <f t="shared" ref="C11:C36" si="9">pretaxincome*B11/expnorm</f>
        <v>19028.565706661011</v>
      </c>
      <c r="D11" s="5">
        <f t="shared" si="0"/>
        <v>17962.966027087994</v>
      </c>
      <c r="E11" s="5">
        <f t="shared" si="1"/>
        <v>8462.966027087994</v>
      </c>
      <c r="F11" s="5">
        <f t="shared" si="2"/>
        <v>3066.7601064898304</v>
      </c>
      <c r="G11" s="5">
        <f t="shared" si="3"/>
        <v>14896.205920598164</v>
      </c>
      <c r="H11" s="22">
        <f t="shared" ref="H11:H36" si="10">benefits*B11/expnorm</f>
        <v>8659.3384324820126</v>
      </c>
      <c r="I11" s="5">
        <f t="shared" si="4"/>
        <v>23070.621400861182</v>
      </c>
      <c r="J11" s="26">
        <f t="shared" si="5"/>
        <v>0.11733233895779954</v>
      </c>
      <c r="L11" s="22">
        <f t="shared" ref="L11:L36" si="11">(sincome+sbenefits)*(1-sunemp)*B11/expnorm</f>
        <v>25128.798432984873</v>
      </c>
      <c r="M11" s="5">
        <f>scrimecost*Meta!O8</f>
        <v>1197.4639999999999</v>
      </c>
      <c r="N11" s="5">
        <f>L11-Grade13!L11</f>
        <v>256.46970845978649</v>
      </c>
      <c r="O11" s="5">
        <f>Grade13!M11-M11</f>
        <v>6.9619999999999891</v>
      </c>
      <c r="P11" s="22">
        <f t="shared" ref="P11:P56" si="12">(spart-initialspart)*(L11*J11+nptrans)</f>
        <v>38.009682781364845</v>
      </c>
      <c r="Q11" s="22"/>
      <c r="R11" s="22"/>
      <c r="S11" s="22">
        <f t="shared" si="6"/>
        <v>126.86276463850611</v>
      </c>
      <c r="T11" s="22">
        <f t="shared" si="7"/>
        <v>131.59161400236141</v>
      </c>
    </row>
    <row r="12" spans="1:20" x14ac:dyDescent="0.2">
      <c r="A12" s="5">
        <v>21</v>
      </c>
      <c r="B12" s="1">
        <f t="shared" si="8"/>
        <v>1.0249999999999999</v>
      </c>
      <c r="C12" s="5">
        <f t="shared" si="9"/>
        <v>19504.279849327537</v>
      </c>
      <c r="D12" s="5">
        <f t="shared" si="0"/>
        <v>19285.640177765192</v>
      </c>
      <c r="E12" s="5">
        <f t="shared" si="1"/>
        <v>9785.6401777651918</v>
      </c>
      <c r="F12" s="5">
        <f t="shared" si="2"/>
        <v>3496.761518040335</v>
      </c>
      <c r="G12" s="5">
        <f t="shared" si="3"/>
        <v>15788.878659724856</v>
      </c>
      <c r="H12" s="22">
        <f t="shared" si="10"/>
        <v>8875.8218932940617</v>
      </c>
      <c r="I12" s="5">
        <f t="shared" si="4"/>
        <v>24167.654526994451</v>
      </c>
      <c r="J12" s="26">
        <f t="shared" si="5"/>
        <v>9.7912714328330167E-2</v>
      </c>
      <c r="L12" s="22">
        <f t="shared" si="11"/>
        <v>25757.018393809492</v>
      </c>
      <c r="M12" s="5">
        <f>scrimecost*Meta!O9</f>
        <v>1072.248</v>
      </c>
      <c r="N12" s="5">
        <f>L12-Grade13!L12</f>
        <v>262.88145117127715</v>
      </c>
      <c r="O12" s="5">
        <f>Grade13!M12-M12</f>
        <v>6.2339999999999236</v>
      </c>
      <c r="P12" s="22">
        <f t="shared" si="12"/>
        <v>36.303758335770489</v>
      </c>
      <c r="Q12" s="22"/>
      <c r="R12" s="22"/>
      <c r="S12" s="22">
        <f t="shared" si="6"/>
        <v>127.72860945266392</v>
      </c>
      <c r="T12" s="22">
        <f t="shared" si="7"/>
        <v>137.4283298459768</v>
      </c>
    </row>
    <row r="13" spans="1:20" x14ac:dyDescent="0.2">
      <c r="A13" s="5">
        <v>22</v>
      </c>
      <c r="B13" s="1">
        <f t="shared" si="8"/>
        <v>1.0506249999999999</v>
      </c>
      <c r="C13" s="5">
        <f t="shared" si="9"/>
        <v>19991.886845560726</v>
      </c>
      <c r="D13" s="5">
        <f t="shared" si="0"/>
        <v>19745.941182209324</v>
      </c>
      <c r="E13" s="5">
        <f t="shared" si="1"/>
        <v>10245.941182209324</v>
      </c>
      <c r="F13" s="5">
        <f t="shared" si="2"/>
        <v>3647.0497959913446</v>
      </c>
      <c r="G13" s="5">
        <f t="shared" si="3"/>
        <v>16098.89138621798</v>
      </c>
      <c r="H13" s="22">
        <f t="shared" si="10"/>
        <v>9097.717440626413</v>
      </c>
      <c r="I13" s="5">
        <f t="shared" si="4"/>
        <v>24687.136650169312</v>
      </c>
      <c r="J13" s="26">
        <f t="shared" si="5"/>
        <v>0.1009974714643834</v>
      </c>
      <c r="L13" s="22">
        <f t="shared" si="11"/>
        <v>26400.943853654731</v>
      </c>
      <c r="M13" s="5">
        <f>scrimecost*Meta!O10</f>
        <v>987.62400000000002</v>
      </c>
      <c r="N13" s="5">
        <f>L13-Grade13!L13</f>
        <v>269.45348745056253</v>
      </c>
      <c r="O13" s="5">
        <f>Grade13!M13-M13</f>
        <v>5.7419999999999618</v>
      </c>
      <c r="P13" s="22">
        <f t="shared" si="12"/>
        <v>36.881714293969161</v>
      </c>
      <c r="Q13" s="22"/>
      <c r="R13" s="22"/>
      <c r="S13" s="22">
        <f t="shared" si="6"/>
        <v>130.28841246485513</v>
      </c>
      <c r="T13" s="22">
        <f t="shared" si="7"/>
        <v>145.4078720876505</v>
      </c>
    </row>
    <row r="14" spans="1:20" x14ac:dyDescent="0.2">
      <c r="A14" s="5">
        <v>23</v>
      </c>
      <c r="B14" s="1">
        <f t="shared" si="8"/>
        <v>1.0768906249999999</v>
      </c>
      <c r="C14" s="5">
        <f t="shared" si="9"/>
        <v>20491.684016699743</v>
      </c>
      <c r="D14" s="5">
        <f t="shared" si="0"/>
        <v>20217.749711764554</v>
      </c>
      <c r="E14" s="5">
        <f t="shared" si="1"/>
        <v>10717.749711764554</v>
      </c>
      <c r="F14" s="5">
        <f t="shared" si="2"/>
        <v>3801.095280891127</v>
      </c>
      <c r="G14" s="5">
        <f t="shared" si="3"/>
        <v>16416.654430873426</v>
      </c>
      <c r="H14" s="22">
        <f t="shared" si="10"/>
        <v>9325.1603766420722</v>
      </c>
      <c r="I14" s="5">
        <f t="shared" si="4"/>
        <v>25219.60582642354</v>
      </c>
      <c r="J14" s="26">
        <f t="shared" si="5"/>
        <v>0.10400699062150845</v>
      </c>
      <c r="L14" s="22">
        <f t="shared" si="11"/>
        <v>27060.9674499961</v>
      </c>
      <c r="M14" s="5">
        <f>scrimecost*Meta!O11</f>
        <v>924.32799999999997</v>
      </c>
      <c r="N14" s="5">
        <f>L14-Grade13!L14</f>
        <v>276.18982463682914</v>
      </c>
      <c r="O14" s="5">
        <f>Grade13!M14-M14</f>
        <v>5.3740000000000236</v>
      </c>
      <c r="P14" s="22">
        <f t="shared" si="12"/>
        <v>37.474119151122792</v>
      </c>
      <c r="Q14" s="22"/>
      <c r="R14" s="22"/>
      <c r="S14" s="22">
        <f t="shared" si="6"/>
        <v>133.0005329523508</v>
      </c>
      <c r="T14" s="22">
        <f t="shared" si="7"/>
        <v>153.96767442916897</v>
      </c>
    </row>
    <row r="15" spans="1:20" x14ac:dyDescent="0.2">
      <c r="A15" s="5">
        <v>24</v>
      </c>
      <c r="B15" s="1">
        <f t="shared" si="8"/>
        <v>1.1038128906249998</v>
      </c>
      <c r="C15" s="5">
        <f t="shared" si="9"/>
        <v>21003.976117117236</v>
      </c>
      <c r="D15" s="5">
        <f t="shared" si="0"/>
        <v>20701.35345455867</v>
      </c>
      <c r="E15" s="5">
        <f t="shared" si="1"/>
        <v>11201.35345455867</v>
      </c>
      <c r="F15" s="5">
        <f t="shared" si="2"/>
        <v>3958.9919029134057</v>
      </c>
      <c r="G15" s="5">
        <f t="shared" si="3"/>
        <v>16742.361551645263</v>
      </c>
      <c r="H15" s="22">
        <f t="shared" si="10"/>
        <v>9558.2893860581225</v>
      </c>
      <c r="I15" s="5">
        <f t="shared" si="4"/>
        <v>25765.386732084131</v>
      </c>
      <c r="J15" s="26">
        <f t="shared" si="5"/>
        <v>0.10694310687236219</v>
      </c>
      <c r="L15" s="22">
        <f t="shared" si="11"/>
        <v>27737.491636245999</v>
      </c>
      <c r="M15" s="5">
        <f>scrimecost*Meta!O12</f>
        <v>885.11199999999997</v>
      </c>
      <c r="N15" s="5">
        <f>L15-Grade13!L15</f>
        <v>283.09457025274969</v>
      </c>
      <c r="O15" s="5">
        <f>Grade13!M15-M15</f>
        <v>5.1460000000000719</v>
      </c>
      <c r="P15" s="22">
        <f t="shared" si="12"/>
        <v>38.081334129705269</v>
      </c>
      <c r="Q15" s="22"/>
      <c r="R15" s="22"/>
      <c r="S15" s="22">
        <f t="shared" si="6"/>
        <v>135.87713805203276</v>
      </c>
      <c r="T15" s="22">
        <f t="shared" si="7"/>
        <v>163.16109149169071</v>
      </c>
    </row>
    <row r="16" spans="1:20" x14ac:dyDescent="0.2">
      <c r="A16" s="5">
        <v>25</v>
      </c>
      <c r="B16" s="1">
        <f t="shared" si="8"/>
        <v>1.1314082128906247</v>
      </c>
      <c r="C16" s="5">
        <f t="shared" si="9"/>
        <v>21529.075520045164</v>
      </c>
      <c r="D16" s="5">
        <f t="shared" si="0"/>
        <v>21197.047290922634</v>
      </c>
      <c r="E16" s="5">
        <f t="shared" si="1"/>
        <v>11697.047290922634</v>
      </c>
      <c r="F16" s="5">
        <f t="shared" si="2"/>
        <v>4120.8359404862404</v>
      </c>
      <c r="G16" s="5">
        <f t="shared" si="3"/>
        <v>17076.211350436395</v>
      </c>
      <c r="H16" s="22">
        <f t="shared" si="10"/>
        <v>9797.2466207095749</v>
      </c>
      <c r="I16" s="5">
        <f t="shared" si="4"/>
        <v>26324.812160386231</v>
      </c>
      <c r="J16" s="26">
        <f t="shared" si="5"/>
        <v>0.1098076105317317</v>
      </c>
      <c r="L16" s="22">
        <f t="shared" si="11"/>
        <v>28430.928927152145</v>
      </c>
      <c r="M16" s="5">
        <f>scrimecost*Meta!O13</f>
        <v>749.23199999999997</v>
      </c>
      <c r="N16" s="5">
        <f>L16-Grade13!L16</f>
        <v>290.17193450906416</v>
      </c>
      <c r="O16" s="5">
        <f>Grade13!M16-M16</f>
        <v>4.3559999999999945</v>
      </c>
      <c r="P16" s="22">
        <f t="shared" si="12"/>
        <v>38.703729482752308</v>
      </c>
      <c r="Q16" s="22"/>
      <c r="R16" s="22"/>
      <c r="S16" s="22">
        <f t="shared" si="6"/>
        <v>138.46517587920516</v>
      </c>
      <c r="T16" s="22">
        <f t="shared" si="7"/>
        <v>172.46652581066937</v>
      </c>
    </row>
    <row r="17" spans="1:20" x14ac:dyDescent="0.2">
      <c r="A17" s="5">
        <v>26</v>
      </c>
      <c r="B17" s="1">
        <f t="shared" si="8"/>
        <v>1.1596934182128902</v>
      </c>
      <c r="C17" s="5">
        <f t="shared" si="9"/>
        <v>22067.302408046289</v>
      </c>
      <c r="D17" s="5">
        <f t="shared" si="0"/>
        <v>21705.133473195696</v>
      </c>
      <c r="E17" s="5">
        <f t="shared" si="1"/>
        <v>12205.133473195696</v>
      </c>
      <c r="F17" s="5">
        <f t="shared" si="2"/>
        <v>4286.7260789983948</v>
      </c>
      <c r="G17" s="5">
        <f t="shared" si="3"/>
        <v>17418.4073941973</v>
      </c>
      <c r="H17" s="22">
        <f t="shared" si="10"/>
        <v>10042.177786227314</v>
      </c>
      <c r="I17" s="5">
        <f t="shared" si="4"/>
        <v>26898.223224395886</v>
      </c>
      <c r="J17" s="26">
        <f t="shared" si="5"/>
        <v>0.11260224824818971</v>
      </c>
      <c r="L17" s="22">
        <f t="shared" si="11"/>
        <v>29141.702150330948</v>
      </c>
      <c r="M17" s="5">
        <f>scrimecost*Meta!O14</f>
        <v>749.23199999999997</v>
      </c>
      <c r="N17" s="5">
        <f>L17-Grade13!L17</f>
        <v>297.42623287179231</v>
      </c>
      <c r="O17" s="5">
        <f>Grade13!M17-M17</f>
        <v>4.3559999999999945</v>
      </c>
      <c r="P17" s="22">
        <f t="shared" si="12"/>
        <v>39.341684719625512</v>
      </c>
      <c r="Q17" s="22"/>
      <c r="R17" s="22"/>
      <c r="S17" s="22">
        <f t="shared" si="6"/>
        <v>141.64263265205912</v>
      </c>
      <c r="T17" s="22">
        <f t="shared" si="7"/>
        <v>183.00050396125027</v>
      </c>
    </row>
    <row r="18" spans="1:20" x14ac:dyDescent="0.2">
      <c r="A18" s="5">
        <v>27</v>
      </c>
      <c r="B18" s="1">
        <f t="shared" si="8"/>
        <v>1.1886857536682125</v>
      </c>
      <c r="C18" s="5">
        <f t="shared" si="9"/>
        <v>22618.984968247445</v>
      </c>
      <c r="D18" s="5">
        <f t="shared" si="0"/>
        <v>22225.921810025586</v>
      </c>
      <c r="E18" s="5">
        <f t="shared" si="1"/>
        <v>12725.921810025586</v>
      </c>
      <c r="F18" s="5">
        <f t="shared" si="2"/>
        <v>4456.7634709733538</v>
      </c>
      <c r="G18" s="5">
        <f t="shared" si="3"/>
        <v>17769.158339052232</v>
      </c>
      <c r="H18" s="22">
        <f t="shared" si="10"/>
        <v>10293.232230882999</v>
      </c>
      <c r="I18" s="5">
        <f t="shared" si="4"/>
        <v>27485.969565005784</v>
      </c>
      <c r="J18" s="26">
        <f t="shared" si="5"/>
        <v>0.11532872406912437</v>
      </c>
      <c r="L18" s="22">
        <f t="shared" si="11"/>
        <v>29870.244704089222</v>
      </c>
      <c r="M18" s="5">
        <f>scrimecost*Meta!O15</f>
        <v>749.23199999999997</v>
      </c>
      <c r="N18" s="5">
        <f>L18-Grade13!L18</f>
        <v>304.86188869358739</v>
      </c>
      <c r="O18" s="5">
        <f>Grade13!M18-M18</f>
        <v>4.3559999999999945</v>
      </c>
      <c r="P18" s="22">
        <f t="shared" si="12"/>
        <v>39.995588837420556</v>
      </c>
      <c r="Q18" s="22"/>
      <c r="R18" s="22"/>
      <c r="S18" s="22">
        <f t="shared" si="6"/>
        <v>144.89952584423398</v>
      </c>
      <c r="T18" s="22">
        <f t="shared" si="7"/>
        <v>194.18661980350157</v>
      </c>
    </row>
    <row r="19" spans="1:20" x14ac:dyDescent="0.2">
      <c r="A19" s="5">
        <v>28</v>
      </c>
      <c r="B19" s="1">
        <f t="shared" si="8"/>
        <v>1.2184028975099177</v>
      </c>
      <c r="C19" s="5">
        <f t="shared" si="9"/>
        <v>23184.45959245363</v>
      </c>
      <c r="D19" s="5">
        <f t="shared" si="0"/>
        <v>22759.729855276222</v>
      </c>
      <c r="E19" s="5">
        <f t="shared" si="1"/>
        <v>13259.729855276222</v>
      </c>
      <c r="F19" s="5">
        <f t="shared" si="2"/>
        <v>4631.0517977476866</v>
      </c>
      <c r="G19" s="5">
        <f t="shared" si="3"/>
        <v>18128.678057528537</v>
      </c>
      <c r="H19" s="22">
        <f t="shared" si="10"/>
        <v>10550.56303665507</v>
      </c>
      <c r="I19" s="5">
        <f t="shared" si="4"/>
        <v>28088.409564130925</v>
      </c>
      <c r="J19" s="26">
        <f t="shared" si="5"/>
        <v>0.11798870047979232</v>
      </c>
      <c r="L19" s="22">
        <f t="shared" si="11"/>
        <v>30617.00082169145</v>
      </c>
      <c r="M19" s="5">
        <f>scrimecost*Meta!O16</f>
        <v>749.23199999999997</v>
      </c>
      <c r="N19" s="5">
        <f>L19-Grade13!L19</f>
        <v>312.48343591093362</v>
      </c>
      <c r="O19" s="5">
        <f>Grade13!M19-M19</f>
        <v>4.3559999999999945</v>
      </c>
      <c r="P19" s="22">
        <f t="shared" si="12"/>
        <v>40.665840558160468</v>
      </c>
      <c r="Q19" s="22"/>
      <c r="R19" s="22"/>
      <c r="S19" s="22">
        <f t="shared" si="6"/>
        <v>148.23784136621558</v>
      </c>
      <c r="T19" s="22">
        <f t="shared" si="7"/>
        <v>206.06558300007217</v>
      </c>
    </row>
    <row r="20" spans="1:20" x14ac:dyDescent="0.2">
      <c r="A20" s="5">
        <v>29</v>
      </c>
      <c r="B20" s="1">
        <f t="shared" si="8"/>
        <v>1.2488629699476654</v>
      </c>
      <c r="C20" s="5">
        <f t="shared" si="9"/>
        <v>23764.071082264971</v>
      </c>
      <c r="D20" s="5">
        <f t="shared" si="0"/>
        <v>23306.883101658128</v>
      </c>
      <c r="E20" s="5">
        <f t="shared" si="1"/>
        <v>13806.883101658128</v>
      </c>
      <c r="F20" s="5">
        <f t="shared" si="2"/>
        <v>4809.6973326913785</v>
      </c>
      <c r="G20" s="5">
        <f t="shared" si="3"/>
        <v>18497.185768966749</v>
      </c>
      <c r="H20" s="22">
        <f t="shared" si="10"/>
        <v>10814.327112571447</v>
      </c>
      <c r="I20" s="5">
        <f t="shared" si="4"/>
        <v>28705.910563234196</v>
      </c>
      <c r="J20" s="26">
        <f t="shared" si="5"/>
        <v>0.12058379941702937</v>
      </c>
      <c r="L20" s="22">
        <f t="shared" si="11"/>
        <v>31382.42584223373</v>
      </c>
      <c r="M20" s="5">
        <f>scrimecost*Meta!O17</f>
        <v>749.23199999999997</v>
      </c>
      <c r="N20" s="5">
        <f>L20-Grade13!L20</f>
        <v>320.29552180869359</v>
      </c>
      <c r="O20" s="5">
        <f>Grade13!M20-M20</f>
        <v>4.3559999999999945</v>
      </c>
      <c r="P20" s="22">
        <f t="shared" si="12"/>
        <v>41.352848571918884</v>
      </c>
      <c r="Q20" s="22"/>
      <c r="R20" s="22"/>
      <c r="S20" s="22">
        <f t="shared" si="6"/>
        <v>151.6596147762391</v>
      </c>
      <c r="T20" s="22">
        <f t="shared" si="7"/>
        <v>218.68065734189028</v>
      </c>
    </row>
    <row r="21" spans="1:20" x14ac:dyDescent="0.2">
      <c r="A21" s="5">
        <v>30</v>
      </c>
      <c r="B21" s="1">
        <f t="shared" si="8"/>
        <v>1.2800845441963571</v>
      </c>
      <c r="C21" s="5">
        <f t="shared" si="9"/>
        <v>24358.172859321592</v>
      </c>
      <c r="D21" s="5">
        <f t="shared" si="0"/>
        <v>23867.715179199582</v>
      </c>
      <c r="E21" s="5">
        <f t="shared" si="1"/>
        <v>14367.715179199582</v>
      </c>
      <c r="F21" s="5">
        <f t="shared" si="2"/>
        <v>4992.8090060086633</v>
      </c>
      <c r="G21" s="5">
        <f t="shared" si="3"/>
        <v>18874.906173190917</v>
      </c>
      <c r="H21" s="22">
        <f t="shared" si="10"/>
        <v>11084.685290385733</v>
      </c>
      <c r="I21" s="5">
        <f t="shared" si="4"/>
        <v>29338.849087315048</v>
      </c>
      <c r="J21" s="26">
        <f t="shared" si="5"/>
        <v>0.12311560325823626</v>
      </c>
      <c r="L21" s="22">
        <f t="shared" si="11"/>
        <v>32166.986488289574</v>
      </c>
      <c r="M21" s="5">
        <f>scrimecost*Meta!O18</f>
        <v>590.99199999999996</v>
      </c>
      <c r="N21" s="5">
        <f>L21-Grade13!L21</f>
        <v>328.30290985391548</v>
      </c>
      <c r="O21" s="5">
        <f>Grade13!M21-M21</f>
        <v>3.4360000000000355</v>
      </c>
      <c r="P21" s="22">
        <f t="shared" si="12"/>
        <v>42.057031786021263</v>
      </c>
      <c r="Q21" s="22"/>
      <c r="R21" s="22"/>
      <c r="S21" s="22">
        <f t="shared" si="6"/>
        <v>154.5707725215201</v>
      </c>
      <c r="T21" s="22">
        <f t="shared" si="7"/>
        <v>231.18616555817513</v>
      </c>
    </row>
    <row r="22" spans="1:20" x14ac:dyDescent="0.2">
      <c r="A22" s="5">
        <v>31</v>
      </c>
      <c r="B22" s="1">
        <f t="shared" si="8"/>
        <v>1.312086657801266</v>
      </c>
      <c r="C22" s="5">
        <f t="shared" si="9"/>
        <v>24967.127180804629</v>
      </c>
      <c r="D22" s="5">
        <f t="shared" si="0"/>
        <v>24442.568058679568</v>
      </c>
      <c r="E22" s="5">
        <f t="shared" si="1"/>
        <v>14942.568058679568</v>
      </c>
      <c r="F22" s="5">
        <f t="shared" si="2"/>
        <v>5180.4984711588786</v>
      </c>
      <c r="G22" s="5">
        <f t="shared" si="3"/>
        <v>19262.069587520687</v>
      </c>
      <c r="H22" s="22">
        <f t="shared" si="10"/>
        <v>11361.802422645376</v>
      </c>
      <c r="I22" s="5">
        <f t="shared" si="4"/>
        <v>29987.611074497923</v>
      </c>
      <c r="J22" s="26">
        <f t="shared" si="5"/>
        <v>0.12558565578624292</v>
      </c>
      <c r="L22" s="22">
        <f t="shared" si="11"/>
        <v>32971.16115049681</v>
      </c>
      <c r="M22" s="5">
        <f>scrimecost*Meta!O19</f>
        <v>590.99199999999996</v>
      </c>
      <c r="N22" s="5">
        <f>L22-Grade13!L22</f>
        <v>336.51048260026073</v>
      </c>
      <c r="O22" s="5">
        <f>Grade13!M22-M22</f>
        <v>3.4360000000000355</v>
      </c>
      <c r="P22" s="22">
        <f t="shared" si="12"/>
        <v>42.778819580476188</v>
      </c>
      <c r="Q22" s="22"/>
      <c r="R22" s="22"/>
      <c r="S22" s="22">
        <f t="shared" si="6"/>
        <v>158.16577321043033</v>
      </c>
      <c r="T22" s="22">
        <f t="shared" si="7"/>
        <v>245.38104710760715</v>
      </c>
    </row>
    <row r="23" spans="1:20" x14ac:dyDescent="0.2">
      <c r="A23" s="5">
        <v>32</v>
      </c>
      <c r="B23" s="1">
        <f t="shared" si="8"/>
        <v>1.3448888242462975</v>
      </c>
      <c r="C23" s="5">
        <f t="shared" si="9"/>
        <v>25591.305360324746</v>
      </c>
      <c r="D23" s="5">
        <f t="shared" si="0"/>
        <v>25031.792260146558</v>
      </c>
      <c r="E23" s="5">
        <f t="shared" si="1"/>
        <v>15531.792260146558</v>
      </c>
      <c r="F23" s="5">
        <f t="shared" si="2"/>
        <v>5372.8801729378511</v>
      </c>
      <c r="G23" s="5">
        <f t="shared" si="3"/>
        <v>19658.912087208708</v>
      </c>
      <c r="H23" s="22">
        <f t="shared" si="10"/>
        <v>11645.84748321151</v>
      </c>
      <c r="I23" s="5">
        <f t="shared" si="4"/>
        <v>30652.592111360373</v>
      </c>
      <c r="J23" s="26">
        <f t="shared" si="5"/>
        <v>0.12799546313063975</v>
      </c>
      <c r="L23" s="22">
        <f t="shared" si="11"/>
        <v>33795.440179259233</v>
      </c>
      <c r="M23" s="5">
        <f>scrimecost*Meta!O20</f>
        <v>590.99199999999996</v>
      </c>
      <c r="N23" s="5">
        <f>L23-Grade13!L23</f>
        <v>344.92324466527498</v>
      </c>
      <c r="O23" s="5">
        <f>Grade13!M23-M23</f>
        <v>3.4360000000000355</v>
      </c>
      <c r="P23" s="22">
        <f t="shared" si="12"/>
        <v>43.518652069792502</v>
      </c>
      <c r="Q23" s="22"/>
      <c r="R23" s="22"/>
      <c r="S23" s="22">
        <f t="shared" si="6"/>
        <v>161.85064891656731</v>
      </c>
      <c r="T23" s="22">
        <f t="shared" si="7"/>
        <v>260.45757564332973</v>
      </c>
    </row>
    <row r="24" spans="1:20" x14ac:dyDescent="0.2">
      <c r="A24" s="5">
        <v>33</v>
      </c>
      <c r="B24" s="1">
        <f t="shared" si="8"/>
        <v>1.3785110448524549</v>
      </c>
      <c r="C24" s="5">
        <f t="shared" si="9"/>
        <v>26231.087994332862</v>
      </c>
      <c r="D24" s="5">
        <f t="shared" si="0"/>
        <v>25635.747066650219</v>
      </c>
      <c r="E24" s="5">
        <f t="shared" si="1"/>
        <v>16135.747066650219</v>
      </c>
      <c r="F24" s="5">
        <f t="shared" si="2"/>
        <v>5570.071417261297</v>
      </c>
      <c r="G24" s="5">
        <f t="shared" si="3"/>
        <v>20065.675649388922</v>
      </c>
      <c r="H24" s="22">
        <f t="shared" si="10"/>
        <v>11936.993670291797</v>
      </c>
      <c r="I24" s="5">
        <f t="shared" si="4"/>
        <v>31334.19767414438</v>
      </c>
      <c r="J24" s="26">
        <f t="shared" si="5"/>
        <v>0.13034649468614884</v>
      </c>
      <c r="L24" s="22">
        <f t="shared" si="11"/>
        <v>34640.326183740712</v>
      </c>
      <c r="M24" s="5">
        <f>scrimecost*Meta!O21</f>
        <v>590.99199999999996</v>
      </c>
      <c r="N24" s="5">
        <f>L24-Grade13!L24</f>
        <v>353.54632578190649</v>
      </c>
      <c r="O24" s="5">
        <f>Grade13!M24-M24</f>
        <v>3.4360000000000355</v>
      </c>
      <c r="P24" s="22">
        <f t="shared" si="12"/>
        <v>44.276980371341722</v>
      </c>
      <c r="Q24" s="22"/>
      <c r="R24" s="22"/>
      <c r="S24" s="22">
        <f t="shared" si="6"/>
        <v>165.6276465153546</v>
      </c>
      <c r="T24" s="22">
        <f t="shared" si="7"/>
        <v>276.47089716039562</v>
      </c>
    </row>
    <row r="25" spans="1:20" x14ac:dyDescent="0.2">
      <c r="A25" s="5">
        <v>34</v>
      </c>
      <c r="B25" s="1">
        <f t="shared" si="8"/>
        <v>1.4129738209737661</v>
      </c>
      <c r="C25" s="5">
        <f t="shared" si="9"/>
        <v>26886.865194191181</v>
      </c>
      <c r="D25" s="5">
        <f t="shared" si="0"/>
        <v>26254.800743316471</v>
      </c>
      <c r="E25" s="5">
        <f t="shared" si="1"/>
        <v>16754.800743316471</v>
      </c>
      <c r="F25" s="5">
        <f t="shared" si="2"/>
        <v>5772.1924426928281</v>
      </c>
      <c r="G25" s="5">
        <f t="shared" si="3"/>
        <v>20482.608300623644</v>
      </c>
      <c r="H25" s="22">
        <f t="shared" si="10"/>
        <v>12235.418512049089</v>
      </c>
      <c r="I25" s="5">
        <f t="shared" si="4"/>
        <v>32032.843375997982</v>
      </c>
      <c r="J25" s="26">
        <f t="shared" si="5"/>
        <v>0.13264018400859667</v>
      </c>
      <c r="L25" s="22">
        <f t="shared" si="11"/>
        <v>35506.334338334222</v>
      </c>
      <c r="M25" s="5">
        <f>scrimecost*Meta!O22</f>
        <v>590.99199999999996</v>
      </c>
      <c r="N25" s="5">
        <f>L25-Grade13!L25</f>
        <v>362.38498392644397</v>
      </c>
      <c r="O25" s="5">
        <f>Grade13!M25-M25</f>
        <v>3.4360000000000355</v>
      </c>
      <c r="P25" s="22">
        <f t="shared" si="12"/>
        <v>45.054266880429665</v>
      </c>
      <c r="Q25" s="22"/>
      <c r="R25" s="22"/>
      <c r="S25" s="22">
        <f t="shared" si="6"/>
        <v>169.49906905410782</v>
      </c>
      <c r="T25" s="22">
        <f t="shared" si="7"/>
        <v>293.47962164156201</v>
      </c>
    </row>
    <row r="26" spans="1:20" x14ac:dyDescent="0.2">
      <c r="A26" s="5">
        <v>35</v>
      </c>
      <c r="B26" s="1">
        <f t="shared" si="8"/>
        <v>1.4482981664981105</v>
      </c>
      <c r="C26" s="5">
        <f t="shared" si="9"/>
        <v>27559.036824045965</v>
      </c>
      <c r="D26" s="5">
        <f t="shared" si="0"/>
        <v>26889.330761899389</v>
      </c>
      <c r="E26" s="5">
        <f t="shared" si="1"/>
        <v>17389.330761899389</v>
      </c>
      <c r="F26" s="5">
        <f t="shared" si="2"/>
        <v>5979.3664937601507</v>
      </c>
      <c r="G26" s="5">
        <f t="shared" si="3"/>
        <v>20909.96426813924</v>
      </c>
      <c r="H26" s="22">
        <f t="shared" si="10"/>
        <v>12541.30397485032</v>
      </c>
      <c r="I26" s="5">
        <f t="shared" si="4"/>
        <v>32748.95522039794</v>
      </c>
      <c r="J26" s="26">
        <f t="shared" si="5"/>
        <v>0.13487792968903364</v>
      </c>
      <c r="L26" s="22">
        <f t="shared" si="11"/>
        <v>36393.992696792586</v>
      </c>
      <c r="M26" s="5">
        <f>scrimecost*Meta!O23</f>
        <v>470.59200000000004</v>
      </c>
      <c r="N26" s="5">
        <f>L26-Grade13!L26</f>
        <v>371.44460852460907</v>
      </c>
      <c r="O26" s="5">
        <f>Grade13!M26-M26</f>
        <v>2.73599999999999</v>
      </c>
      <c r="P26" s="22">
        <f t="shared" si="12"/>
        <v>45.850985552244815</v>
      </c>
      <c r="Q26" s="22"/>
      <c r="R26" s="22"/>
      <c r="S26" s="22">
        <f t="shared" si="6"/>
        <v>173.01367715633526</v>
      </c>
      <c r="T26" s="22">
        <f t="shared" si="7"/>
        <v>310.73137870776105</v>
      </c>
    </row>
    <row r="27" spans="1:20" x14ac:dyDescent="0.2">
      <c r="A27" s="5">
        <v>36</v>
      </c>
      <c r="B27" s="1">
        <f t="shared" si="8"/>
        <v>1.4845056206605631</v>
      </c>
      <c r="C27" s="5">
        <f t="shared" si="9"/>
        <v>28248.012744647112</v>
      </c>
      <c r="D27" s="5">
        <f t="shared" si="0"/>
        <v>27539.724030946873</v>
      </c>
      <c r="E27" s="5">
        <f t="shared" si="1"/>
        <v>18039.724030946873</v>
      </c>
      <c r="F27" s="5">
        <f t="shared" si="2"/>
        <v>6191.719896104154</v>
      </c>
      <c r="G27" s="5">
        <f t="shared" si="3"/>
        <v>21348.004134842718</v>
      </c>
      <c r="H27" s="22">
        <f t="shared" si="10"/>
        <v>12854.836574221577</v>
      </c>
      <c r="I27" s="5">
        <f t="shared" si="4"/>
        <v>33482.969860907891</v>
      </c>
      <c r="J27" s="26">
        <f t="shared" si="5"/>
        <v>0.13706109620653309</v>
      </c>
      <c r="L27" s="22">
        <f t="shared" si="11"/>
        <v>37303.842514212396</v>
      </c>
      <c r="M27" s="5">
        <f>scrimecost*Meta!O24</f>
        <v>470.59200000000004</v>
      </c>
      <c r="N27" s="5">
        <f>L27-Grade13!L27</f>
        <v>380.73072373773175</v>
      </c>
      <c r="O27" s="5">
        <f>Grade13!M27-M27</f>
        <v>2.73599999999999</v>
      </c>
      <c r="P27" s="22">
        <f t="shared" si="12"/>
        <v>46.66762219085534</v>
      </c>
      <c r="Q27" s="22"/>
      <c r="R27" s="22"/>
      <c r="S27" s="22">
        <f t="shared" si="6"/>
        <v>177.08109046111974</v>
      </c>
      <c r="T27" s="22">
        <f t="shared" si="7"/>
        <v>329.89133268657736</v>
      </c>
    </row>
    <row r="28" spans="1:20" x14ac:dyDescent="0.2">
      <c r="A28" s="5">
        <v>37</v>
      </c>
      <c r="B28" s="1">
        <f t="shared" si="8"/>
        <v>1.521618261177077</v>
      </c>
      <c r="C28" s="5">
        <f t="shared" si="9"/>
        <v>28954.213063263287</v>
      </c>
      <c r="D28" s="5">
        <f t="shared" si="0"/>
        <v>28206.377131720539</v>
      </c>
      <c r="E28" s="5">
        <f t="shared" si="1"/>
        <v>18706.377131720539</v>
      </c>
      <c r="F28" s="5">
        <f t="shared" si="2"/>
        <v>6409.382133506756</v>
      </c>
      <c r="G28" s="5">
        <f t="shared" si="3"/>
        <v>21796.994998213784</v>
      </c>
      <c r="H28" s="22">
        <f t="shared" si="10"/>
        <v>13176.207488577114</v>
      </c>
      <c r="I28" s="5">
        <f t="shared" si="4"/>
        <v>34235.334867430582</v>
      </c>
      <c r="J28" s="26">
        <f t="shared" si="5"/>
        <v>0.13919101476019108</v>
      </c>
      <c r="L28" s="22">
        <f t="shared" si="11"/>
        <v>38236.438577067696</v>
      </c>
      <c r="M28" s="5">
        <f>scrimecost*Meta!O25</f>
        <v>470.59200000000004</v>
      </c>
      <c r="N28" s="5">
        <f>L28-Grade13!L28</f>
        <v>390.24899183116213</v>
      </c>
      <c r="O28" s="5">
        <f>Grade13!M28-M28</f>
        <v>2.73599999999999</v>
      </c>
      <c r="P28" s="22">
        <f t="shared" si="12"/>
        <v>47.504674745431124</v>
      </c>
      <c r="Q28" s="22"/>
      <c r="R28" s="22"/>
      <c r="S28" s="22">
        <f t="shared" si="6"/>
        <v>181.25018909851607</v>
      </c>
      <c r="T28" s="22">
        <f t="shared" si="7"/>
        <v>350.24442265558332</v>
      </c>
    </row>
    <row r="29" spans="1:20" x14ac:dyDescent="0.2">
      <c r="A29" s="5">
        <v>38</v>
      </c>
      <c r="B29" s="1">
        <f t="shared" si="8"/>
        <v>1.559658717706504</v>
      </c>
      <c r="C29" s="5">
        <f t="shared" si="9"/>
        <v>29678.06838984487</v>
      </c>
      <c r="D29" s="5">
        <f t="shared" si="0"/>
        <v>28889.696560013555</v>
      </c>
      <c r="E29" s="5">
        <f t="shared" si="1"/>
        <v>19389.696560013555</v>
      </c>
      <c r="F29" s="5">
        <f t="shared" si="2"/>
        <v>6632.4859268444252</v>
      </c>
      <c r="G29" s="5">
        <f t="shared" si="3"/>
        <v>22257.210633169132</v>
      </c>
      <c r="H29" s="22">
        <f t="shared" si="10"/>
        <v>13505.612675791543</v>
      </c>
      <c r="I29" s="5">
        <f t="shared" si="4"/>
        <v>35006.508999116348</v>
      </c>
      <c r="J29" s="26">
        <f t="shared" si="5"/>
        <v>0.14126898408083308</v>
      </c>
      <c r="L29" s="22">
        <f t="shared" si="11"/>
        <v>39192.349541494397</v>
      </c>
      <c r="M29" s="5">
        <f>scrimecost*Meta!O26</f>
        <v>470.59200000000004</v>
      </c>
      <c r="N29" s="5">
        <f>L29-Grade13!L29</f>
        <v>400.00521662694518</v>
      </c>
      <c r="O29" s="5">
        <f>Grade13!M29-M29</f>
        <v>2.73599999999999</v>
      </c>
      <c r="P29" s="22">
        <f t="shared" si="12"/>
        <v>48.362653613871309</v>
      </c>
      <c r="Q29" s="22"/>
      <c r="R29" s="22"/>
      <c r="S29" s="22">
        <f t="shared" si="6"/>
        <v>185.52351520185374</v>
      </c>
      <c r="T29" s="22">
        <f t="shared" si="7"/>
        <v>371.86539575824924</v>
      </c>
    </row>
    <row r="30" spans="1:20" x14ac:dyDescent="0.2">
      <c r="A30" s="5">
        <v>39</v>
      </c>
      <c r="B30" s="1">
        <f t="shared" si="8"/>
        <v>1.5986501856491666</v>
      </c>
      <c r="C30" s="5">
        <f t="shared" si="9"/>
        <v>30420.020099590991</v>
      </c>
      <c r="D30" s="5">
        <f t="shared" si="0"/>
        <v>29590.098974013894</v>
      </c>
      <c r="E30" s="5">
        <f t="shared" si="1"/>
        <v>20090.098974013894</v>
      </c>
      <c r="F30" s="5">
        <f t="shared" si="2"/>
        <v>6861.1673150155366</v>
      </c>
      <c r="G30" s="5">
        <f t="shared" si="3"/>
        <v>22728.931658998357</v>
      </c>
      <c r="H30" s="22">
        <f t="shared" si="10"/>
        <v>13843.252992686332</v>
      </c>
      <c r="I30" s="5">
        <f t="shared" si="4"/>
        <v>35796.962484094256</v>
      </c>
      <c r="J30" s="26">
        <f t="shared" si="5"/>
        <v>0.14329627122292279</v>
      </c>
      <c r="L30" s="22">
        <f t="shared" si="11"/>
        <v>40172.158280031756</v>
      </c>
      <c r="M30" s="5">
        <f>scrimecost*Meta!O27</f>
        <v>470.59200000000004</v>
      </c>
      <c r="N30" s="5">
        <f>L30-Grade13!L30</f>
        <v>410.00534704262827</v>
      </c>
      <c r="O30" s="5">
        <f>Grade13!M30-M30</f>
        <v>2.73599999999999</v>
      </c>
      <c r="P30" s="22">
        <f t="shared" si="12"/>
        <v>49.242081954022495</v>
      </c>
      <c r="Q30" s="22"/>
      <c r="R30" s="22"/>
      <c r="S30" s="22">
        <f t="shared" si="6"/>
        <v>189.90367445777696</v>
      </c>
      <c r="T30" s="22">
        <f t="shared" si="7"/>
        <v>394.83369880900153</v>
      </c>
    </row>
    <row r="31" spans="1:20" x14ac:dyDescent="0.2">
      <c r="A31" s="5">
        <v>40</v>
      </c>
      <c r="B31" s="1">
        <f t="shared" si="8"/>
        <v>1.6386164402903955</v>
      </c>
      <c r="C31" s="5">
        <f t="shared" si="9"/>
        <v>31180.520602080764</v>
      </c>
      <c r="D31" s="5">
        <f t="shared" si="0"/>
        <v>30308.011448364239</v>
      </c>
      <c r="E31" s="5">
        <f t="shared" si="1"/>
        <v>20808.011448364239</v>
      </c>
      <c r="F31" s="5">
        <f t="shared" si="2"/>
        <v>7095.5657378909236</v>
      </c>
      <c r="G31" s="5">
        <f t="shared" si="3"/>
        <v>23212.445710473316</v>
      </c>
      <c r="H31" s="22">
        <f t="shared" si="10"/>
        <v>14189.334317503488</v>
      </c>
      <c r="I31" s="5">
        <f t="shared" si="4"/>
        <v>36607.177306196609</v>
      </c>
      <c r="J31" s="26">
        <f t="shared" si="5"/>
        <v>0.14527411233715667</v>
      </c>
      <c r="L31" s="22">
        <f t="shared" si="11"/>
        <v>41176.462237032538</v>
      </c>
      <c r="M31" s="5">
        <f>scrimecost*Meta!O28</f>
        <v>403.85599999999999</v>
      </c>
      <c r="N31" s="5">
        <f>L31-Grade13!L31</f>
        <v>420.25548071868252</v>
      </c>
      <c r="O31" s="5">
        <f>Grade13!M31-M31</f>
        <v>2.3479999999999563</v>
      </c>
      <c r="P31" s="22">
        <f t="shared" si="12"/>
        <v>50.143496002677466</v>
      </c>
      <c r="Q31" s="22"/>
      <c r="R31" s="22"/>
      <c r="S31" s="22">
        <f t="shared" si="6"/>
        <v>194.14191369509027</v>
      </c>
      <c r="T31" s="22">
        <f t="shared" si="7"/>
        <v>418.69154682096246</v>
      </c>
    </row>
    <row r="32" spans="1:20" x14ac:dyDescent="0.2">
      <c r="A32" s="5">
        <v>41</v>
      </c>
      <c r="B32" s="1">
        <f t="shared" si="8"/>
        <v>1.6795818512976552</v>
      </c>
      <c r="C32" s="5">
        <f t="shared" si="9"/>
        <v>31960.033617132776</v>
      </c>
      <c r="D32" s="5">
        <f t="shared" si="0"/>
        <v>31043.871734573338</v>
      </c>
      <c r="E32" s="5">
        <f t="shared" si="1"/>
        <v>21543.871734573338</v>
      </c>
      <c r="F32" s="5">
        <f t="shared" si="2"/>
        <v>7335.8241213381953</v>
      </c>
      <c r="G32" s="5">
        <f t="shared" si="3"/>
        <v>23708.047613235143</v>
      </c>
      <c r="H32" s="22">
        <f t="shared" si="10"/>
        <v>14544.067675441072</v>
      </c>
      <c r="I32" s="5">
        <f t="shared" si="4"/>
        <v>37437.647498851511</v>
      </c>
      <c r="J32" s="26">
        <f t="shared" si="5"/>
        <v>0.14720371342421407</v>
      </c>
      <c r="L32" s="22">
        <f t="shared" si="11"/>
        <v>42205.873792958351</v>
      </c>
      <c r="M32" s="5">
        <f>scrimecost*Meta!O29</f>
        <v>403.85599999999999</v>
      </c>
      <c r="N32" s="5">
        <f>L32-Grade13!L32</f>
        <v>430.7618677366554</v>
      </c>
      <c r="O32" s="5">
        <f>Grade13!M32-M32</f>
        <v>2.3479999999999563</v>
      </c>
      <c r="P32" s="22">
        <f t="shared" si="12"/>
        <v>51.067445402548799</v>
      </c>
      <c r="Q32" s="22"/>
      <c r="R32" s="22"/>
      <c r="S32" s="22">
        <f t="shared" si="6"/>
        <v>198.74381851334297</v>
      </c>
      <c r="T32" s="22">
        <f t="shared" si="7"/>
        <v>444.59293650084646</v>
      </c>
    </row>
    <row r="33" spans="1:20" x14ac:dyDescent="0.2">
      <c r="A33" s="5">
        <v>42</v>
      </c>
      <c r="B33" s="1">
        <f t="shared" si="8"/>
        <v>1.7215713975800966</v>
      </c>
      <c r="C33" s="5">
        <f t="shared" si="9"/>
        <v>32759.034457561098</v>
      </c>
      <c r="D33" s="5">
        <f t="shared" si="0"/>
        <v>31798.128527937672</v>
      </c>
      <c r="E33" s="5">
        <f t="shared" si="1"/>
        <v>22298.128527937672</v>
      </c>
      <c r="F33" s="5">
        <f t="shared" si="2"/>
        <v>7582.0889643716491</v>
      </c>
      <c r="G33" s="5">
        <f t="shared" si="3"/>
        <v>24216.039563566024</v>
      </c>
      <c r="H33" s="22">
        <f t="shared" si="10"/>
        <v>14907.6693673271</v>
      </c>
      <c r="I33" s="5">
        <f t="shared" si="4"/>
        <v>38288.879446322804</v>
      </c>
      <c r="J33" s="26">
        <f t="shared" si="5"/>
        <v>0.14908625107012374</v>
      </c>
      <c r="L33" s="22">
        <f t="shared" si="11"/>
        <v>43261.020637782312</v>
      </c>
      <c r="M33" s="5">
        <f>scrimecost*Meta!O30</f>
        <v>403.85599999999999</v>
      </c>
      <c r="N33" s="5">
        <f>L33-Grade13!L33</f>
        <v>441.53091443006997</v>
      </c>
      <c r="O33" s="5">
        <f>Grade13!M33-M33</f>
        <v>2.3479999999999563</v>
      </c>
      <c r="P33" s="22">
        <f t="shared" si="12"/>
        <v>52.014493537416918</v>
      </c>
      <c r="Q33" s="22"/>
      <c r="R33" s="22"/>
      <c r="S33" s="22">
        <f t="shared" si="6"/>
        <v>203.4607709520491</v>
      </c>
      <c r="T33" s="22">
        <f t="shared" si="7"/>
        <v>472.1104970472133</v>
      </c>
    </row>
    <row r="34" spans="1:20" x14ac:dyDescent="0.2">
      <c r="A34" s="5">
        <v>43</v>
      </c>
      <c r="B34" s="1">
        <f t="shared" si="8"/>
        <v>1.7646106825195991</v>
      </c>
      <c r="C34" s="5">
        <f t="shared" si="9"/>
        <v>33578.010319000125</v>
      </c>
      <c r="D34" s="5">
        <f t="shared" si="0"/>
        <v>32571.241741136113</v>
      </c>
      <c r="E34" s="5">
        <f t="shared" si="1"/>
        <v>23071.241741136113</v>
      </c>
      <c r="F34" s="5">
        <f t="shared" si="2"/>
        <v>7834.5104284809404</v>
      </c>
      <c r="G34" s="5">
        <f t="shared" si="3"/>
        <v>24736.731312655174</v>
      </c>
      <c r="H34" s="22">
        <f t="shared" si="10"/>
        <v>15280.361101510278</v>
      </c>
      <c r="I34" s="5">
        <f t="shared" si="4"/>
        <v>39161.392192480875</v>
      </c>
      <c r="J34" s="26">
        <f t="shared" si="5"/>
        <v>0.15092287316369418</v>
      </c>
      <c r="L34" s="22">
        <f t="shared" si="11"/>
        <v>44342.546153726871</v>
      </c>
      <c r="M34" s="5">
        <f>scrimecost*Meta!O31</f>
        <v>403.85599999999999</v>
      </c>
      <c r="N34" s="5">
        <f>L34-Grade13!L34</f>
        <v>452.56918729082827</v>
      </c>
      <c r="O34" s="5">
        <f>Grade13!M34-M34</f>
        <v>2.3479999999999563</v>
      </c>
      <c r="P34" s="22">
        <f t="shared" si="12"/>
        <v>52.985217875656751</v>
      </c>
      <c r="Q34" s="22"/>
      <c r="R34" s="22"/>
      <c r="S34" s="22">
        <f t="shared" si="6"/>
        <v>208.2956472017261</v>
      </c>
      <c r="T34" s="22">
        <f t="shared" si="7"/>
        <v>501.34559992836716</v>
      </c>
    </row>
    <row r="35" spans="1:20" x14ac:dyDescent="0.2">
      <c r="A35" s="5">
        <v>44</v>
      </c>
      <c r="B35" s="1">
        <f t="shared" si="8"/>
        <v>1.8087259495825889</v>
      </c>
      <c r="C35" s="5">
        <f t="shared" si="9"/>
        <v>34417.460576975129</v>
      </c>
      <c r="D35" s="5">
        <f t="shared" si="0"/>
        <v>33363.682784664517</v>
      </c>
      <c r="E35" s="5">
        <f t="shared" si="1"/>
        <v>23863.682784664517</v>
      </c>
      <c r="F35" s="5">
        <f t="shared" si="2"/>
        <v>8093.2424291929647</v>
      </c>
      <c r="G35" s="5">
        <f t="shared" si="3"/>
        <v>25270.440355471554</v>
      </c>
      <c r="H35" s="22">
        <f t="shared" si="10"/>
        <v>15662.370129048033</v>
      </c>
      <c r="I35" s="5">
        <f t="shared" si="4"/>
        <v>40055.717757292892</v>
      </c>
      <c r="J35" s="26">
        <f t="shared" si="5"/>
        <v>0.15271469959644585</v>
      </c>
      <c r="L35" s="22">
        <f t="shared" si="11"/>
        <v>45451.109807570036</v>
      </c>
      <c r="M35" s="5">
        <f>scrimecost*Meta!O32</f>
        <v>403.85599999999999</v>
      </c>
      <c r="N35" s="5">
        <f>L35-Grade13!L35</f>
        <v>463.88341697309806</v>
      </c>
      <c r="O35" s="5">
        <f>Grade13!M35-M35</f>
        <v>2.3479999999999563</v>
      </c>
      <c r="P35" s="22">
        <f t="shared" si="12"/>
        <v>53.980210322352576</v>
      </c>
      <c r="Q35" s="22"/>
      <c r="R35" s="22"/>
      <c r="S35" s="22">
        <f t="shared" si="6"/>
        <v>213.25139535764217</v>
      </c>
      <c r="T35" s="22">
        <f t="shared" si="7"/>
        <v>532.40599486360088</v>
      </c>
    </row>
    <row r="36" spans="1:20" x14ac:dyDescent="0.2">
      <c r="A36" s="5">
        <v>45</v>
      </c>
      <c r="B36" s="1">
        <f t="shared" si="8"/>
        <v>1.8539440983221533</v>
      </c>
      <c r="C36" s="5">
        <f t="shared" si="9"/>
        <v>35277.8970913995</v>
      </c>
      <c r="D36" s="5">
        <f t="shared" si="0"/>
        <v>34175.934854281128</v>
      </c>
      <c r="E36" s="5">
        <f t="shared" si="1"/>
        <v>24675.934854281128</v>
      </c>
      <c r="F36" s="5">
        <f t="shared" si="2"/>
        <v>8358.4427299227882</v>
      </c>
      <c r="G36" s="5">
        <f t="shared" si="3"/>
        <v>25817.492124358338</v>
      </c>
      <c r="H36" s="22">
        <f t="shared" si="10"/>
        <v>16053.929382274233</v>
      </c>
      <c r="I36" s="5">
        <f t="shared" si="4"/>
        <v>40972.401461225214</v>
      </c>
      <c r="J36" s="26">
        <f t="shared" si="5"/>
        <v>0.15446282294547187</v>
      </c>
      <c r="L36" s="22">
        <f t="shared" si="11"/>
        <v>46587.387552759283</v>
      </c>
      <c r="M36" s="5">
        <f>scrimecost*Meta!O33</f>
        <v>310.976</v>
      </c>
      <c r="N36" s="5">
        <f>L36-Grade13!L36</f>
        <v>475.4805023974186</v>
      </c>
      <c r="O36" s="5">
        <f>Grade13!M36-M36</f>
        <v>1.8079999999999927</v>
      </c>
      <c r="P36" s="22">
        <f t="shared" si="12"/>
        <v>55.000077580215795</v>
      </c>
      <c r="Q36" s="22"/>
      <c r="R36" s="22"/>
      <c r="S36" s="22">
        <f t="shared" si="6"/>
        <v>217.98111721745386</v>
      </c>
      <c r="T36" s="22">
        <f t="shared" si="7"/>
        <v>564.50003315948709</v>
      </c>
    </row>
    <row r="37" spans="1:20" x14ac:dyDescent="0.2">
      <c r="A37" s="5">
        <v>46</v>
      </c>
      <c r="B37" s="1">
        <f t="shared" ref="B37:B56" si="13">(1+experiencepremium)^(A37-startage)</f>
        <v>1.9002927007802071</v>
      </c>
      <c r="C37" s="5">
        <f t="shared" ref="C37:C56" si="14">pretaxincome*B37/expnorm</f>
        <v>36159.844518684484</v>
      </c>
      <c r="D37" s="5">
        <f t="shared" ref="D37:D56" si="15">IF(A37&lt;startage,1,0)*(C37*(1-initialunempprob))+IF(A37=startage,1,0)*(C37*(1-unempprob))+IF(A37&gt;startage,1,0)*(C37*(1-unempprob)+unempprob*300*52)</f>
        <v>35008.493225638151</v>
      </c>
      <c r="E37" s="5">
        <f t="shared" si="1"/>
        <v>25508.493225638151</v>
      </c>
      <c r="F37" s="5">
        <f t="shared" si="2"/>
        <v>8630.273038170857</v>
      </c>
      <c r="G37" s="5">
        <f t="shared" si="3"/>
        <v>26378.220187467294</v>
      </c>
      <c r="H37" s="22">
        <f t="shared" ref="H37:H56" si="16">benefits*B37/expnorm</f>
        <v>16455.277616831088</v>
      </c>
      <c r="I37" s="5">
        <f t="shared" ref="I37:I56" si="17">G37+IF(A37&lt;startage,1,0)*(H37*(1-initialunempprob))+IF(A37&gt;=startage,1,0)*(H37*(1-unempprob))</f>
        <v>41912.002257755841</v>
      </c>
      <c r="J37" s="26">
        <f t="shared" si="5"/>
        <v>0.15616830913964355</v>
      </c>
      <c r="L37" s="22">
        <f t="shared" ref="L37:L56" si="18">(sincome+sbenefits)*(1-sunemp)*B37/expnorm</f>
        <v>47752.072241578258</v>
      </c>
      <c r="M37" s="5">
        <f>scrimecost*Meta!O34</f>
        <v>310.976</v>
      </c>
      <c r="N37" s="5">
        <f>L37-Grade13!L37</f>
        <v>487.36751495736098</v>
      </c>
      <c r="O37" s="5">
        <f>Grade13!M37-M37</f>
        <v>1.8079999999999927</v>
      </c>
      <c r="P37" s="22">
        <f t="shared" si="12"/>
        <v>56.045441519525589</v>
      </c>
      <c r="Q37" s="22"/>
      <c r="R37" s="22"/>
      <c r="S37" s="22">
        <f t="shared" si="6"/>
        <v>223.18775012376608</v>
      </c>
      <c r="T37" s="22">
        <f t="shared" si="7"/>
        <v>599.52803196424327</v>
      </c>
    </row>
    <row r="38" spans="1:20" x14ac:dyDescent="0.2">
      <c r="A38" s="5">
        <v>47</v>
      </c>
      <c r="B38" s="1">
        <f t="shared" si="13"/>
        <v>1.9478000182997122</v>
      </c>
      <c r="C38" s="5">
        <f t="shared" si="14"/>
        <v>37063.84063165159</v>
      </c>
      <c r="D38" s="5">
        <f t="shared" si="15"/>
        <v>35861.865556279095</v>
      </c>
      <c r="E38" s="5">
        <f t="shared" si="1"/>
        <v>26361.865556279095</v>
      </c>
      <c r="F38" s="5">
        <f t="shared" si="2"/>
        <v>8908.8991041251247</v>
      </c>
      <c r="G38" s="5">
        <f t="shared" si="3"/>
        <v>26952.966452153971</v>
      </c>
      <c r="H38" s="22">
        <f t="shared" si="16"/>
        <v>16866.659557251864</v>
      </c>
      <c r="I38" s="5">
        <f t="shared" si="17"/>
        <v>42875.093074199729</v>
      </c>
      <c r="J38" s="26">
        <f t="shared" si="5"/>
        <v>0.15783219810956708</v>
      </c>
      <c r="L38" s="22">
        <f t="shared" si="18"/>
        <v>48945.874047617719</v>
      </c>
      <c r="M38" s="5">
        <f>scrimecost*Meta!O35</f>
        <v>310.976</v>
      </c>
      <c r="N38" s="5">
        <f>L38-Grade13!L38</f>
        <v>499.55170283129701</v>
      </c>
      <c r="O38" s="5">
        <f>Grade13!M38-M38</f>
        <v>1.8079999999999927</v>
      </c>
      <c r="P38" s="22">
        <f t="shared" si="12"/>
        <v>57.116939557318126</v>
      </c>
      <c r="Q38" s="22"/>
      <c r="R38" s="22"/>
      <c r="S38" s="22">
        <f t="shared" si="6"/>
        <v>228.52454885273426</v>
      </c>
      <c r="T38" s="22">
        <f t="shared" si="7"/>
        <v>636.74573151045138</v>
      </c>
    </row>
    <row r="39" spans="1:20" x14ac:dyDescent="0.2">
      <c r="A39" s="5">
        <v>48</v>
      </c>
      <c r="B39" s="1">
        <f t="shared" si="13"/>
        <v>1.9964950187572048</v>
      </c>
      <c r="C39" s="5">
        <f t="shared" si="14"/>
        <v>37990.436647442883</v>
      </c>
      <c r="D39" s="5">
        <f t="shared" si="15"/>
        <v>36736.572195186076</v>
      </c>
      <c r="E39" s="5">
        <f t="shared" si="1"/>
        <v>27236.572195186076</v>
      </c>
      <c r="F39" s="5">
        <f t="shared" si="2"/>
        <v>9194.4908217282536</v>
      </c>
      <c r="G39" s="5">
        <f t="shared" si="3"/>
        <v>27542.081373457822</v>
      </c>
      <c r="H39" s="22">
        <f t="shared" si="16"/>
        <v>17288.32604618316</v>
      </c>
      <c r="I39" s="5">
        <f t="shared" si="17"/>
        <v>43862.261161054725</v>
      </c>
      <c r="J39" s="26">
        <f t="shared" si="5"/>
        <v>0.15945550442168771</v>
      </c>
      <c r="L39" s="22">
        <f t="shared" si="18"/>
        <v>50169.52089880815</v>
      </c>
      <c r="M39" s="5">
        <f>scrimecost*Meta!O36</f>
        <v>310.976</v>
      </c>
      <c r="N39" s="5">
        <f>L39-Grade13!L39</f>
        <v>512.04049540206324</v>
      </c>
      <c r="O39" s="5">
        <f>Grade13!M39-M39</f>
        <v>1.8079999999999927</v>
      </c>
      <c r="P39" s="22">
        <f t="shared" si="12"/>
        <v>58.21522504605548</v>
      </c>
      <c r="Q39" s="22"/>
      <c r="R39" s="22"/>
      <c r="S39" s="22">
        <f t="shared" si="6"/>
        <v>233.99476754991971</v>
      </c>
      <c r="T39" s="22">
        <f t="shared" si="7"/>
        <v>676.29063007551997</v>
      </c>
    </row>
    <row r="40" spans="1:20" x14ac:dyDescent="0.2">
      <c r="A40" s="5">
        <v>49</v>
      </c>
      <c r="B40" s="1">
        <f t="shared" si="13"/>
        <v>2.0464073942261352</v>
      </c>
      <c r="C40" s="5">
        <f t="shared" si="14"/>
        <v>38940.197563628957</v>
      </c>
      <c r="D40" s="5">
        <f t="shared" si="15"/>
        <v>37633.146500065734</v>
      </c>
      <c r="E40" s="5">
        <f t="shared" si="1"/>
        <v>28133.146500065734</v>
      </c>
      <c r="F40" s="5">
        <f t="shared" si="2"/>
        <v>9487.2223322714617</v>
      </c>
      <c r="G40" s="5">
        <f t="shared" si="3"/>
        <v>28145.92416779427</v>
      </c>
      <c r="H40" s="22">
        <f t="shared" si="16"/>
        <v>17720.53419733774</v>
      </c>
      <c r="I40" s="5">
        <f t="shared" si="17"/>
        <v>44874.108450081098</v>
      </c>
      <c r="J40" s="26">
        <f t="shared" si="5"/>
        <v>0.16103921789692735</v>
      </c>
      <c r="L40" s="22">
        <f t="shared" si="18"/>
        <v>51423.758921278364</v>
      </c>
      <c r="M40" s="5">
        <f>scrimecost*Meta!O37</f>
        <v>310.976</v>
      </c>
      <c r="N40" s="5">
        <f>L40-Grade13!L40</f>
        <v>524.84150778713956</v>
      </c>
      <c r="O40" s="5">
        <f>Grade13!M40-M40</f>
        <v>1.8079999999999927</v>
      </c>
      <c r="P40" s="22">
        <f t="shared" si="12"/>
        <v>59.340967672011288</v>
      </c>
      <c r="Q40" s="22"/>
      <c r="R40" s="22"/>
      <c r="S40" s="22">
        <f t="shared" si="6"/>
        <v>239.60174171455034</v>
      </c>
      <c r="T40" s="22">
        <f t="shared" si="7"/>
        <v>718.30888302499318</v>
      </c>
    </row>
    <row r="41" spans="1:20" x14ac:dyDescent="0.2">
      <c r="A41" s="5">
        <v>50</v>
      </c>
      <c r="B41" s="1">
        <f t="shared" si="13"/>
        <v>2.097567579081788</v>
      </c>
      <c r="C41" s="5">
        <f t="shared" si="14"/>
        <v>39913.702502719672</v>
      </c>
      <c r="D41" s="5">
        <f t="shared" si="15"/>
        <v>38552.135162567371</v>
      </c>
      <c r="E41" s="5">
        <f t="shared" si="1"/>
        <v>29052.135162567371</v>
      </c>
      <c r="F41" s="5">
        <f t="shared" si="2"/>
        <v>9787.272130578247</v>
      </c>
      <c r="G41" s="5">
        <f t="shared" si="3"/>
        <v>28764.863031989124</v>
      </c>
      <c r="H41" s="22">
        <f t="shared" si="16"/>
        <v>18163.547552271182</v>
      </c>
      <c r="I41" s="5">
        <f t="shared" si="17"/>
        <v>45911.251921333118</v>
      </c>
      <c r="J41" s="26">
        <f t="shared" si="5"/>
        <v>0.16258430421423425</v>
      </c>
      <c r="L41" s="22">
        <f t="shared" si="18"/>
        <v>52709.352894310308</v>
      </c>
      <c r="M41" s="5">
        <f>scrimecost*Meta!O38</f>
        <v>188.85600000000002</v>
      </c>
      <c r="N41" s="5">
        <f>L41-Grade13!L41</f>
        <v>537.96254548178695</v>
      </c>
      <c r="O41" s="5">
        <f>Grade13!M41-M41</f>
        <v>1.0979999999999848</v>
      </c>
      <c r="P41" s="22">
        <f t="shared" si="12"/>
        <v>60.494853863615958</v>
      </c>
      <c r="Q41" s="22"/>
      <c r="R41" s="22"/>
      <c r="S41" s="22">
        <f t="shared" si="6"/>
        <v>244.88881023327554</v>
      </c>
      <c r="T41" s="22">
        <f t="shared" si="7"/>
        <v>761.52514845912503</v>
      </c>
    </row>
    <row r="42" spans="1:20" x14ac:dyDescent="0.2">
      <c r="A42" s="5">
        <v>51</v>
      </c>
      <c r="B42" s="1">
        <f t="shared" si="13"/>
        <v>2.1500067685588333</v>
      </c>
      <c r="C42" s="5">
        <f t="shared" si="14"/>
        <v>40911.545065287675</v>
      </c>
      <c r="D42" s="5">
        <f t="shared" si="15"/>
        <v>39494.09854163156</v>
      </c>
      <c r="E42" s="5">
        <f t="shared" si="1"/>
        <v>29994.09854163156</v>
      </c>
      <c r="F42" s="5">
        <f t="shared" si="2"/>
        <v>10094.823173842704</v>
      </c>
      <c r="G42" s="5">
        <f t="shared" si="3"/>
        <v>29399.275367788854</v>
      </c>
      <c r="H42" s="22">
        <f t="shared" si="16"/>
        <v>18617.636241077962</v>
      </c>
      <c r="I42" s="5">
        <f t="shared" si="17"/>
        <v>46974.323979366454</v>
      </c>
      <c r="J42" s="26">
        <f t="shared" si="5"/>
        <v>0.16409170549941174</v>
      </c>
      <c r="L42" s="22">
        <f t="shared" si="18"/>
        <v>54027.086716668084</v>
      </c>
      <c r="M42" s="5">
        <f>scrimecost*Meta!O39</f>
        <v>188.85600000000002</v>
      </c>
      <c r="N42" s="5">
        <f>L42-Grade13!L42</f>
        <v>551.41160911886254</v>
      </c>
      <c r="O42" s="5">
        <f>Grade13!M42-M42</f>
        <v>1.0979999999999848</v>
      </c>
      <c r="P42" s="22">
        <f t="shared" si="12"/>
        <v>61.67758721001077</v>
      </c>
      <c r="Q42" s="22"/>
      <c r="R42" s="22"/>
      <c r="S42" s="22">
        <f t="shared" ref="S42:S69" si="19">IF(A42&lt;startage,1,0)*(N42-Q42-R42)+IF(A42&gt;=startage,1,0)*completionprob*(N42*spart+O42+P42)</f>
        <v>250.77963746499242</v>
      </c>
      <c r="T42" s="22">
        <f t="shared" ref="T42:T69" si="20">S42/sreturn^(A42-startage+1)</f>
        <v>808.91263893691087</v>
      </c>
    </row>
    <row r="43" spans="1:20" x14ac:dyDescent="0.2">
      <c r="A43" s="5">
        <v>52</v>
      </c>
      <c r="B43" s="1">
        <f t="shared" si="13"/>
        <v>2.2037569377728037</v>
      </c>
      <c r="C43" s="5">
        <f t="shared" si="14"/>
        <v>41934.333691919863</v>
      </c>
      <c r="D43" s="5">
        <f t="shared" si="15"/>
        <v>40459.611005172344</v>
      </c>
      <c r="E43" s="5">
        <f t="shared" si="1"/>
        <v>30959.611005172344</v>
      </c>
      <c r="F43" s="5">
        <f t="shared" si="2"/>
        <v>10410.062993188771</v>
      </c>
      <c r="G43" s="5">
        <f t="shared" si="3"/>
        <v>30049.548011983574</v>
      </c>
      <c r="H43" s="22">
        <f t="shared" si="16"/>
        <v>19083.077147104908</v>
      </c>
      <c r="I43" s="5">
        <f t="shared" si="17"/>
        <v>48063.972838850605</v>
      </c>
      <c r="J43" s="26">
        <f t="shared" si="5"/>
        <v>0.16556234089958491</v>
      </c>
      <c r="L43" s="22">
        <f t="shared" si="18"/>
        <v>55377.763884584776</v>
      </c>
      <c r="M43" s="5">
        <f>scrimecost*Meta!O40</f>
        <v>188.85600000000002</v>
      </c>
      <c r="N43" s="5">
        <f>L43-Grade13!L43</f>
        <v>565.19689934682538</v>
      </c>
      <c r="O43" s="5">
        <f>Grade13!M43-M43</f>
        <v>1.0979999999999848</v>
      </c>
      <c r="P43" s="22">
        <f t="shared" si="12"/>
        <v>62.889888890065443</v>
      </c>
      <c r="Q43" s="22"/>
      <c r="R43" s="22"/>
      <c r="S43" s="22">
        <f t="shared" si="19"/>
        <v>256.81773537748717</v>
      </c>
      <c r="T43" s="22">
        <f t="shared" si="20"/>
        <v>859.26753832036979</v>
      </c>
    </row>
    <row r="44" spans="1:20" x14ac:dyDescent="0.2">
      <c r="A44" s="5">
        <v>53</v>
      </c>
      <c r="B44" s="1">
        <f t="shared" si="13"/>
        <v>2.2588508612171236</v>
      </c>
      <c r="C44" s="5">
        <f t="shared" si="14"/>
        <v>42982.692034217856</v>
      </c>
      <c r="D44" s="5">
        <f t="shared" si="15"/>
        <v>41449.261280301653</v>
      </c>
      <c r="E44" s="5">
        <f t="shared" si="1"/>
        <v>31949.261280301653</v>
      </c>
      <c r="F44" s="5">
        <f t="shared" si="2"/>
        <v>10733.18380801849</v>
      </c>
      <c r="G44" s="5">
        <f t="shared" si="3"/>
        <v>30716.077472283163</v>
      </c>
      <c r="H44" s="22">
        <f t="shared" si="16"/>
        <v>19560.154075782531</v>
      </c>
      <c r="I44" s="5">
        <f t="shared" si="17"/>
        <v>49180.86291982187</v>
      </c>
      <c r="J44" s="26">
        <f t="shared" si="5"/>
        <v>0.16699710714365629</v>
      </c>
      <c r="L44" s="22">
        <f t="shared" si="18"/>
        <v>56762.207981699386</v>
      </c>
      <c r="M44" s="5">
        <f>scrimecost*Meta!O41</f>
        <v>188.85600000000002</v>
      </c>
      <c r="N44" s="5">
        <f>L44-Grade13!L44</f>
        <v>579.32682183048746</v>
      </c>
      <c r="O44" s="5">
        <f>Grade13!M44-M44</f>
        <v>1.0979999999999848</v>
      </c>
      <c r="P44" s="22">
        <f t="shared" si="12"/>
        <v>64.132498112121468</v>
      </c>
      <c r="Q44" s="22"/>
      <c r="R44" s="22"/>
      <c r="S44" s="22">
        <f t="shared" si="19"/>
        <v>263.00678573779436</v>
      </c>
      <c r="T44" s="22">
        <f t="shared" si="20"/>
        <v>912.77637115178459</v>
      </c>
    </row>
    <row r="45" spans="1:20" x14ac:dyDescent="0.2">
      <c r="A45" s="5">
        <v>54</v>
      </c>
      <c r="B45" s="1">
        <f t="shared" si="13"/>
        <v>2.3153221327475517</v>
      </c>
      <c r="C45" s="5">
        <f t="shared" si="14"/>
        <v>44057.2593350733</v>
      </c>
      <c r="D45" s="5">
        <f t="shared" si="15"/>
        <v>42463.652812309192</v>
      </c>
      <c r="E45" s="5">
        <f t="shared" si="1"/>
        <v>32963.652812309192</v>
      </c>
      <c r="F45" s="5">
        <f t="shared" si="2"/>
        <v>11064.382643218951</v>
      </c>
      <c r="G45" s="5">
        <f t="shared" si="3"/>
        <v>31399.27016909024</v>
      </c>
      <c r="H45" s="22">
        <f t="shared" si="16"/>
        <v>20049.157927677094</v>
      </c>
      <c r="I45" s="5">
        <f t="shared" si="17"/>
        <v>50325.675252817411</v>
      </c>
      <c r="J45" s="26">
        <f t="shared" si="5"/>
        <v>0.16839687908909179</v>
      </c>
      <c r="L45" s="22">
        <f t="shared" si="18"/>
        <v>58181.263181241869</v>
      </c>
      <c r="M45" s="5">
        <f>scrimecost*Meta!O42</f>
        <v>188.85600000000002</v>
      </c>
      <c r="N45" s="5">
        <f>L45-Grade13!L45</f>
        <v>593.80999237625656</v>
      </c>
      <c r="O45" s="5">
        <f>Grade13!M45-M45</f>
        <v>1.0979999999999848</v>
      </c>
      <c r="P45" s="22">
        <f t="shared" si="12"/>
        <v>65.406172564728919</v>
      </c>
      <c r="Q45" s="22"/>
      <c r="R45" s="22"/>
      <c r="S45" s="22">
        <f t="shared" si="19"/>
        <v>269.35056235711517</v>
      </c>
      <c r="T45" s="22">
        <f t="shared" si="20"/>
        <v>969.63741301024754</v>
      </c>
    </row>
    <row r="46" spans="1:20" x14ac:dyDescent="0.2">
      <c r="A46" s="5">
        <v>55</v>
      </c>
      <c r="B46" s="1">
        <f t="shared" si="13"/>
        <v>2.3732051860662402</v>
      </c>
      <c r="C46" s="5">
        <f t="shared" si="14"/>
        <v>45158.69081845013</v>
      </c>
      <c r="D46" s="5">
        <f t="shared" si="15"/>
        <v>43503.404132616917</v>
      </c>
      <c r="E46" s="5">
        <f t="shared" si="1"/>
        <v>34003.404132616917</v>
      </c>
      <c r="F46" s="5">
        <f t="shared" si="2"/>
        <v>11403.861449299424</v>
      </c>
      <c r="G46" s="5">
        <f t="shared" si="3"/>
        <v>32099.542683317493</v>
      </c>
      <c r="H46" s="22">
        <f t="shared" si="16"/>
        <v>20550.386875869015</v>
      </c>
      <c r="I46" s="5">
        <f t="shared" si="17"/>
        <v>51499.107894137844</v>
      </c>
      <c r="J46" s="26">
        <f t="shared" si="5"/>
        <v>0.16976251025537034</v>
      </c>
      <c r="L46" s="22">
        <f t="shared" si="18"/>
        <v>59635.794760772907</v>
      </c>
      <c r="M46" s="5">
        <f>scrimecost*Meta!O43</f>
        <v>94.256</v>
      </c>
      <c r="N46" s="5">
        <f>L46-Grade13!L46</f>
        <v>608.65524218564678</v>
      </c>
      <c r="O46" s="5">
        <f>Grade13!M46-M46</f>
        <v>0.54800000000000182</v>
      </c>
      <c r="P46" s="22">
        <f t="shared" si="12"/>
        <v>66.711688878651529</v>
      </c>
      <c r="Q46" s="22"/>
      <c r="R46" s="22"/>
      <c r="S46" s="22">
        <f t="shared" si="19"/>
        <v>275.49653339191008</v>
      </c>
      <c r="T46" s="22">
        <f t="shared" si="20"/>
        <v>1028.7305998814952</v>
      </c>
    </row>
    <row r="47" spans="1:20" x14ac:dyDescent="0.2">
      <c r="A47" s="5">
        <v>56</v>
      </c>
      <c r="B47" s="1">
        <f t="shared" si="13"/>
        <v>2.4325353157178964</v>
      </c>
      <c r="C47" s="5">
        <f t="shared" si="14"/>
        <v>46287.658088911376</v>
      </c>
      <c r="D47" s="5">
        <f t="shared" si="15"/>
        <v>44569.149235932338</v>
      </c>
      <c r="E47" s="5">
        <f t="shared" si="1"/>
        <v>35069.149235932338</v>
      </c>
      <c r="F47" s="5">
        <f t="shared" si="2"/>
        <v>11808.742149125143</v>
      </c>
      <c r="G47" s="5">
        <f t="shared" si="3"/>
        <v>32760.407086807194</v>
      </c>
      <c r="H47" s="22">
        <f t="shared" si="16"/>
        <v>21064.146547765744</v>
      </c>
      <c r="I47" s="5">
        <f t="shared" si="17"/>
        <v>52644.961427898059</v>
      </c>
      <c r="J47" s="26">
        <f t="shared" si="5"/>
        <v>0.17199000212193619</v>
      </c>
      <c r="L47" s="22">
        <f t="shared" si="18"/>
        <v>61126.689629792236</v>
      </c>
      <c r="M47" s="5">
        <f>scrimecost*Meta!O44</f>
        <v>94.256</v>
      </c>
      <c r="N47" s="5">
        <f>L47-Grade13!L47</f>
        <v>623.87162324030214</v>
      </c>
      <c r="O47" s="5">
        <f>Grade13!M47-M47</f>
        <v>0.54800000000000182</v>
      </c>
      <c r="P47" s="22">
        <f t="shared" si="12"/>
        <v>68.268717916539671</v>
      </c>
      <c r="Q47" s="22"/>
      <c r="R47" s="22"/>
      <c r="S47" s="22">
        <f t="shared" si="19"/>
        <v>282.30329458343061</v>
      </c>
      <c r="T47" s="22">
        <f t="shared" si="20"/>
        <v>1093.4413884085477</v>
      </c>
    </row>
    <row r="48" spans="1:20" x14ac:dyDescent="0.2">
      <c r="A48" s="5">
        <v>57</v>
      </c>
      <c r="B48" s="1">
        <f t="shared" si="13"/>
        <v>2.4933486986108435</v>
      </c>
      <c r="C48" s="5">
        <f t="shared" si="14"/>
        <v>47444.849541134165</v>
      </c>
      <c r="D48" s="5">
        <f t="shared" si="15"/>
        <v>45661.537966830649</v>
      </c>
      <c r="E48" s="5">
        <f t="shared" si="1"/>
        <v>36161.537966830649</v>
      </c>
      <c r="F48" s="5">
        <f t="shared" si="2"/>
        <v>12274.645942853273</v>
      </c>
      <c r="G48" s="5">
        <f t="shared" si="3"/>
        <v>33386.892023977372</v>
      </c>
      <c r="H48" s="22">
        <f t="shared" si="16"/>
        <v>21590.750211459886</v>
      </c>
      <c r="I48" s="5">
        <f t="shared" si="17"/>
        <v>53768.560223595501</v>
      </c>
      <c r="J48" s="26">
        <f t="shared" si="5"/>
        <v>0.17494422037374324</v>
      </c>
      <c r="L48" s="22">
        <f t="shared" si="18"/>
        <v>62654.856870537034</v>
      </c>
      <c r="M48" s="5">
        <f>scrimecost*Meta!O45</f>
        <v>94.256</v>
      </c>
      <c r="N48" s="5">
        <f>L48-Grade13!L48</f>
        <v>639.4684138213197</v>
      </c>
      <c r="O48" s="5">
        <f>Grade13!M48-M48</f>
        <v>0.54800000000000182</v>
      </c>
      <c r="P48" s="22">
        <f t="shared" si="12"/>
        <v>70.06042035137834</v>
      </c>
      <c r="Q48" s="22"/>
      <c r="R48" s="22"/>
      <c r="S48" s="22">
        <f t="shared" si="19"/>
        <v>289.40706929554767</v>
      </c>
      <c r="T48" s="22">
        <f t="shared" si="20"/>
        <v>1162.7403386145984</v>
      </c>
    </row>
    <row r="49" spans="1:20" x14ac:dyDescent="0.2">
      <c r="A49" s="5">
        <v>58</v>
      </c>
      <c r="B49" s="1">
        <f t="shared" si="13"/>
        <v>2.555682416076114</v>
      </c>
      <c r="C49" s="5">
        <f t="shared" si="14"/>
        <v>48630.970779662501</v>
      </c>
      <c r="D49" s="5">
        <f t="shared" si="15"/>
        <v>46781.236416001397</v>
      </c>
      <c r="E49" s="5">
        <f t="shared" si="1"/>
        <v>37281.236416001397</v>
      </c>
      <c r="F49" s="5">
        <f t="shared" si="2"/>
        <v>12752.197331424595</v>
      </c>
      <c r="G49" s="5">
        <f t="shared" si="3"/>
        <v>34029.039084576798</v>
      </c>
      <c r="H49" s="22">
        <f t="shared" si="16"/>
        <v>22130.518966746378</v>
      </c>
      <c r="I49" s="5">
        <f t="shared" si="17"/>
        <v>54920.248989185377</v>
      </c>
      <c r="J49" s="26">
        <f t="shared" si="5"/>
        <v>0.1778263845218476</v>
      </c>
      <c r="L49" s="22">
        <f t="shared" si="18"/>
        <v>64221.228292300446</v>
      </c>
      <c r="M49" s="5">
        <f>scrimecost*Meta!O46</f>
        <v>94.256</v>
      </c>
      <c r="N49" s="5">
        <f>L49-Grade13!L49</f>
        <v>655.4551241668305</v>
      </c>
      <c r="O49" s="5">
        <f>Grade13!M49-M49</f>
        <v>0.54800000000000182</v>
      </c>
      <c r="P49" s="22">
        <f t="shared" si="12"/>
        <v>71.896915347087969</v>
      </c>
      <c r="Q49" s="22"/>
      <c r="R49" s="22"/>
      <c r="S49" s="22">
        <f t="shared" si="19"/>
        <v>296.68843837545541</v>
      </c>
      <c r="T49" s="22">
        <f t="shared" si="20"/>
        <v>1236.4263989462513</v>
      </c>
    </row>
    <row r="50" spans="1:20" x14ac:dyDescent="0.2">
      <c r="A50" s="5">
        <v>59</v>
      </c>
      <c r="B50" s="1">
        <f t="shared" si="13"/>
        <v>2.6195744764780171</v>
      </c>
      <c r="C50" s="5">
        <f t="shared" si="14"/>
        <v>49846.745049154073</v>
      </c>
      <c r="D50" s="5">
        <f t="shared" si="15"/>
        <v>47928.927326401441</v>
      </c>
      <c r="E50" s="5">
        <f t="shared" si="1"/>
        <v>38428.927326401441</v>
      </c>
      <c r="F50" s="5">
        <f t="shared" si="2"/>
        <v>13241.687504710215</v>
      </c>
      <c r="G50" s="5">
        <f t="shared" si="3"/>
        <v>34687.239821691226</v>
      </c>
      <c r="H50" s="22">
        <f t="shared" si="16"/>
        <v>22683.78194091504</v>
      </c>
      <c r="I50" s="5">
        <f t="shared" si="17"/>
        <v>56100.729973915018</v>
      </c>
      <c r="J50" s="26">
        <f t="shared" si="5"/>
        <v>0.18063825198341296</v>
      </c>
      <c r="L50" s="22">
        <f t="shared" si="18"/>
        <v>65826.758999607962</v>
      </c>
      <c r="M50" s="5">
        <f>scrimecost*Meta!O47</f>
        <v>94.256</v>
      </c>
      <c r="N50" s="5">
        <f>L50-Grade13!L50</f>
        <v>671.84150227101054</v>
      </c>
      <c r="O50" s="5">
        <f>Grade13!M50-M50</f>
        <v>0.54800000000000182</v>
      </c>
      <c r="P50" s="22">
        <f t="shared" si="12"/>
        <v>73.779322717690377</v>
      </c>
      <c r="Q50" s="22"/>
      <c r="R50" s="22"/>
      <c r="S50" s="22">
        <f t="shared" si="19"/>
        <v>304.15184168237289</v>
      </c>
      <c r="T50" s="22">
        <f t="shared" si="20"/>
        <v>1314.7771241974569</v>
      </c>
    </row>
    <row r="51" spans="1:20" x14ac:dyDescent="0.2">
      <c r="A51" s="5">
        <v>60</v>
      </c>
      <c r="B51" s="1">
        <f t="shared" si="13"/>
        <v>2.6850638383899672</v>
      </c>
      <c r="C51" s="5">
        <f t="shared" si="14"/>
        <v>51092.913675382923</v>
      </c>
      <c r="D51" s="5">
        <f t="shared" si="15"/>
        <v>49105.310509561474</v>
      </c>
      <c r="E51" s="5">
        <f t="shared" si="1"/>
        <v>39605.310509561474</v>
      </c>
      <c r="F51" s="5">
        <f t="shared" si="2"/>
        <v>13743.414932327969</v>
      </c>
      <c r="G51" s="5">
        <f t="shared" si="3"/>
        <v>35361.895577233503</v>
      </c>
      <c r="H51" s="22">
        <f t="shared" si="16"/>
        <v>23250.876489437913</v>
      </c>
      <c r="I51" s="5">
        <f t="shared" si="17"/>
        <v>57310.722983262895</v>
      </c>
      <c r="J51" s="26">
        <f t="shared" si="5"/>
        <v>0.18338153731176934</v>
      </c>
      <c r="L51" s="22">
        <f t="shared" si="18"/>
        <v>67472.427974598162</v>
      </c>
      <c r="M51" s="5">
        <f>scrimecost*Meta!O48</f>
        <v>47.128</v>
      </c>
      <c r="N51" s="5">
        <f>L51-Grade13!L51</f>
        <v>688.63753982778871</v>
      </c>
      <c r="O51" s="5">
        <f>Grade13!M51-M51</f>
        <v>0.27400000000000091</v>
      </c>
      <c r="P51" s="22">
        <f t="shared" si="12"/>
        <v>75.708790272557835</v>
      </c>
      <c r="Q51" s="22"/>
      <c r="R51" s="22"/>
      <c r="S51" s="22">
        <f t="shared" si="19"/>
        <v>311.62427807196087</v>
      </c>
      <c r="T51" s="22">
        <f t="shared" si="20"/>
        <v>1397.291497165241</v>
      </c>
    </row>
    <row r="52" spans="1:20" x14ac:dyDescent="0.2">
      <c r="A52" s="5">
        <v>61</v>
      </c>
      <c r="B52" s="1">
        <f t="shared" si="13"/>
        <v>2.7521904343497163</v>
      </c>
      <c r="C52" s="5">
        <f t="shared" si="14"/>
        <v>52370.236517267491</v>
      </c>
      <c r="D52" s="5">
        <f t="shared" si="15"/>
        <v>50311.103272300505</v>
      </c>
      <c r="E52" s="5">
        <f t="shared" si="1"/>
        <v>40811.103272300505</v>
      </c>
      <c r="F52" s="5">
        <f t="shared" si="2"/>
        <v>14257.685545636165</v>
      </c>
      <c r="G52" s="5">
        <f t="shared" si="3"/>
        <v>36053.417726664338</v>
      </c>
      <c r="H52" s="22">
        <f t="shared" si="16"/>
        <v>23832.148401673858</v>
      </c>
      <c r="I52" s="5">
        <f t="shared" si="17"/>
        <v>58550.965817844459</v>
      </c>
      <c r="J52" s="26">
        <f t="shared" si="5"/>
        <v>0.1860579132418731</v>
      </c>
      <c r="L52" s="22">
        <f t="shared" si="18"/>
        <v>69159.238673963118</v>
      </c>
      <c r="M52" s="5">
        <f>scrimecost*Meta!O49</f>
        <v>47.128</v>
      </c>
      <c r="N52" s="5">
        <f>L52-Grade13!L52</f>
        <v>705.85347832349362</v>
      </c>
      <c r="O52" s="5">
        <f>Grade13!M52-M52</f>
        <v>0.27400000000000091</v>
      </c>
      <c r="P52" s="22">
        <f t="shared" si="12"/>
        <v>77.68649451629696</v>
      </c>
      <c r="Q52" s="22"/>
      <c r="R52" s="22"/>
      <c r="S52" s="22">
        <f t="shared" si="19"/>
        <v>319.46551617129126</v>
      </c>
      <c r="T52" s="22">
        <f t="shared" si="20"/>
        <v>1485.8458629532188</v>
      </c>
    </row>
    <row r="53" spans="1:20" x14ac:dyDescent="0.2">
      <c r="A53" s="5">
        <v>62</v>
      </c>
      <c r="B53" s="1">
        <f t="shared" si="13"/>
        <v>2.8209951952084591</v>
      </c>
      <c r="C53" s="5">
        <f t="shared" si="14"/>
        <v>53679.492430199178</v>
      </c>
      <c r="D53" s="5">
        <f t="shared" si="15"/>
        <v>51547.040854108018</v>
      </c>
      <c r="E53" s="5">
        <f t="shared" si="1"/>
        <v>42047.040854108018</v>
      </c>
      <c r="F53" s="5">
        <f t="shared" si="2"/>
        <v>14784.81292427707</v>
      </c>
      <c r="G53" s="5">
        <f t="shared" si="3"/>
        <v>36762.227929830944</v>
      </c>
      <c r="H53" s="22">
        <f t="shared" si="16"/>
        <v>24427.952111715706</v>
      </c>
      <c r="I53" s="5">
        <f t="shared" si="17"/>
        <v>59822.21472329057</v>
      </c>
      <c r="J53" s="26">
        <f t="shared" si="5"/>
        <v>0.18866901171026706</v>
      </c>
      <c r="L53" s="22">
        <f t="shared" si="18"/>
        <v>70888.219640812182</v>
      </c>
      <c r="M53" s="5">
        <f>scrimecost*Meta!O50</f>
        <v>47.128</v>
      </c>
      <c r="N53" s="5">
        <f>L53-Grade13!L53</f>
        <v>723.49981528155331</v>
      </c>
      <c r="O53" s="5">
        <f>Grade13!M53-M53</f>
        <v>0.27400000000000091</v>
      </c>
      <c r="P53" s="22">
        <f t="shared" si="12"/>
        <v>79.713641366129579</v>
      </c>
      <c r="Q53" s="22"/>
      <c r="R53" s="22"/>
      <c r="S53" s="22">
        <f t="shared" si="19"/>
        <v>327.50278522309054</v>
      </c>
      <c r="T53" s="22">
        <f t="shared" si="20"/>
        <v>1580.0062798190802</v>
      </c>
    </row>
    <row r="54" spans="1:20" x14ac:dyDescent="0.2">
      <c r="A54" s="5">
        <v>63</v>
      </c>
      <c r="B54" s="1">
        <f t="shared" si="13"/>
        <v>2.8915200750886707</v>
      </c>
      <c r="C54" s="5">
        <f t="shared" si="14"/>
        <v>55021.479740954157</v>
      </c>
      <c r="D54" s="5">
        <f t="shared" si="15"/>
        <v>52813.876875460723</v>
      </c>
      <c r="E54" s="5">
        <f t="shared" si="1"/>
        <v>43313.876875460723</v>
      </c>
      <c r="F54" s="5">
        <f t="shared" si="2"/>
        <v>15325.118487383997</v>
      </c>
      <c r="G54" s="5">
        <f t="shared" si="3"/>
        <v>37488.758388076727</v>
      </c>
      <c r="H54" s="22">
        <f t="shared" si="16"/>
        <v>25038.650914508598</v>
      </c>
      <c r="I54" s="5">
        <f t="shared" si="17"/>
        <v>61125.244851372845</v>
      </c>
      <c r="J54" s="26">
        <f t="shared" si="5"/>
        <v>0.19121642485016363</v>
      </c>
      <c r="L54" s="22">
        <f t="shared" si="18"/>
        <v>72660.425131832482</v>
      </c>
      <c r="M54" s="5">
        <f>scrimecost*Meta!O51</f>
        <v>47.128</v>
      </c>
      <c r="N54" s="5">
        <f>L54-Grade13!L54</f>
        <v>741.58731066361361</v>
      </c>
      <c r="O54" s="5">
        <f>Grade13!M54-M54</f>
        <v>0.27400000000000091</v>
      </c>
      <c r="P54" s="22">
        <f t="shared" si="12"/>
        <v>81.791466887208017</v>
      </c>
      <c r="Q54" s="22"/>
      <c r="R54" s="22"/>
      <c r="S54" s="22">
        <f t="shared" si="19"/>
        <v>335.74098600120351</v>
      </c>
      <c r="T54" s="22">
        <f t="shared" si="20"/>
        <v>1680.127417733614</v>
      </c>
    </row>
    <row r="55" spans="1:20" x14ac:dyDescent="0.2">
      <c r="A55" s="5">
        <v>64</v>
      </c>
      <c r="B55" s="1">
        <f t="shared" si="13"/>
        <v>2.9638080769658868</v>
      </c>
      <c r="C55" s="5">
        <f t="shared" si="14"/>
        <v>56397.016734477998</v>
      </c>
      <c r="D55" s="5">
        <f t="shared" si="15"/>
        <v>54112.383797347225</v>
      </c>
      <c r="E55" s="5">
        <f t="shared" si="1"/>
        <v>44612.383797347225</v>
      </c>
      <c r="F55" s="5">
        <f t="shared" si="2"/>
        <v>15878.931689568592</v>
      </c>
      <c r="G55" s="5">
        <f t="shared" si="3"/>
        <v>38233.452107778634</v>
      </c>
      <c r="H55" s="22">
        <f t="shared" si="16"/>
        <v>25664.61718737131</v>
      </c>
      <c r="I55" s="5">
        <f t="shared" si="17"/>
        <v>62460.850732657149</v>
      </c>
      <c r="J55" s="26">
        <f t="shared" si="5"/>
        <v>0.19370170596225775</v>
      </c>
      <c r="L55" s="22">
        <f t="shared" si="18"/>
        <v>74476.935760128297</v>
      </c>
      <c r="M55" s="5">
        <f>scrimecost*Meta!O52</f>
        <v>47.128</v>
      </c>
      <c r="N55" s="5">
        <f>L55-Grade13!L55</f>
        <v>760.12699343019631</v>
      </c>
      <c r="O55" s="5">
        <f>Grade13!M55-M55</f>
        <v>0.27400000000000091</v>
      </c>
      <c r="P55" s="22">
        <f t="shared" si="12"/>
        <v>83.921238046313391</v>
      </c>
      <c r="Q55" s="22"/>
      <c r="R55" s="22"/>
      <c r="S55" s="22">
        <f t="shared" si="19"/>
        <v>344.1851417987582</v>
      </c>
      <c r="T55" s="22">
        <f t="shared" si="20"/>
        <v>1786.5863765582924</v>
      </c>
    </row>
    <row r="56" spans="1:20" x14ac:dyDescent="0.2">
      <c r="A56" s="5">
        <v>65</v>
      </c>
      <c r="B56" s="1">
        <f t="shared" si="13"/>
        <v>3.0379032788900342</v>
      </c>
      <c r="C56" s="5">
        <f t="shared" si="14"/>
        <v>57806.942152839947</v>
      </c>
      <c r="D56" s="5">
        <f t="shared" si="15"/>
        <v>55443.353392280907</v>
      </c>
      <c r="E56" s="5">
        <f t="shared" si="1"/>
        <v>45943.353392280907</v>
      </c>
      <c r="F56" s="5">
        <f t="shared" si="2"/>
        <v>16446.590221807804</v>
      </c>
      <c r="G56" s="5">
        <f t="shared" si="3"/>
        <v>38996.763170473103</v>
      </c>
      <c r="H56" s="22">
        <f t="shared" si="16"/>
        <v>26306.232617055593</v>
      </c>
      <c r="I56" s="5">
        <f t="shared" si="17"/>
        <v>63829.846760973582</v>
      </c>
      <c r="J56" s="26">
        <f t="shared" si="5"/>
        <v>0.19612637046186182</v>
      </c>
      <c r="L56" s="22">
        <f t="shared" si="18"/>
        <v>76338.859154131496</v>
      </c>
      <c r="M56" s="5">
        <f>scrimecost*Meta!O53</f>
        <v>13.071999999999999</v>
      </c>
      <c r="N56" s="5">
        <f>L56-Grade13!L56</f>
        <v>779.13016826596868</v>
      </c>
      <c r="O56" s="5">
        <f>Grade13!M56-M56</f>
        <v>7.6000000000000512E-2</v>
      </c>
      <c r="P56" s="22">
        <f t="shared" si="12"/>
        <v>86.104253484396423</v>
      </c>
      <c r="Q56" s="22"/>
      <c r="R56" s="22"/>
      <c r="S56" s="22">
        <f t="shared" si="19"/>
        <v>352.71209749126137</v>
      </c>
      <c r="T56" s="22">
        <f t="shared" si="20"/>
        <v>1899.093282265344</v>
      </c>
    </row>
    <row r="57" spans="1:20" x14ac:dyDescent="0.2">
      <c r="A57" s="5">
        <v>66</v>
      </c>
      <c r="C57" s="5"/>
      <c r="H57" s="21"/>
      <c r="I57" s="5"/>
      <c r="M57" s="5">
        <f>scrimecost*Meta!O54</f>
        <v>13.071999999999999</v>
      </c>
      <c r="N57" s="5">
        <f>L57-Grade13!L57</f>
        <v>0</v>
      </c>
      <c r="O57" s="5">
        <f>Grade13!M57-M57</f>
        <v>7.6000000000000512E-2</v>
      </c>
      <c r="Q57" s="22"/>
      <c r="R57" s="22"/>
      <c r="S57" s="22">
        <f t="shared" si="19"/>
        <v>4.9248000000000333E-2</v>
      </c>
      <c r="T57" s="22">
        <f t="shared" si="20"/>
        <v>0.27504805762628304</v>
      </c>
    </row>
    <row r="58" spans="1:20" x14ac:dyDescent="0.2">
      <c r="A58" s="5">
        <v>67</v>
      </c>
      <c r="C58" s="5"/>
      <c r="H58" s="21"/>
      <c r="I58" s="5"/>
      <c r="M58" s="5">
        <f>scrimecost*Meta!O55</f>
        <v>13.071999999999999</v>
      </c>
      <c r="N58" s="5">
        <f>L58-Grade13!L58</f>
        <v>0</v>
      </c>
      <c r="O58" s="5">
        <f>Grade13!M58-M58</f>
        <v>7.6000000000000512E-2</v>
      </c>
      <c r="Q58" s="22"/>
      <c r="R58" s="22"/>
      <c r="S58" s="22">
        <f t="shared" si="19"/>
        <v>4.9248000000000333E-2</v>
      </c>
      <c r="T58" s="22">
        <f t="shared" si="20"/>
        <v>0.28530056028962875</v>
      </c>
    </row>
    <row r="59" spans="1:20" x14ac:dyDescent="0.2">
      <c r="A59" s="5">
        <v>68</v>
      </c>
      <c r="H59" s="21"/>
      <c r="I59" s="5"/>
      <c r="M59" s="5">
        <f>scrimecost*Meta!O56</f>
        <v>13.071999999999999</v>
      </c>
      <c r="N59" s="5">
        <f>L59-Grade13!L59</f>
        <v>0</v>
      </c>
      <c r="O59" s="5">
        <f>Grade13!M59-M59</f>
        <v>7.6000000000000512E-2</v>
      </c>
      <c r="Q59" s="22"/>
      <c r="R59" s="22"/>
      <c r="S59" s="22">
        <f t="shared" si="19"/>
        <v>4.9248000000000333E-2</v>
      </c>
      <c r="T59" s="22">
        <f t="shared" si="20"/>
        <v>0.2959352282071816</v>
      </c>
    </row>
    <row r="60" spans="1:20" x14ac:dyDescent="0.2">
      <c r="A60" s="5">
        <v>69</v>
      </c>
      <c r="H60" s="21"/>
      <c r="I60" s="5"/>
      <c r="M60" s="5">
        <f>scrimecost*Meta!O57</f>
        <v>13.071999999999999</v>
      </c>
      <c r="N60" s="5">
        <f>L60-Grade13!L60</f>
        <v>0</v>
      </c>
      <c r="O60" s="5">
        <f>Grade13!M60-M60</f>
        <v>7.6000000000000512E-2</v>
      </c>
      <c r="Q60" s="22"/>
      <c r="R60" s="22"/>
      <c r="S60" s="22">
        <f t="shared" si="19"/>
        <v>4.9248000000000333E-2</v>
      </c>
      <c r="T60" s="22">
        <f t="shared" si="20"/>
        <v>0.30696630670872277</v>
      </c>
    </row>
    <row r="61" spans="1:20" x14ac:dyDescent="0.2">
      <c r="A61" s="5">
        <v>70</v>
      </c>
      <c r="H61" s="21"/>
      <c r="I61" s="5"/>
      <c r="M61" s="5">
        <f>scrimecost*Meta!O58</f>
        <v>13.071999999999999</v>
      </c>
      <c r="N61" s="5">
        <f>L61-Grade13!L61</f>
        <v>0</v>
      </c>
      <c r="O61" s="5">
        <f>Grade13!M61-M61</f>
        <v>7.6000000000000512E-2</v>
      </c>
      <c r="Q61" s="22"/>
      <c r="R61" s="22"/>
      <c r="S61" s="22">
        <f t="shared" si="19"/>
        <v>4.9248000000000333E-2</v>
      </c>
      <c r="T61" s="22">
        <f t="shared" si="20"/>
        <v>0.31840857212317164</v>
      </c>
    </row>
    <row r="62" spans="1:20" x14ac:dyDescent="0.2">
      <c r="A62" s="5">
        <v>71</v>
      </c>
      <c r="H62" s="21"/>
      <c r="I62" s="5"/>
      <c r="M62" s="5">
        <f>scrimecost*Meta!O59</f>
        <v>13.071999999999999</v>
      </c>
      <c r="N62" s="5">
        <f>L62-Grade13!L62</f>
        <v>0</v>
      </c>
      <c r="O62" s="5">
        <f>Grade13!M62-M62</f>
        <v>7.6000000000000512E-2</v>
      </c>
      <c r="Q62" s="22"/>
      <c r="R62" s="22"/>
      <c r="S62" s="22">
        <f t="shared" si="19"/>
        <v>4.9248000000000333E-2</v>
      </c>
      <c r="T62" s="22">
        <f t="shared" si="20"/>
        <v>0.33027735157174531</v>
      </c>
    </row>
    <row r="63" spans="1:20" x14ac:dyDescent="0.2">
      <c r="A63" s="5">
        <v>72</v>
      </c>
      <c r="H63" s="21"/>
      <c r="M63" s="5">
        <f>scrimecost*Meta!O60</f>
        <v>13.071999999999999</v>
      </c>
      <c r="N63" s="5">
        <f>L63-Grade13!L63</f>
        <v>0</v>
      </c>
      <c r="O63" s="5">
        <f>Grade13!M63-M63</f>
        <v>7.6000000000000512E-2</v>
      </c>
      <c r="Q63" s="22"/>
      <c r="R63" s="22"/>
      <c r="S63" s="22">
        <f t="shared" si="19"/>
        <v>4.9248000000000333E-2</v>
      </c>
      <c r="T63" s="22">
        <f t="shared" si="20"/>
        <v>0.34258854349891388</v>
      </c>
    </row>
    <row r="64" spans="1:20" x14ac:dyDescent="0.2">
      <c r="A64" s="5">
        <v>73</v>
      </c>
      <c r="H64" s="21"/>
      <c r="M64" s="5">
        <f>scrimecost*Meta!O61</f>
        <v>13.071999999999999</v>
      </c>
      <c r="N64" s="5">
        <f>L64-Grade13!L64</f>
        <v>0</v>
      </c>
      <c r="O64" s="5">
        <f>Grade13!M64-M64</f>
        <v>7.6000000000000512E-2</v>
      </c>
      <c r="Q64" s="22"/>
      <c r="R64" s="22"/>
      <c r="S64" s="22">
        <f t="shared" si="19"/>
        <v>4.9248000000000333E-2</v>
      </c>
      <c r="T64" s="22">
        <f t="shared" si="20"/>
        <v>0.35535863896865438</v>
      </c>
    </row>
    <row r="65" spans="1:20" x14ac:dyDescent="0.2">
      <c r="A65" s="5">
        <v>74</v>
      </c>
      <c r="H65" s="21"/>
      <c r="M65" s="5">
        <f>scrimecost*Meta!O62</f>
        <v>13.071999999999999</v>
      </c>
      <c r="N65" s="5">
        <f>L65-Grade13!L65</f>
        <v>0</v>
      </c>
      <c r="O65" s="5">
        <f>Grade13!M65-M65</f>
        <v>7.6000000000000512E-2</v>
      </c>
      <c r="Q65" s="22"/>
      <c r="R65" s="22"/>
      <c r="S65" s="22">
        <f t="shared" si="19"/>
        <v>4.9248000000000333E-2</v>
      </c>
      <c r="T65" s="22">
        <f t="shared" si="20"/>
        <v>0.36860474375452901</v>
      </c>
    </row>
    <row r="66" spans="1:20" x14ac:dyDescent="0.2">
      <c r="A66" s="5">
        <v>75</v>
      </c>
      <c r="H66" s="21"/>
      <c r="M66" s="5">
        <f>scrimecost*Meta!O63</f>
        <v>13.071999999999999</v>
      </c>
      <c r="N66" s="5">
        <f>L66-Grade13!L66</f>
        <v>0</v>
      </c>
      <c r="O66" s="5">
        <f>Grade13!M66-M66</f>
        <v>7.6000000000000512E-2</v>
      </c>
      <c r="Q66" s="22"/>
      <c r="R66" s="22"/>
      <c r="S66" s="22">
        <f t="shared" si="19"/>
        <v>4.9248000000000333E-2</v>
      </c>
      <c r="T66" s="22">
        <f t="shared" si="20"/>
        <v>0.38234460125317749</v>
      </c>
    </row>
    <row r="67" spans="1:20" x14ac:dyDescent="0.2">
      <c r="A67" s="5">
        <v>76</v>
      </c>
      <c r="H67" s="21"/>
      <c r="M67" s="5">
        <f>scrimecost*Meta!O64</f>
        <v>13.071999999999999</v>
      </c>
      <c r="N67" s="5">
        <f>L67-Grade13!L67</f>
        <v>0</v>
      </c>
      <c r="O67" s="5">
        <f>Grade13!M67-M67</f>
        <v>7.6000000000000512E-2</v>
      </c>
      <c r="Q67" s="22"/>
      <c r="R67" s="22"/>
      <c r="S67" s="22">
        <f t="shared" si="19"/>
        <v>4.9248000000000333E-2</v>
      </c>
      <c r="T67" s="22">
        <f t="shared" si="20"/>
        <v>0.39659661625191733</v>
      </c>
    </row>
    <row r="68" spans="1:20" x14ac:dyDescent="0.2">
      <c r="A68" s="5">
        <v>77</v>
      </c>
      <c r="H68" s="21"/>
      <c r="M68" s="5">
        <f>scrimecost*Meta!O65</f>
        <v>13.071999999999999</v>
      </c>
      <c r="N68" s="5">
        <f>L68-Grade13!L68</f>
        <v>0</v>
      </c>
      <c r="O68" s="5">
        <f>Grade13!M68-M68</f>
        <v>7.6000000000000512E-2</v>
      </c>
      <c r="Q68" s="22"/>
      <c r="R68" s="22"/>
      <c r="S68" s="22">
        <f t="shared" si="19"/>
        <v>4.9248000000000333E-2</v>
      </c>
      <c r="T68" s="22">
        <f t="shared" si="20"/>
        <v>0.41137987958228933</v>
      </c>
    </row>
    <row r="69" spans="1:20" x14ac:dyDescent="0.2">
      <c r="A69" s="5">
        <v>78</v>
      </c>
      <c r="H69" s="21"/>
      <c r="M69" s="5">
        <f>scrimecost*Meta!O66</f>
        <v>13.071999999999999</v>
      </c>
      <c r="N69" s="5">
        <f>L69-Grade13!L69</f>
        <v>0</v>
      </c>
      <c r="O69" s="5">
        <f>Grade13!M69-M69</f>
        <v>7.6000000000000512E-2</v>
      </c>
      <c r="Q69" s="22"/>
      <c r="R69" s="22"/>
      <c r="S69" s="22">
        <f t="shared" si="19"/>
        <v>4.9248000000000333E-2</v>
      </c>
      <c r="T69" s="22">
        <f t="shared" si="20"/>
        <v>0.42671419369257091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8.9867263075582571E-9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272</vt:i4>
      </vt:variant>
    </vt:vector>
  </HeadingPairs>
  <TitlesOfParts>
    <vt:vector size="285" baseType="lpstr">
      <vt:lpstr>Meta</vt:lpstr>
      <vt:lpstr>Output</vt:lpstr>
      <vt:lpstr>Grade8</vt:lpstr>
      <vt:lpstr>Grade9</vt:lpstr>
      <vt:lpstr>Grade10</vt:lpstr>
      <vt:lpstr>Grade11</vt:lpstr>
      <vt:lpstr>Grade12</vt:lpstr>
      <vt:lpstr>Grade13</vt:lpstr>
      <vt:lpstr>Grade14</vt:lpstr>
      <vt:lpstr>Grade15</vt:lpstr>
      <vt:lpstr>Grade16</vt:lpstr>
      <vt:lpstr>Grade17</vt:lpstr>
      <vt:lpstr>Grade18</vt:lpstr>
      <vt:lpstr>Meta!_edn1</vt:lpstr>
      <vt:lpstr>Output!_edn1</vt:lpstr>
      <vt:lpstr>Meta!_ednref1</vt:lpstr>
      <vt:lpstr>Output!_ednref1</vt:lpstr>
      <vt:lpstr>Meta!baseincome</vt:lpstr>
      <vt:lpstr>Grade10!benefits</vt:lpstr>
      <vt:lpstr>Grade11!benefits</vt:lpstr>
      <vt:lpstr>Grade12!benefits</vt:lpstr>
      <vt:lpstr>Grade13!benefits</vt:lpstr>
      <vt:lpstr>Grade14!benefits</vt:lpstr>
      <vt:lpstr>Grade15!benefits</vt:lpstr>
      <vt:lpstr>Grade16!benefits</vt:lpstr>
      <vt:lpstr>Grade17!benefits</vt:lpstr>
      <vt:lpstr>Grade18!benefits</vt:lpstr>
      <vt:lpstr>Grade9!benefits</vt:lpstr>
      <vt:lpstr>benefits</vt:lpstr>
      <vt:lpstr>Grade10!benrat</vt:lpstr>
      <vt:lpstr>Grade11!benrat</vt:lpstr>
      <vt:lpstr>Grade12!benrat</vt:lpstr>
      <vt:lpstr>Grade13!benrat</vt:lpstr>
      <vt:lpstr>Grade14!benrat</vt:lpstr>
      <vt:lpstr>Grade15!benrat</vt:lpstr>
      <vt:lpstr>Grade16!benrat</vt:lpstr>
      <vt:lpstr>Grade17!benrat</vt:lpstr>
      <vt:lpstr>Grade18!benrat</vt:lpstr>
      <vt:lpstr>Grade9!benrat</vt:lpstr>
      <vt:lpstr>benrat</vt:lpstr>
      <vt:lpstr>coltuition</vt:lpstr>
      <vt:lpstr>Grade10!completionprob</vt:lpstr>
      <vt:lpstr>Grade11!completionprob</vt:lpstr>
      <vt:lpstr>Grade12!completionprob</vt:lpstr>
      <vt:lpstr>Grade13!completionprob</vt:lpstr>
      <vt:lpstr>Grade14!completionprob</vt:lpstr>
      <vt:lpstr>Grade15!completionprob</vt:lpstr>
      <vt:lpstr>Grade16!completionprob</vt:lpstr>
      <vt:lpstr>Grade17!completionprob</vt:lpstr>
      <vt:lpstr>Grade18!completionprob</vt:lpstr>
      <vt:lpstr>completionprob</vt:lpstr>
      <vt:lpstr>Grade10!comprat</vt:lpstr>
      <vt:lpstr>Grade11!comprat</vt:lpstr>
      <vt:lpstr>Grade12!comprat</vt:lpstr>
      <vt:lpstr>Grade13!comprat</vt:lpstr>
      <vt:lpstr>Grade14!comprat</vt:lpstr>
      <vt:lpstr>Grade15!comprat</vt:lpstr>
      <vt:lpstr>Grade16!comprat</vt:lpstr>
      <vt:lpstr>Grade17!comprat</vt:lpstr>
      <vt:lpstr>Grade18!comprat</vt:lpstr>
      <vt:lpstr>Grade9!comprat</vt:lpstr>
      <vt:lpstr>comprat</vt:lpstr>
      <vt:lpstr>experiencepremium</vt:lpstr>
      <vt:lpstr>Grade10!expnorm</vt:lpstr>
      <vt:lpstr>Grade11!expnorm</vt:lpstr>
      <vt:lpstr>Grade12!expnorm</vt:lpstr>
      <vt:lpstr>Grade13!expnorm</vt:lpstr>
      <vt:lpstr>Grade14!expnorm</vt:lpstr>
      <vt:lpstr>Grade15!expnorm</vt:lpstr>
      <vt:lpstr>Grade16!expnorm</vt:lpstr>
      <vt:lpstr>Grade17!expnorm</vt:lpstr>
      <vt:lpstr>Grade18!expnorm</vt:lpstr>
      <vt:lpstr>Grade9!expnorm</vt:lpstr>
      <vt:lpstr>expnorm</vt:lpstr>
      <vt:lpstr>Grade10!expnorm8</vt:lpstr>
      <vt:lpstr>Grade11!expnorm8</vt:lpstr>
      <vt:lpstr>Grade12!expnorm8</vt:lpstr>
      <vt:lpstr>Grade13!expnorm8</vt:lpstr>
      <vt:lpstr>Grade14!expnorm8</vt:lpstr>
      <vt:lpstr>Grade15!expnorm8</vt:lpstr>
      <vt:lpstr>Grade16!expnorm8</vt:lpstr>
      <vt:lpstr>Grade17!expnorm8</vt:lpstr>
      <vt:lpstr>Grade18!expnorm8</vt:lpstr>
      <vt:lpstr>Grade9!expnorm8</vt:lpstr>
      <vt:lpstr>expnorm8</vt:lpstr>
      <vt:lpstr>feel</vt:lpstr>
      <vt:lpstr>hstuition</vt:lpstr>
      <vt:lpstr>Meta!incomeindex</vt:lpstr>
      <vt:lpstr>Grade10!initialbenrat</vt:lpstr>
      <vt:lpstr>Grade11!initialbenrat</vt:lpstr>
      <vt:lpstr>Grade12!initialbenrat</vt:lpstr>
      <vt:lpstr>Grade13!initialbenrat</vt:lpstr>
      <vt:lpstr>Grade14!initialbenrat</vt:lpstr>
      <vt:lpstr>Grade15!initialbenrat</vt:lpstr>
      <vt:lpstr>Grade16!initialbenrat</vt:lpstr>
      <vt:lpstr>Grade17!initialbenrat</vt:lpstr>
      <vt:lpstr>Grade18!initialbenrat</vt:lpstr>
      <vt:lpstr>Grade9!initialbenrat</vt:lpstr>
      <vt:lpstr>initialbenrat</vt:lpstr>
      <vt:lpstr>Grade10!initialpart</vt:lpstr>
      <vt:lpstr>Grade11!initialpart</vt:lpstr>
      <vt:lpstr>Grade12!initialpart</vt:lpstr>
      <vt:lpstr>Grade13!initialpart</vt:lpstr>
      <vt:lpstr>Grade14!initialpart</vt:lpstr>
      <vt:lpstr>Grade15!initialpart</vt:lpstr>
      <vt:lpstr>Grade16!initialpart</vt:lpstr>
      <vt:lpstr>Grade17!initialpart</vt:lpstr>
      <vt:lpstr>Grade18!initialpart</vt:lpstr>
      <vt:lpstr>initialpart</vt:lpstr>
      <vt:lpstr>Grade10!initialspart</vt:lpstr>
      <vt:lpstr>Grade11!initialspart</vt:lpstr>
      <vt:lpstr>Grade12!initialspart</vt:lpstr>
      <vt:lpstr>Grade13!initialspart</vt:lpstr>
      <vt:lpstr>Grade14!initialspart</vt:lpstr>
      <vt:lpstr>Grade15!initialspart</vt:lpstr>
      <vt:lpstr>Grade16!initialspart</vt:lpstr>
      <vt:lpstr>Grade17!initialspart</vt:lpstr>
      <vt:lpstr>Grade18!initialspart</vt:lpstr>
      <vt:lpstr>initialspart</vt:lpstr>
      <vt:lpstr>Grade10!initialunempprob</vt:lpstr>
      <vt:lpstr>Grade11!initialunempprob</vt:lpstr>
      <vt:lpstr>Grade12!initialunempprob</vt:lpstr>
      <vt:lpstr>Grade13!initialunempprob</vt:lpstr>
      <vt:lpstr>Grade14!initialunempprob</vt:lpstr>
      <vt:lpstr>Grade15!initialunempprob</vt:lpstr>
      <vt:lpstr>Grade16!initialunempprob</vt:lpstr>
      <vt:lpstr>Grade17!initialunempprob</vt:lpstr>
      <vt:lpstr>Grade18!initialunempprob</vt:lpstr>
      <vt:lpstr>Grade9!initialunempprob</vt:lpstr>
      <vt:lpstr>initialunempprob</vt:lpstr>
      <vt:lpstr>nptrans</vt:lpstr>
      <vt:lpstr>part10</vt:lpstr>
      <vt:lpstr>part11</vt:lpstr>
      <vt:lpstr>part12</vt:lpstr>
      <vt:lpstr>part13</vt:lpstr>
      <vt:lpstr>part14</vt:lpstr>
      <vt:lpstr>part15</vt:lpstr>
      <vt:lpstr>part16</vt:lpstr>
      <vt:lpstr>part17</vt:lpstr>
      <vt:lpstr>part18</vt:lpstr>
      <vt:lpstr>part8</vt:lpstr>
      <vt:lpstr>part9</vt:lpstr>
      <vt:lpstr>Grade10!pretaxincome</vt:lpstr>
      <vt:lpstr>Grade11!pretaxincome</vt:lpstr>
      <vt:lpstr>Grade12!pretaxincome</vt:lpstr>
      <vt:lpstr>Grade13!pretaxincome</vt:lpstr>
      <vt:lpstr>Grade14!pretaxincome</vt:lpstr>
      <vt:lpstr>Grade15!pretaxincome</vt:lpstr>
      <vt:lpstr>Grade16!pretaxincome</vt:lpstr>
      <vt:lpstr>Grade17!pretaxincome</vt:lpstr>
      <vt:lpstr>Grade18!pretaxincome</vt:lpstr>
      <vt:lpstr>Grade9!pretaxincome</vt:lpstr>
      <vt:lpstr>pretaxincome</vt:lpstr>
      <vt:lpstr>Grade10!pretaxincome8</vt:lpstr>
      <vt:lpstr>Grade11!pretaxincome8</vt:lpstr>
      <vt:lpstr>Grade12!pretaxincome8</vt:lpstr>
      <vt:lpstr>Grade13!pretaxincome8</vt:lpstr>
      <vt:lpstr>Grade14!pretaxincome8</vt:lpstr>
      <vt:lpstr>Grade15!pretaxincome8</vt:lpstr>
      <vt:lpstr>Grade16!pretaxincome8</vt:lpstr>
      <vt:lpstr>Grade17!pretaxincome8</vt:lpstr>
      <vt:lpstr>Grade18!pretaxincome8</vt:lpstr>
      <vt:lpstr>Grade9!pretaxincome8</vt:lpstr>
      <vt:lpstr>pretaxincome8</vt:lpstr>
      <vt:lpstr>Grade10!pretaxincomey8</vt:lpstr>
      <vt:lpstr>Grade11!pretaxincomey8</vt:lpstr>
      <vt:lpstr>Grade12!pretaxincomey8</vt:lpstr>
      <vt:lpstr>Grade13!pretaxincomey8</vt:lpstr>
      <vt:lpstr>Grade14!pretaxincomey8</vt:lpstr>
      <vt:lpstr>Grade15!pretaxincomey8</vt:lpstr>
      <vt:lpstr>Grade16!pretaxincomey8</vt:lpstr>
      <vt:lpstr>Grade17!pretaxincomey8</vt:lpstr>
      <vt:lpstr>Grade18!pretaxincomey8</vt:lpstr>
      <vt:lpstr>Grade9!pretaxincomey8</vt:lpstr>
      <vt:lpstr>pretaxincomey8</vt:lpstr>
      <vt:lpstr>returntoexperience</vt:lpstr>
      <vt:lpstr>Grade10!sbenefits</vt:lpstr>
      <vt:lpstr>Grade11!sbenefits</vt:lpstr>
      <vt:lpstr>Grade12!sbenefits</vt:lpstr>
      <vt:lpstr>Grade13!sbenefits</vt:lpstr>
      <vt:lpstr>Grade14!sbenefits</vt:lpstr>
      <vt:lpstr>Grade15!sbenefits</vt:lpstr>
      <vt:lpstr>Grade16!sbenefits</vt:lpstr>
      <vt:lpstr>Grade17!sbenefits</vt:lpstr>
      <vt:lpstr>Grade18!sbenefits</vt:lpstr>
      <vt:lpstr>Grade9!sbenefits</vt:lpstr>
      <vt:lpstr>sbenefits</vt:lpstr>
      <vt:lpstr>Grade10!scrimecost</vt:lpstr>
      <vt:lpstr>Grade11!scrimecost</vt:lpstr>
      <vt:lpstr>Grade12!scrimecost</vt:lpstr>
      <vt:lpstr>Grade13!scrimecost</vt:lpstr>
      <vt:lpstr>Grade14!scrimecost</vt:lpstr>
      <vt:lpstr>Grade15!scrimecost</vt:lpstr>
      <vt:lpstr>Grade16!scrimecost</vt:lpstr>
      <vt:lpstr>Grade17!scrimecost</vt:lpstr>
      <vt:lpstr>Grade18!scrimecost</vt:lpstr>
      <vt:lpstr>Grade9!scrimecost</vt:lpstr>
      <vt:lpstr>scrimecost</vt:lpstr>
      <vt:lpstr>Grade10!sincome</vt:lpstr>
      <vt:lpstr>Grade11!sincome</vt:lpstr>
      <vt:lpstr>Grade12!sincome</vt:lpstr>
      <vt:lpstr>Grade13!sincome</vt:lpstr>
      <vt:lpstr>Grade14!sincome</vt:lpstr>
      <vt:lpstr>Grade15!sincome</vt:lpstr>
      <vt:lpstr>Grade16!sincome</vt:lpstr>
      <vt:lpstr>Grade17!sincome</vt:lpstr>
      <vt:lpstr>Grade18!sincome</vt:lpstr>
      <vt:lpstr>Grade9!sincome</vt:lpstr>
      <vt:lpstr>sincome</vt:lpstr>
      <vt:lpstr>Grade10!spart</vt:lpstr>
      <vt:lpstr>Grade11!spart</vt:lpstr>
      <vt:lpstr>Grade12!spart</vt:lpstr>
      <vt:lpstr>Grade13!spart</vt:lpstr>
      <vt:lpstr>Grade14!spart</vt:lpstr>
      <vt:lpstr>Grade15!spart</vt:lpstr>
      <vt:lpstr>Grade16!spart</vt:lpstr>
      <vt:lpstr>Grade17!spart</vt:lpstr>
      <vt:lpstr>Grade18!spart</vt:lpstr>
      <vt:lpstr>Grade9!spart</vt:lpstr>
      <vt:lpstr>spart</vt:lpstr>
      <vt:lpstr>Grade10!sreturn</vt:lpstr>
      <vt:lpstr>Grade11!sreturn</vt:lpstr>
      <vt:lpstr>Grade12!sreturn</vt:lpstr>
      <vt:lpstr>Grade13!sreturn</vt:lpstr>
      <vt:lpstr>Grade14!sreturn</vt:lpstr>
      <vt:lpstr>Grade15!sreturn</vt:lpstr>
      <vt:lpstr>Grade16!sreturn</vt:lpstr>
      <vt:lpstr>Grade17!sreturn</vt:lpstr>
      <vt:lpstr>Grade18!sreturn</vt:lpstr>
      <vt:lpstr>sreturn</vt:lpstr>
      <vt:lpstr>Grade10!startage</vt:lpstr>
      <vt:lpstr>Grade11!startage</vt:lpstr>
      <vt:lpstr>Grade12!startage</vt:lpstr>
      <vt:lpstr>Grade13!startage</vt:lpstr>
      <vt:lpstr>Grade14!startage</vt:lpstr>
      <vt:lpstr>Grade15!startage</vt:lpstr>
      <vt:lpstr>Grade16!startage</vt:lpstr>
      <vt:lpstr>Grade17!startage</vt:lpstr>
      <vt:lpstr>Grade18!startage</vt:lpstr>
      <vt:lpstr>Grade9!startage</vt:lpstr>
      <vt:lpstr>startage</vt:lpstr>
      <vt:lpstr>Grade10!sunemp</vt:lpstr>
      <vt:lpstr>Grade11!sunemp</vt:lpstr>
      <vt:lpstr>Grade12!sunemp</vt:lpstr>
      <vt:lpstr>Grade13!sunemp</vt:lpstr>
      <vt:lpstr>Grade14!sunemp</vt:lpstr>
      <vt:lpstr>Grade15!sunemp</vt:lpstr>
      <vt:lpstr>Grade16!sunemp</vt:lpstr>
      <vt:lpstr>Grade17!sunemp</vt:lpstr>
      <vt:lpstr>Grade18!sunemp</vt:lpstr>
      <vt:lpstr>Grade9!sunemp</vt:lpstr>
      <vt:lpstr>sunemp</vt:lpstr>
      <vt:lpstr>Grade10!unempprob</vt:lpstr>
      <vt:lpstr>Grade11!unempprob</vt:lpstr>
      <vt:lpstr>Grade12!unempprob</vt:lpstr>
      <vt:lpstr>Grade13!unempprob</vt:lpstr>
      <vt:lpstr>Grade14!unempprob</vt:lpstr>
      <vt:lpstr>Grade15!unempprob</vt:lpstr>
      <vt:lpstr>Grade16!unempprob</vt:lpstr>
      <vt:lpstr>Grade17!unempprob</vt:lpstr>
      <vt:lpstr>Grade18!unempprob</vt:lpstr>
      <vt:lpstr>Grade9!unempprob</vt:lpstr>
      <vt:lpstr>unempprob</vt:lpstr>
      <vt:lpstr>Grade10!unempprob8</vt:lpstr>
      <vt:lpstr>Grade11!unempprob8</vt:lpstr>
      <vt:lpstr>Grade12!unempprob8</vt:lpstr>
      <vt:lpstr>Grade13!unempprob8</vt:lpstr>
      <vt:lpstr>Grade14!unempprob8</vt:lpstr>
      <vt:lpstr>Grade15!unempprob8</vt:lpstr>
      <vt:lpstr>Grade16!unempprob8</vt:lpstr>
      <vt:lpstr>Grade17!unempprob8</vt:lpstr>
      <vt:lpstr>Grade18!unempprob8</vt:lpstr>
      <vt:lpstr>Grade9!unempprob8</vt:lpstr>
      <vt:lpstr>unempprob8</vt:lpstr>
      <vt:lpstr>Grade10!unempproby8</vt:lpstr>
      <vt:lpstr>Grade11!unempproby8</vt:lpstr>
      <vt:lpstr>Grade12!unempproby8</vt:lpstr>
      <vt:lpstr>Grade13!unempproby8</vt:lpstr>
      <vt:lpstr>Grade14!unempproby8</vt:lpstr>
      <vt:lpstr>Grade15!unempproby8</vt:lpstr>
      <vt:lpstr>Grade16!unempproby8</vt:lpstr>
      <vt:lpstr>Grade17!unempproby8</vt:lpstr>
      <vt:lpstr>Grade18!unempproby8</vt:lpstr>
      <vt:lpstr>Grade9!unempproby8</vt:lpstr>
      <vt:lpstr>unempproby8</vt:lpstr>
    </vt:vector>
  </TitlesOfParts>
  <Company>GMU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bcaplan</dc:creator>
  <cp:lastModifiedBy>Caleb</cp:lastModifiedBy>
  <dcterms:created xsi:type="dcterms:W3CDTF">2014-05-28T17:05:58Z</dcterms:created>
  <dcterms:modified xsi:type="dcterms:W3CDTF">2015-04-20T20:29:39Z</dcterms:modified>
</cp:coreProperties>
</file>